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M:\New Team\Company Models\NKE\Client models\"/>
    </mc:Choice>
  </mc:AlternateContent>
  <xr:revisionPtr revIDLastSave="0" documentId="13_ncr:1_{7B5E948A-AFFC-4154-A20E-D62A23E771A5}" xr6:coauthVersionLast="47" xr6:coauthVersionMax="47" xr10:uidLastSave="{00000000-0000-0000-0000-000000000000}"/>
  <bookViews>
    <workbookView xWindow="28800" yWindow="0" windowWidth="28800" windowHeight="23400" tabRatio="820" xr2:uid="{00000000-000D-0000-FFFF-FFFF00000000}"/>
  </bookViews>
  <sheets>
    <sheet name="1. Cover" sheetId="45" r:id="rId1"/>
    <sheet name="2. Consolidated" sheetId="1" r:id="rId2"/>
    <sheet name="3. Segment Analysis" sheetId="42" r:id="rId3"/>
    <sheet name="4. Summary model" sheetId="53" r:id="rId4"/>
  </sheets>
  <definedNames>
    <definedName name="\q">#REF!</definedName>
    <definedName name="\S">#REF!</definedName>
    <definedName name="___WHO2" hidden="1">{#N/A,#N/A,FALSE,"SUMMARY";#N/A,#N/A,FALSE,"DETAIL";#N/A,#N/A,FALSE,"VARIANCE"}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eps96">#REF!</definedName>
    <definedName name="__FDS_HYPERLINK_TOGGLE_STATE__" hidden="1">"ON"</definedName>
    <definedName name="__FDS_UNIQUE_RANGE_ID_GENERATOR_COUNTER" hidden="1">1</definedName>
    <definedName name="__FDS_USED_FOR_REUSING_RANGE_IDS_RECYCLE" hidden="1">{1500,482}</definedName>
    <definedName name="__inc90">#REF!</definedName>
    <definedName name="__int94">#REF!</definedName>
    <definedName name="__int95">#REF!</definedName>
    <definedName name="__int96">#REF!</definedName>
    <definedName name="__qtr1">#REF!</definedName>
    <definedName name="__qtr2">#REF!</definedName>
    <definedName name="__qtr4">#REF!</definedName>
    <definedName name="__sga87">#REF!</definedName>
    <definedName name="__sga88">#REF!</definedName>
    <definedName name="__sga89">#REF!</definedName>
    <definedName name="__sga90">#REF!</definedName>
    <definedName name="__sga91">#REF!</definedName>
    <definedName name="__sga93">#REF!</definedName>
    <definedName name="__sls87">#REF!</definedName>
    <definedName name="__sls88">#REF!</definedName>
    <definedName name="__sls89">#REF!</definedName>
    <definedName name="__sls93">#REF!</definedName>
    <definedName name="__sls95">#REF!</definedName>
    <definedName name="__sls96">#REF!</definedName>
    <definedName name="__tax91">#REF!</definedName>
    <definedName name="__tax92">#REF!</definedName>
    <definedName name="__tax94">#REF!</definedName>
    <definedName name="__tax95">#REF!</definedName>
    <definedName name="__tax96">#REF!</definedName>
    <definedName name="_1__FDSAUDITLINK__" hidden="1">{"fdsup://directions/FAT Viewer?action=UPDATE&amp;creator=factset&amp;DYN_ARGS=TRUE&amp;DOC_NAME=FAT:FQL_AUDITING_CLIENT_TEMPLATE.FAT&amp;display_string=Audit&amp;VAR:KEY=TMBGHILEFM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DG&amp;VAR:INDEX=0"}</definedName>
    <definedName name="_10__FDSAUDITLINK__" hidden="1">{"fdsup://directions/FAT Viewer?action=UPDATE&amp;creator=factset&amp;DYN_ARGS=TRUE&amp;DOC_NAME=FAT:FQL_AUDITING_CLIENT_TEMPLATE.FAT&amp;display_string=Audit&amp;VAR:KEY=TORGPURAPE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RL&amp;VAR:INDEX=0"}</definedName>
    <definedName name="_100__FDSAUDITLINK__" hidden="1">{"fdsup://directions/FAT Viewer?action=UPDATE&amp;creator=factset&amp;DYN_ARGS=TRUE&amp;DOC_NAME=FAT:FQL_AUDITING_CLIENT_TEMPLATE.FAT&amp;display_string=Audit&amp;VAR:KEY=ONSTSDGVU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KSS&amp;VAR:INDEX=0"}</definedName>
    <definedName name="_101__FDSAUDITLINK__" hidden="1">{"fdsup://directions/FAT Viewer?action=UPDATE&amp;creator=factset&amp;DYN_ARGS=TRUE&amp;DOC_NAME=FAT:FQL_AUDITING_CLIENT_TEMPLATE.FAT&amp;display_string=Audit&amp;VAR:KEY=KREJYNURQL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ROST&amp;VAR:INDEX=0"}</definedName>
    <definedName name="_102__FDSAUDITLINK__" hidden="1">{"fdsup://directions/FAT Viewer?action=UPDATE&amp;creator=factset&amp;DYN_ARGS=TRUE&amp;DOC_NAME=FAT:FQL_AUDITING_CLIENT_TEMPLATE.FAT&amp;display_string=Audit&amp;VAR:KEY=AFMLKDQNKP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JX&amp;VAR:INDEX=0"}</definedName>
    <definedName name="_103__FDSAUDITLINK__" hidden="1">{"fdsup://directions/FAT Viewer?action=UPDATE&amp;creator=factset&amp;DYN_ARGS=TRUE&amp;DOC_NAME=FAT:FQL_AUDITING_CLIENT_TEMPLATE.FAT&amp;display_string=Audit&amp;VAR:KEY=SRENMHIFOF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DLTR&amp;VAR:INDEX=0"}</definedName>
    <definedName name="_104__FDSAUDITLINK__" hidden="1">{"fdsup://directions/FAT Viewer?action=UPDATE&amp;creator=factset&amp;DYN_ARGS=TRUE&amp;DOC_NAME=FAT:FQL_AUDITING_CLIENT_TEMPLATE.FAT&amp;display_string=Audit&amp;VAR:KEY=GNUBEZMHIH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FDO&amp;VAR:INDEX=0"}</definedName>
    <definedName name="_105__FDSAUDITLINK__" hidden="1">{"fdsup://directions/FAT Viewer?action=UPDATE&amp;creator=factset&amp;DYN_ARGS=TRUE&amp;DOC_NAME=FAT:FQL_AUDITING_CLIENT_TEMPLATE.FAT&amp;display_string=Audit&amp;VAR:KEY=SHUPOPOXI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COST&amp;VAR:INDEX=0"}</definedName>
    <definedName name="_106__FDSAUDITLINK__" hidden="1">{"fdsup://directions/FAT Viewer?action=UPDATE&amp;creator=factset&amp;DYN_ARGS=TRUE&amp;DOC_NAME=FAT:FQL_AUDITING_CLIENT_TEMPLATE.FAT&amp;display_string=Audit&amp;VAR:KEY=KPWRCLYHQ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GT&amp;VAR:INDEX=0"}</definedName>
    <definedName name="_107_._0Restructuring_char">#REF!</definedName>
    <definedName name="_107__FDSAUDITLINK__" hidden="1">{"fdsup://directions/FAT Viewer?action=UPDATE&amp;creator=factset&amp;DYN_ARGS=TRUE&amp;DOC_NAME=FAT:FQL_AUDITING_CLIENT_TEMPLATE.FAT&amp;display_string=Audit&amp;VAR:KEY=GPGVAJKJAV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WMT&amp;VAR:INDEX=0"}</definedName>
    <definedName name="_108_._0Restructuring_char">#REF!</definedName>
    <definedName name="_1099__FDSAUDITLINK__" hidden="1">{"fdsup://directions/FAT Viewer?action=UPDATE&amp;creator=factset&amp;DYN_ARGS=TRUE&amp;DOC_NAME=FAT:FQL_AUDITING_CLIENT_TEMPLATE.FAT&amp;display_string=Audit&amp;VAR:KEY=RSXIJUBYHY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464373&amp;VAR:INDEX=0"}</definedName>
    <definedName name="_11__FDSAUDITLINK__" hidden="1">{"fdsup://directions/FAT Viewer?action=UPDATE&amp;creator=factset&amp;DYN_ARGS=TRUE&amp;DOC_NAME=FAT:FQL_AUDITING_CLIENT_TEMPLATE.FAT&amp;display_string=Audit&amp;VAR:KEY=HEZYJINMNI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525397&amp;VAR:INDEX=0"}</definedName>
    <definedName name="_1104__FDSAUDITLINK__" hidden="1">{"fdsup://directions/FAT Viewer?action=UPDATE&amp;creator=factset&amp;DYN_ARGS=TRUE&amp;DOC_NAME=FAT:FQL_AUDITING_CLIENT_TEMPLATE.FAT&amp;display_string=Audit&amp;VAR:KEY=BIRELSROLQ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525397&amp;VAR:INDEX=0"}</definedName>
    <definedName name="_1105__FDSAUDITLINK__" hidden="1">{"fdsup://directions/FAT Viewer?action=UPDATE&amp;creator=factset&amp;DYN_ARGS=TRUE&amp;DOC_NAME=FAT:FQL_AUDITING_CLIENT_TEMPLATE.FAT&amp;display_string=Audit&amp;VAR:KEY=VAHCPAZMNO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525647&amp;VAR:INDEX=0"}</definedName>
    <definedName name="_1116__FDSAUDITLINK__" hidden="1">{"fdsup://directions/FAT Viewer?action=UPDATE&amp;creator=factset&amp;DYN_ARGS=TRUE&amp;DOC_NAME=FAT:FQL_AUDITING_CLIENT_TEMPLATE.FAT&amp;display_string=Audit&amp;VAR:KEY=LSRQHUJMNE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718472&amp;VAR:INDEX=0"}</definedName>
    <definedName name="_1117__FDSAUDITLINK__" hidden="1">{"fdsup://directions/FAT Viewer?action=UPDATE&amp;creator=factset&amp;DYN_ARGS=TRUE&amp;DOC_NAME=FAT:FQL_AUDITING_CLIENT_TEMPLATE.FAT&amp;display_string=Audit&amp;VAR:KEY=DIFYTGVGBI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464373&amp;VAR:INDEX=0"}</definedName>
    <definedName name="_1121__FDSAUDITLINK__" hidden="1">{"fdsup://directions/FAT Viewer?action=UPDATE&amp;creator=factset&amp;DYN_ARGS=TRUE&amp;DOC_NAME=FAT:FQL_AUDITING_CLIENT_TEMPLATE.FAT&amp;display_string=Audit&amp;VAR:KEY=LAZQHERAJC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525397&amp;VAR:INDEX=0"}</definedName>
    <definedName name="_1122__FDSAUDITLINK__" hidden="1">{"fdsup://directions/FAT Viewer?action=UPDATE&amp;creator=factset&amp;DYN_ARGS=TRUE&amp;DOC_NAME=FAT:FQL_AUDITING_CLIENT_TEMPLATE.FAT&amp;display_string=Audit&amp;VAR:KEY=LCDEFWDQJG&amp;VAR:QUERY=KChGRl9FTlRSUFJfVkFMX0RBSUxZKDQwNjk3LCwsLCwnRElMJykvSUNfRVNUSU1BVEUoRUJJVERBLE1FQU4sT","lRNXzRRLCw0MDY5NykpQEZFX1ZBTFVBVElPTignRVZfRUJJVERBJywnTUVBTicsJ05UTUEnLCcnLDQwNjk3LCwsJycpKQ==&amp;WINDOW=FIRST_POPUP&amp;HEIGHT=450&amp;WIDTH=450&amp;START_MAXIMIZED=FALSE&amp;VAR:CALENDAR=US&amp;VAR:SYMBOL=525647&amp;VAR:INDEX=0"}</definedName>
    <definedName name="_1128__FDSAUDITLINK__" hidden="1">{"fdsup://directions/FAT Viewer?action=UPDATE&amp;creator=factset&amp;DYN_ARGS=TRUE&amp;DOC_NAME=FAT:FQL_AUDITING_CLIENT_TEMPLATE.FAT&amp;display_string=Audit&amp;VAR:KEY=QRMBSPWLWJ&amp;VAR:QUERY=KChGRl9FTlRSUFJfVkFMX0RBSUxZKDQwNzQ2LCwsLCwnRElMJykvSUNfRVNUSU1BVEUoRUJJVERBLE1FQU4sT","lRNXzRRLCw0MDc0NikpQEZFX1ZBTFVBVElPTignRVZfRUJJVERBJywnTUVBTicsJ05UTUEnLCcnLDQwNzQ2LCwsJycpKQ==&amp;WINDOW=FIRST_POPUP&amp;HEIGHT=450&amp;WIDTH=450&amp;START_MAXIMIZED=FALSE&amp;VAR:CALENDAR=US&amp;VAR:SYMBOL=SKS&amp;VAR:INDEX=0"}</definedName>
    <definedName name="_1136__FDSAUDITLINK__" hidden="1">{"fdsup://directions/FAT Viewer?action=UPDATE&amp;creator=factset&amp;DYN_ARGS=TRUE&amp;DOC_NAME=FAT:FQL_AUDITING_CLIENT_TEMPLATE.FAT&amp;display_string=Audit&amp;VAR:KEY=GLKPOHQJSV&amp;VAR:QUERY=KChGRl9FTlRSUFJfVkFMX0RBSUxZKDQwNzQ2LCwsLCwnRElMJykvSUNfRVNUSU1BVEUoRUJJVERBLE1FQU4sT","lRNXzRRLCw0MDc0NikpQEZFX1ZBTFVBVElPTignRVZfRUJJVERBJywnTUVBTicsJ05UTUEnLCcnLDQwNzQ2LCwsJycpKQ==&amp;WINDOW=FIRST_POPUP&amp;HEIGHT=450&amp;WIDTH=450&amp;START_MAXIMIZED=FALSE&amp;VAR:CALENDAR=US&amp;VAR:SYMBOL=406141&amp;VAR:INDEX=0"}</definedName>
    <definedName name="_1137__FDSAUDITLINK__" hidden="1">{"fdsup://directions/FAT Viewer?action=UPDATE&amp;creator=factset&amp;DYN_ARGS=TRUE&amp;DOC_NAME=FAT:FQL_AUDITING_CLIENT_TEMPLATE.FAT&amp;display_string=Audit&amp;VAR:KEY=GHQZWDSROF&amp;VAR:QUERY=KChGRl9FTlRSUFJfVkFMX0RBSUxZKDQwNzUzLCwsLCwnRElMJykvSUNfRVNUSU1BVEUoRUJJVERBLE1FQU4sT","lRNXzRRLCw0MDc1MykpQEZFX1ZBTFVBVElPTignRVZfRUJJVERBJywnTUVBTicsJ05UTUEnLCcnLDQwNzUzLCwsJycpKQ==&amp;WINDOW=FIRST_POPUP&amp;HEIGHT=450&amp;WIDTH=450&amp;START_MAXIMIZED=FALSE&amp;VAR:CALENDAR=US&amp;VAR:SYMBOL=TIF&amp;VAR:INDEX=0"}</definedName>
    <definedName name="_1138__FDSAUDITLINK__" hidden="1">{"fdsup://directions/FAT Viewer?action=UPDATE&amp;creator=factset&amp;DYN_ARGS=TRUE&amp;DOC_NAME=FAT:FQL_AUDITING_CLIENT_TEMPLATE.FAT&amp;display_string=Audit&amp;VAR:KEY=JGXMTOVMXC&amp;VAR:QUERY=KChGRl9FTlRSUFJfVkFMX0RBSUxZKDQwNzM5LCwsLCwnRElMJykvSUNfRVNUSU1BVEUoRUJJVERBLE1FQU4sT","lRNXzRRLCw0MDczOSkpQEZFX1ZBTFVBVElPTignRVZfRUJJVERBJywnTUVBTicsJ05UTUEnLCcnLDQwNzM5LCwsJycpKQ==&amp;WINDOW=FIRST_POPUP&amp;HEIGHT=450&amp;WIDTH=450&amp;START_MAXIMIZED=FALSE&amp;VAR:CALENDAR=US&amp;VAR:SYMBOL=550507&amp;VAR:INDEX=0"}</definedName>
    <definedName name="_1148__FDSAUDITLINK__" hidden="1">{"fdsup://directions/FAT Viewer?action=UPDATE&amp;creator=factset&amp;DYN_ARGS=TRUE&amp;DOC_NAME=FAT:FQL_AUDITING_CLIENT_TEMPLATE.FAT&amp;display_string=Audit&amp;VAR:KEY=XGVMRCNUJM&amp;VAR:QUERY=KChGRl9FTlRSUFJfVkFMX0RBSUxZKDQwNzM5LCwsLCwnRElMJykvSUNfRVNUSU1BVEUoRUJJVERBLE1FQU4sT","lRNXzRRLCw0MDczOSkpQEZFX1ZBTFVBVElPTignRVZfRUJJVERBJywnTUVBTicsJ05UTUEnLCcnLDQwNzM5LCwsJycpKQ==&amp;WINDOW=FIRST_POPUP&amp;HEIGHT=450&amp;WIDTH=450&amp;START_MAXIMIZED=FALSE&amp;VAR:CALENDAR=US&amp;VAR:SYMBOL=525397&amp;VAR:INDEX=0"}</definedName>
    <definedName name="_1149__FDSAUDITLINK__" hidden="1">{"fdsup://directions/FAT Viewer?action=UPDATE&amp;creator=factset&amp;DYN_ARGS=TRUE&amp;DOC_NAME=FAT:FQL_AUDITING_CLIENT_TEMPLATE.FAT&amp;display_string=Audit&amp;VAR:KEY=NSZKTKRMXA&amp;VAR:QUERY=KChGRl9FTlRSUFJfVkFMX0RBSUxZKDQwNzM5LCwsLCwnRElMJykvSUNfRVNUSU1BVEUoRUJJVERBLE1FQU4sT","lRNXzRRLCw0MDczOSkpQEZFX1ZBTFVBVElPTignRVZfRUJJVERBJywnTUVBTicsJ05UTUEnLCcnLDQwNzM5LCwsJycpKQ==&amp;WINDOW=FIRST_POPUP&amp;HEIGHT=450&amp;WIDTH=450&amp;START_MAXIMIZED=FALSE&amp;VAR:CALENDAR=US&amp;VAR:SYMBOL=525647&amp;VAR:INDEX=0"}</definedName>
    <definedName name="_116_._0SGA_gro">#REF!</definedName>
    <definedName name="_117_._0SGA_gro">#REF!</definedName>
    <definedName name="_12__FDSAUDITLINK__" hidden="1">{"fdsup://directions/FAT Viewer?action=UPDATE&amp;creator=factset&amp;DYN_ARGS=TRUE&amp;DOC_NAME=FAT:FQL_AUDITING_CLIENT_TEMPLATE.FAT&amp;display_string=Audit&amp;VAR:KEY=XKDELQHUTU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KR&amp;VAR:INDEX=0"}</definedName>
    <definedName name="_1230__FDSAUDITLINK__" hidden="1">{"fdsup://directions/FAT Viewer?action=UPDATE&amp;creator=factset&amp;DYN_ARGS=TRUE&amp;DOC_NAME=FAT:FQL_AUDITING_CLIENT_TEMPLATE.FAT&amp;display_string=Audit&amp;VAR:KEY=HQPGFEPIJC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KSS&amp;VAR:INDEX=0"}</definedName>
    <definedName name="_1231__FDSAUDITLINK__" hidden="1">{"fdsup://directions/FAT Viewer?action=UPDATE&amp;creator=factset&amp;DYN_ARGS=TRUE&amp;DOC_NAME=FAT:FQL_AUDITING_CLIENT_TEMPLATE.FAT&amp;display_string=Audit&amp;VAR:KEY=FSBYXGHSRG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ROST&amp;VAR:INDEX=0"}</definedName>
    <definedName name="_1232__FDSAUDITLINK__" hidden="1">{"fdsup://directions/FAT Viewer?action=UPDATE&amp;creator=factset&amp;DYN_ARGS=TRUE&amp;DOC_NAME=FAT:FQL_AUDITING_CLIENT_TEMPLATE.FAT&amp;display_string=Audit&amp;VAR:KEY=JYJQNGPGTA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TJX&amp;VAR:INDEX=0"}</definedName>
    <definedName name="_1233__FDSAUDITLINK__" hidden="1">{"fdsup://directions/FAT Viewer?action=UPDATE&amp;creator=factset&amp;DYN_ARGS=TRUE&amp;DOC_NAME=FAT:FQL_AUDITING_CLIENT_TEMPLATE.FAT&amp;display_string=Audit&amp;VAR:KEY=BEPUVEPWPQ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DLTR&amp;VAR:INDEX=0"}</definedName>
    <definedName name="_1234__FDSAUDITLINK__" hidden="1">{"fdsup://directions/FAT Viewer?action=UPDATE&amp;creator=factset&amp;DYN_ARGS=TRUE&amp;DOC_NAME=FAT:FQL_AUDITING_CLIENT_TEMPLATE.FAT&amp;display_string=Audit&amp;VAR:KEY=NOLKREDQLO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FDO&amp;VAR:INDEX=0"}</definedName>
    <definedName name="_1235__FDSAUDITLINK__" hidden="1">{"fdsup://directions/FAT Viewer?action=UPDATE&amp;creator=factset&amp;DYN_ARGS=TRUE&amp;DOC_NAME=FAT:FQL_AUDITING_CLIENT_TEMPLATE.FAT&amp;display_string=Audit&amp;VAR:KEY=FYJYZERKDE&amp;VAR:QUERY=KChGRl9FTlRSUFJfVkFMX0RBSUxZKDQwNjY5LCwsLCwnRElMJykvSUNfRVNUSU1BVEUoRUJJVERBX0VOVU1FU","kFUSU9OLE1FQU5fRU5VTUVSQVRJT04sTlRNXzRRX0VOVU1FUkFUSU9OLCw0MDY2OSkpQEZFX1ZBTFVBVElPTignRVZfRUJJVERBJywnTUVBTicsJ05UTUEnLCcnLDQwNjY5LCwsJycpKQ==&amp;WINDOW=FIRST_POPUP&amp;HEIGHT=450&amp;WIDTH=450&amp;START_MAXIMIZED=FALSE&amp;VAR:CALENDAR=US&amp;VAR:SYMBOL=JWN&amp;VAR:INDEX=0"}</definedName>
    <definedName name="_1245__FDSAUDITLINK__" hidden="1">{"fdsup://directions/FAT Viewer?action=UPDATE&amp;creator=factset&amp;DYN_ARGS=TRUE&amp;DOC_NAME=FAT:FQL_AUDITING_CLIENT_TEMPLATE.FAT&amp;display_string=Audit&amp;VAR:KEY=PCLWVATWNG&amp;VAR:QUERY=KChGRl9FTlRSUFJfVkFMX0RBSUxZKDQwNjc2LCwsLCwnRElMJykvSUNfRVNUSU1BVEUoRUJJVERBX0VOVU1FU","kFUSU9OLE1FQU5fRU5VTUVSQVRJT04sTlRNXzRRX0VOVU1FUkFUSU9OLCw0MDY3NikpQEZFX1ZBTFVBVElPTignRVZfRUJJVERBJywnTUVBTicsJ05UTUEnLCcnLDQwNjc2LCwsJycpKQ==&amp;WINDOW=FIRST_POPUP&amp;HEIGHT=450&amp;WIDTH=450&amp;START_MAXIMIZED=FALSE&amp;VAR:CALENDAR=US&amp;VAR:SYMBOL=COST&amp;VAR:INDEX=0"}</definedName>
    <definedName name="_1246__FDSAUDITLINK__" hidden="1">{"fdsup://directions/FAT Viewer?action=UPDATE&amp;creator=factset&amp;DYN_ARGS=TRUE&amp;DOC_NAME=FAT:FQL_AUDITING_CLIENT_TEMPLATE.FAT&amp;display_string=Audit&amp;VAR:KEY=XKJEPUHOLK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SHLD&amp;VAR:INDEX=0"}</definedName>
    <definedName name="_1247__FDSAUDITLINK__" hidden="1">{"fdsup://directions/FAT Viewer?action=UPDATE&amp;creator=factset&amp;DYN_ARGS=TRUE&amp;DOC_NAME=FAT:FQL_AUDITING_CLIENT_TEMPLATE.FAT&amp;display_string=Audit&amp;VAR:KEY=JEXYTUDYZU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SWY&amp;VAR:INDEX=0"}</definedName>
    <definedName name="_1248__FDSAUDITLINK__" hidden="1">{"fdsup://directions/FAT Viewer?action=UPDATE&amp;creator=factset&amp;DYN_ARGS=TRUE&amp;DOC_NAME=FAT:FQL_AUDITING_CLIENT_TEMPLATE.FAT&amp;display_string=Audit&amp;VAR:KEY=RIPCLUVCPW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KR&amp;VAR:INDEX=0"}</definedName>
    <definedName name="_1249__FDSAUDITLINK__" hidden="1">{"fdsup://directions/FAT Viewer?action=UPDATE&amp;creator=factset&amp;DYN_ARGS=TRUE&amp;DOC_NAME=FAT:FQL_AUDITING_CLIENT_TEMPLATE.FAT&amp;display_string=Audit&amp;VAR:KEY=LKBUZKROJA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M&amp;VAR:INDEX=0"}</definedName>
    <definedName name="_125_._0Shares_repurchase_liabil">#REF!</definedName>
    <definedName name="_1250__FDSAUDITLINK__" hidden="1">{"fdsup://directions/FAT Viewer?action=UPDATE&amp;creator=factset&amp;DYN_ARGS=TRUE&amp;DOC_NAME=FAT:FQL_AUDITING_CLIENT_TEMPLATE.FAT&amp;display_string=Audit&amp;VAR:KEY=NYZGRMLWDY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JCP&amp;VAR:INDEX=0"}</definedName>
    <definedName name="_1257__FDSAUDITLINK__" hidden="1">{"fdsup://directions/FAT Viewer?action=UPDATE&amp;creator=factset&amp;DYN_ARGS=TRUE&amp;DOC_NAME=FAT:FQL_AUDITING_CLIENT_TEMPLATE.FAT&amp;display_string=Audit&amp;VAR:KEY=TAPCTURINW&amp;VAR:QUERY=KChGRl9FTlRSUFJfVkFMX0RBSUxZKDQwNjYyLCwsLCwnRElMJykvSUNfRVNUSU1BVEUoRUJJVERBX0VOVU1FU","kFUSU9OLE1FQU5fRU5VTUVSQVRJT04sTlRNXzRRX0VOVU1FUkFUSU9OLCw0MDY2MikpQEZFX1ZBTFVBVElPTignRVZfRUJJVERBJywnTUVBTicsJ05UTUEnLCcnLDQwNjYyLCwsJycpKQ==&amp;WINDOW=FIRST_POPUP&amp;HEIGHT=450&amp;WIDTH=450&amp;START_MAXIMIZED=FALSE&amp;VAR:CALENDAR=US&amp;VAR:SYMBOL=WMT&amp;VAR:INDEX=0"}</definedName>
    <definedName name="_126_._0Shares_repurchase_liabil">#REF!</definedName>
    <definedName name="_13__FDSAUDITLINK__" hidden="1">{"fdsup://directions/FAT Viewer?action=UPDATE&amp;creator=factset&amp;DYN_ARGS=TRUE&amp;DOC_NAME=FAT:FQL_AUDITING_CLIENT_TEMPLATE.FAT&amp;display_string=Audit&amp;VAR:KEY=TMDETIHKXY&amp;VAR:QUERY=KChGRl9FTlRSUFJfVkFMX0RBSUxZKDQwNjQxLCwsLCwnRElMJykvSUNfRVNUSU1BVEUoRUJJVERBLE1FQU4sT","lRNXzRRLCw0MDY0MSkpQEZFX1ZBTFVBVElPTignRVZfRUJJVERBJywnTUVBTicsJ05UTUEnLCcnLDQwNjQxLCwsJycpKQ==&amp;WINDOW=FIRST_POPUP&amp;HEIGHT=450&amp;WIDTH=450&amp;START_MAXIMIZED=FALSE&amp;VAR:CALENDAR=US&amp;VAR:SYMBOL=RL&amp;VAR:INDEX=0"}</definedName>
    <definedName name="_134_0FAMERangeSheet">#REF!</definedName>
    <definedName name="_135_0FAMERangeSheet">#REF!</definedName>
    <definedName name="_14__FDSAUDITLINK__" hidden="1">{"fdsup://directions/FAT Viewer?action=UPDATE&amp;creator=factset&amp;DYN_ARGS=TRUE&amp;DOC_NAME=FAT:FQL_AUDITING_CLIENT_TEMPLATE.FAT&amp;display_string=Audit&amp;VAR:KEY=HETCFMBGPM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PVH&amp;VAR:INDEX=0"}</definedName>
    <definedName name="_143_0FAMERangeSheet">#REF!</definedName>
    <definedName name="_144_0FAMERangeSheet">#REF!</definedName>
    <definedName name="_15__FDSAUDITLINK__" hidden="1">{"fdsup://directions/FAT Viewer?action=UPDATE&amp;creator=factset&amp;DYN_ARGS=TRUE&amp;DOC_NAME=FAT:FQL_AUDITING_CLIENT_TEMPLATE.FAT&amp;display_string=Audit&amp;VAR:KEY=RYLSTMXYHU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JNY&amp;VAR:INDEX=0"}</definedName>
    <definedName name="_152_0FAMERangeSheet">#REF!</definedName>
    <definedName name="_153_0FAMERangeSheet">#REF!</definedName>
    <definedName name="_161_0FAMERangeSheet">#REF!</definedName>
    <definedName name="_162_0FAMERangeSheet">#REF!</definedName>
    <definedName name="_17_0UniqueRang">#REF!</definedName>
    <definedName name="_170_0FAMERangeSheet">#REF!</definedName>
    <definedName name="_171_0FAMERangeSheet">#REF!</definedName>
    <definedName name="_179_0FAMERangeSheet">#REF!</definedName>
    <definedName name="_18_0UniqueRang">#REF!</definedName>
    <definedName name="_180_0FAMERangeSheet">#REF!</definedName>
    <definedName name="_188_0FAMERangeSheet">#REF!</definedName>
    <definedName name="_189_0FAMERangeSheet">#REF!</definedName>
    <definedName name="_1911__FDSAUDITLINK__" hidden="1">{"fdsup://directions/FAT Viewer?action=UPDATE&amp;creator=factset&amp;DYN_ARGS=TRUE&amp;DOC_NAME=FAT:FQL_AUDITING_CLIENT_TEMPLATE.FAT&amp;display_string=Audit&amp;VAR:KEY=BQLGXOXQVY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LOW&amp;VAR:INDEX=0"}</definedName>
    <definedName name="_1912__FDSAUDITLINK__" hidden="1">{"fdsup://directions/FAT Viewer?action=UPDATE&amp;creator=factset&amp;DYN_ARGS=TRUE&amp;DOC_NAME=FAT:FQL_AUDITING_CLIENT_TEMPLATE.FAT&amp;display_string=Audit&amp;VAR:KEY=HSJEPMFUDY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HD&amp;VAR:INDEX=0"}</definedName>
    <definedName name="_1915__FDSAUDITLINK__" hidden="1">{"fdsup://directions/FAT Viewer?action=UPDATE&amp;creator=factset&amp;DYN_ARGS=TRUE&amp;DOC_NAME=FAT:FQL_AUDITING_CLIENT_TEMPLATE.FAT&amp;display_string=Audit&amp;VAR:KEY=FERMDYJGDE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VFC&amp;VAR:INDEX=0"}</definedName>
    <definedName name="_1916__FDSAUDITLINK__" hidden="1">{"fdsup://directions/FAT Viewer?action=UPDATE&amp;creator=factset&amp;DYN_ARGS=TRUE&amp;DOC_NAME=FAT:FQL_AUDITING_CLIENT_TEMPLATE.FAT&amp;display_string=Audit&amp;VAR:KEY=FYPITIBSFC&amp;VAR:QUERY=KChGRl9FTlRSUFJfVkFMX0RBSUxZKDQxMDY4LCwsLCwnRElMJykgLyBJQ19FU1RJTUFURShFQklUREEsTUVBT","ixOVE1fNFEsLDQxMDY4KSlARkVfVkFMVUFUSU9OKCdFVl9FQklUREEnLCdNRUFOJywnTlRNQScsJycsNDEwNjgsLCwnJykp&amp;WINDOW=FIRST_POPUP&amp;HEIGHT=450&amp;WIDTH=450&amp;START_MAXIMIZED=FALSE&amp;VAR:CALENDAR=US&amp;VAR:SYMBOL=DG&amp;VAR:INDEX=0"}</definedName>
    <definedName name="_1921__FDSAUDITLINK__" hidden="1">{"fdsup://directions/FAT Viewer?action=UPDATE&amp;creator=factset&amp;DYN_ARGS=TRUE&amp;DOC_NAME=FAT:FQL_AUDITING_CLIENT_TEMPLATE.FAT&amp;display_string=Audit&amp;VAR:KEY=BWDEJYHIXU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TIF&amp;VAR:INDEX=0"}</definedName>
    <definedName name="_197_0FAMERangeSheet">#REF!</definedName>
    <definedName name="_198_0FAMERangeSheet">#REF!</definedName>
    <definedName name="_2__FDSAUDITLINK__" hidden="1">{"fdsup://directions/FAT Viewer?action=UPDATE&amp;creator=factset&amp;DYN_ARGS=TRUE&amp;DOC_NAME=FAT:FQL_AUDITING_CLIENT_TEMPLATE.FAT&amp;display_string=Audit&amp;VAR:KEY=VKHWLMHERE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HD&amp;VAR:INDEX=0"}</definedName>
    <definedName name="_206_0UniqueRang">#REF!</definedName>
    <definedName name="_207_0UniqueRang">#REF!</definedName>
    <definedName name="_21__FDSAUDITLINK__" hidden="1">{"fdsup://directions/FAT Viewer?action=UPDATE&amp;creator=factset&amp;DYN_ARGS=TRUE&amp;DOC_NAME=FAT:FQL_AUDITING_CLIENT_TEMPLATE.FAT&amp;display_string=Audit&amp;VAR:KEY=PGTEBSLEVM&amp;VAR:QUERY=KChGRl9FTlRSUFJfVkFMX0RBSUxZKDQwNjc2LCwsLCwnRElMJykvSUNfRVNUSU1BVEUoRUJJVERBX0VOVU1FU","kFUSU9OLE1FQU5fRU5VTUVSQVRJT04sTlRNXzRRX0VOVU1FUkFUSU9OLCw0MDY3NikpQEZFX1ZBTFVBVElPTignRVZfRUJJVERBJywnTUVBTicsJ05UTUEnLCcnLDQwNjc2LCwsJycpKQ==&amp;WINDOW=FIRST_POPUP&amp;HEIGHT=450&amp;WIDTH=450&amp;START_MAXIMIZED=FALSE&amp;VAR:CALENDAR=US&amp;VAR:SYMBOL=WFM&amp;VAR:INDEX=0"}</definedName>
    <definedName name="_215_0UniqueRang">#REF!</definedName>
    <definedName name="_216_0UniqueRang">#REF!</definedName>
    <definedName name="_22__FDSAUDITLINK__" hidden="1">{"fdsup://directions/FAT Viewer?action=UPDATE&amp;creator=factset&amp;DYN_ARGS=TRUE&amp;DOC_NAME=FAT:FQL_AUDITING_CLIENT_TEMPLATE.FAT&amp;display_string=Audit&amp;VAR:KEY=VKTGZCBING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BJ&amp;VAR:INDEX=0"}</definedName>
    <definedName name="_224_0UniqueRang">#REF!</definedName>
    <definedName name="_225_0UniqueRang">#REF!</definedName>
    <definedName name="_23__FDSAUDITLINK__" hidden="1">{"fdsup://directions/FAT Viewer?action=UPDATE&amp;creator=factset&amp;DYN_ARGS=TRUE&amp;DOC_NAME=FAT:FQL_AUDITING_CLIENT_TEMPLATE.FAT&amp;display_string=Audit&amp;VAR:KEY=FINYDOTUDA&amp;VAR:QUERY=KChGRl9FTlRSUFJfVkFMX0RBSUxZKDQwNjQ4LCwsLCwnRElMJykvSUNfRVNUSU1BVEUoRUJJVERBX0VOVU1FU","kFUSU9OLE1FQU5fRU5VTUVSQVRJT04sTlRNXzRRX0VOVU1FUkFUSU9OLCw0MDY0OCkpQEZFX1ZBTFVBVElPTignRVZfRUJJVERBJywnTUVBTicsJ05UTUEnLCcnLDQwNjQ4LCwsJycpKQ==&amp;WINDOW=FIRST_POPUP&amp;HEIGHT=450&amp;WIDTH=450&amp;START_MAXIMIZED=FALSE&amp;VAR:CALENDAR=US&amp;VAR:SYMBOL=PVH&amp;VAR:INDEX=0"}</definedName>
    <definedName name="_233_0UniqueRange">#REF!</definedName>
    <definedName name="_234_0UniqueRange">#REF!</definedName>
    <definedName name="_24__FDSAUDITLINK__" hidden="1">{"fdsup://directions/FAT Viewer?action=UPDATE&amp;creator=factset&amp;DYN_ARGS=TRUE&amp;DOC_NAME=FAT:FQL_AUDITING_CLIENT_TEMPLATE.FAT&amp;display_string=Audit&amp;VAR:KEY=HYBUFEDCZK&amp;VAR:QUERY=KChGRl9FTlRSUFJfVkFMX0RBSUxZKDQwNjIwLCwsLCwnRElMJykvSUNfRVNUSU1BVEUoRUJJVERBX0VOVU1FU","kFUSU9OLE1FQU5fRU5VTUVSQVRJT04sTlRNXzRRX0VOVU1FUkFUSU9OLCw0MDYyMCkpQEZFX1ZBTFVBVElPTignRVZfRUJJVERBJywnTUVBTicsJ05UTUEnLCcnLDQwNjIwLCwsJycpKQ==&amp;WINDOW=FIRST_POPUP&amp;HEIGHT=450&amp;WIDTH=450&amp;START_MAXIMIZED=FALSE&amp;VAR:CALENDAR=US&amp;VAR:SYMBOL=TFM&amp;VAR:INDEX=0"}</definedName>
    <definedName name="_242_0UniqueRange">#REF!</definedName>
    <definedName name="_243_0UniqueRange">#REF!</definedName>
    <definedName name="_249__FDSAUDITLINK__" hidden="1">{"fdsup://directions/FAT Viewer?action=UPDATE&amp;creator=factset&amp;DYN_ARGS=TRUE&amp;DOC_NAME=FAT:FQL_AUDITING_CLIENT_TEMPLATE.FAT&amp;display_string=Audit&amp;VAR:KEY=XMNABAVQZU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COH&amp;VAR:INDEX=0"}</definedName>
    <definedName name="_25__FDSAUDITLINK__" hidden="1">{"fdsup://directions/FAT Viewer?action=UPDATE&amp;creator=factset&amp;DYN_ARGS=TRUE&amp;DOC_NAME=FAT:FQL_AUDITING_CLIENT_TEMPLATE.FAT&amp;display_string=Audit&amp;VAR:KEY=JQZIDOPUXE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NILE&amp;VAR:INDEX=0"}</definedName>
    <definedName name="_251_0UniqueRange">#REF!</definedName>
    <definedName name="_252_0UniqueRange">#REF!</definedName>
    <definedName name="_26__FDSAUDITLINK__" hidden="1">{"fdsup://directions/FAT Viewer?action=UPDATE&amp;creator=factset&amp;DYN_ARGS=TRUE&amp;DOC_NAME=FAT:FQL_AUDITING_CLIENT_TEMPLATE.FAT&amp;display_string=Audit&amp;VAR:KEY=BENCRYRMBC&amp;VAR:QUERY=KChGRl9FTlRSUFJfVkFMX0RBSUxZKDQwNjU1LCwsLCwnRElMJykvSUNfRVNUSU1BVEUoRUJJVERBX0VOVU1FU","kFUSU9OLE1FQU5fRU5VTUVSQVRJT04sTlRNXzRRX0VOVU1FUkFUSU9OLCw0MDY1NSkpQEZFX1ZBTFVBVElPTignRVZfRUJJVERBJywnTUVBTicsJ05UTUEnLCcnLDQwNjU1LCwsJycpKQ==&amp;WINDOW=FIRST_POPUP&amp;HEIGHT=450&amp;WIDTH=450&amp;START_MAXIMIZED=FALSE&amp;VAR:CALENDAR=US&amp;VAR:SYMBOL=NILE&amp;VAR:INDEX=0"}</definedName>
    <definedName name="_26_0EBITDA_Sh">#REF!</definedName>
    <definedName name="_260_0UniqueRange">#REF!</definedName>
    <definedName name="_261_0UniqueRange">#REF!</definedName>
    <definedName name="_269_0UniqueRange">#REF!</definedName>
    <definedName name="_27__FDSAUDITLINK__" hidden="1">{"fdsup://directions/FAT Viewer?action=UPDATE&amp;creator=factset&amp;DYN_ARGS=TRUE&amp;DOC_NAME=FAT:FQL_AUDITING_CLIENT_TEMPLATE.FAT&amp;display_string=Audit&amp;VAR:KEY=XQTAHQLEFC&amp;VAR:QUERY=KChGRl9FTlRSUFJfVkFMX0RBSUxZKDQwNjQ4LCwsLCwnRElMJykvSUNfRVNUSU1BVEUoRUJJVERBLE1FQU4sT","lRNXzRRLCw0MDY0OCkpQEZFX1ZBTFVBVElPTignRVZfRUJJVERBJywnTUVBTicsJ05UTUEnLCcnLDQwNjQ4LCwsJycpKQ==&amp;WINDOW=FIRST_POPUP&amp;HEIGHT=450&amp;WIDTH=450&amp;START_MAXIMIZED=FALSE&amp;VAR:CALENDAR=US&amp;VAR:SYMBOL=TIF&amp;VAR:INDEX=0"}</definedName>
    <definedName name="_27_0EBITDA_Sh">#REF!</definedName>
    <definedName name="_270_0UniqueRange">#REF!</definedName>
    <definedName name="_278_0UniqueRange">#REF!</definedName>
    <definedName name="_279_0UniqueRange">#REF!</definedName>
    <definedName name="_28__FDSAUDITLINK__" hidden="1">{"fdsup://directions/FAT Viewer?action=UPDATE&amp;creator=factset&amp;DYN_ARGS=TRUE&amp;DOC_NAME=FAT:FQL_AUDITING_CLIENT_TEMPLATE.FAT&amp;display_string=Audit&amp;VAR:KEY=BMPEFKLGPW&amp;VAR:QUERY=KChGRl9FTlRSUFJfVkFMX0RBSUxZKDQwNjM0LCwsLCwnRElMJykvSUNfRVNUSU1BVEUoRUJJVERBX0VOVU1FU","kFUSU9OLE1FQU5fRU5VTUVSQVRJT04sTlRNXzRRX0VOVU1FUkFUSU9OLCw0MDYzNCkpQEZFX1ZBTFVBVElPTignRVZfRUJJVERBJywnTUVBTicsJ05UTUEnLCcnLDQwNjM0LCwsJycpKQ==&amp;WINDOW=FIRST_POPUP&amp;HEIGHT=450&amp;WIDTH=450&amp;START_MAXIMIZED=FALSE&amp;VAR:CALENDAR=US&amp;VAR:SYMBOL=JCP&amp;VAR:INDEX=0"}</definedName>
    <definedName name="_287_0UniqueRange">#REF!</definedName>
    <definedName name="_288_0UniqueRange">#REF!</definedName>
    <definedName name="_29__FDSAUDITLINK__" hidden="1">{"fdsup://directions/FAT Viewer?action=UPDATE&amp;creator=factset&amp;DYN_ARGS=TRUE&amp;DOC_NAME=FAT:FQL_AUDITING_CLIENT_TEMPLATE.FAT&amp;display_string=Audit&amp;VAR:KEY=JEXERGLCBA&amp;VAR:QUERY=KChGRl9FTlRSUFJfVkFMX0RBSUxZKDQwNjQ4LCwsLCwnRElMJykvSUNfRVNUSU1BVEUoRUJJVERBX0VOVU1FU","kFUSU9OLE1FQU5fRU5VTUVSQVRJT04sTlRNXzRRX0VOVU1FUkFUSU9OLCw0MDY0OCkpQEZFX1ZBTFVBVElPTignRVZfRUJJVERBJywnTUVBTicsJ05UTUEnLCcnLDQwNjQ4LCwsJycpKQ==&amp;WINDOW=FIRST_POPUP&amp;HEIGHT=450&amp;WIDTH=450&amp;START_MAXIMIZED=FALSE&amp;VAR:CALENDAR=US&amp;VAR:SYMBOL=JNY&amp;VAR:INDEX=0"}</definedName>
    <definedName name="_296_0UniqueRange">#REF!</definedName>
    <definedName name="_297_0UniqueRange">#REF!</definedName>
    <definedName name="_3__FDSAUDITLINK__" hidden="1">{"fdsup://directions/FAT Viewer?action=UPDATE&amp;creator=factset&amp;DYN_ARGS=TRUE&amp;DOC_NAME=FAT:FQL_AUDITING_CLIENT_TEMPLATE.FAT&amp;display_string=Audit&amp;VAR:KEY=WPQLSVENGN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LOW&amp;VAR:INDEX=0"}</definedName>
    <definedName name="_30__FDSAUDITLINK__" hidden="1">{"fdsup://directions/FAT Viewer?action=UPDATE&amp;creator=factset&amp;DYN_ARGS=TRUE&amp;DOC_NAME=FAT:FQL_AUDITING_CLIENT_TEMPLATE.FAT&amp;display_string=Audit&amp;VAR:KEY=TCXKLYVAXQ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COST&amp;VAR:INDEX=0"}</definedName>
    <definedName name="_305_0UniqueRange">#REF!</definedName>
    <definedName name="_306_0UniqueRange">#REF!</definedName>
    <definedName name="_31__FDSAUDITLINK__" hidden="1">{"fdsup://directions/FAT Viewer?action=UPDATE&amp;creator=factset&amp;DYN_ARGS=TRUE&amp;DOC_NAME=FAT:FQL_AUDITING_CLIENT_TEMPLATE.FAT&amp;display_string=Audit&amp;VAR:KEY=FKHGPOBQXU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FDO&amp;VAR:INDEX=0"}</definedName>
    <definedName name="_314_3_0Income_before_ta">#REF!</definedName>
    <definedName name="_315_3_0Income_before_ta">#REF!</definedName>
    <definedName name="_32__FDSAUDITLINK__" hidden="1">{"fdsup://directions/FAT Viewer?action=UPDATE&amp;creator=factset&amp;DYN_ARGS=TRUE&amp;DOC_NAME=FAT:FQL_AUDITING_CLIENT_TEMPLATE.FAT&amp;display_string=Audit&amp;VAR:KEY=BYZSXSRWXG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WMT&amp;VAR:INDEX=0"}</definedName>
    <definedName name="_323_3_0Increase_in_other_liabilit">#REF!</definedName>
    <definedName name="_324_3_0Increase_in_other_liabilit">#REF!</definedName>
    <definedName name="_33__FDSAUDITLINK__" hidden="1">{"fdsup://directions/FAT Viewer?action=UPDATE&amp;creator=factset&amp;DYN_ARGS=TRUE&amp;DOC_NAME=FAT:FQL_AUDITING_CLIENT_TEMPLATE.FAT&amp;display_string=Audit&amp;VAR:KEY=JWRSJWBSLE&amp;VAR:QUERY=KChGRl9FTlRSUFJfVkFMX0RBSUxZKDQwNjM0LCwsLCwnRElMJykvSUNfRVNUSU1BVEUoRUJJVERBX0VOVU1FU","kFUSU9OLE1FQU5fRU5VTUVSQVRJT04sTlRNXzRRX0VOVU1FUkFUSU9OLCw0MDYzNCkpQEZFX1ZBTFVBVElPTignRVZfRUJJVERBJywnTUVBTicsJ05UTUEnLCcnLDQwNjM0LCwsJycpKQ==&amp;WINDOW=FIRST_POPUP&amp;HEIGHT=450&amp;WIDTH=450&amp;START_MAXIMIZED=FALSE&amp;VAR:CALENDAR=US&amp;VAR:SYMBOL=DLTR&amp;VAR:INDEX=0"}</definedName>
    <definedName name="_332_3_0Other_Segment_Reven">#REF!</definedName>
    <definedName name="_333_3_0Other_Segment_Reven">#REF!</definedName>
    <definedName name="_34__FDSAUDITLINK__" hidden="1">{"fdsup://directions/FAT Viewer?action=UPDATE&amp;creator=factset&amp;DYN_ARGS=TRUE&amp;DOC_NAME=FAT:FQL_AUDITING_CLIENT_TEMPLATE.FAT&amp;display_string=Audit&amp;VAR:KEY=BKPSBWVEVM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M&amp;VAR:INDEX=0"}</definedName>
    <definedName name="_35__FDSAUDITLINK__" hidden="1">{"fdsup://directions/FAT Viewer?action=UPDATE&amp;creator=factset&amp;DYN_ARGS=TRUE&amp;DOC_NAME=FAT:FQL_AUDITING_CLIENT_TEMPLATE.FAT&amp;display_string=Audit&amp;VAR:KEY=ZOVADCHSPO&amp;VAR:QUERY=KChGRl9FTlRSUFJfVkFMX0RBSUxZKDQwNjM0LCwsLCwnRElMJykvSUNfRVNUSU1BVEUoRUJJVERBX0VOVU1FU","kFUSU9OLE1FQU5fRU5VTUVSQVRJT04sTlRNXzRRX0VOVU1FUkFUSU9OLCw0MDYzNCkpQEZFX1ZBTFVBVElPTignRVZfRUJJVERBJywnTUVBTicsJ05UTUEnLCcnLDQwNjM0LCwsJycpKQ==&amp;WINDOW=FIRST_POPUP&amp;HEIGHT=450&amp;WIDTH=450&amp;START_MAXIMIZED=FALSE&amp;VAR:CALENDAR=US&amp;VAR:SYMBOL=TFM&amp;VAR:INDEX=0"}</definedName>
    <definedName name="_35_0NOPAT_Sh">#REF!</definedName>
    <definedName name="_36__FDSAUDITLINK__" hidden="1">{"fdsup://directions/FAT Viewer?action=UPDATE&amp;creator=factset&amp;DYN_ARGS=TRUE&amp;DOC_NAME=FAT:FQL_AUDITING_CLIENT_TEMPLATE.FAT&amp;display_string=Audit&amp;VAR:KEY=NYZQZCLGLE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RL&amp;VAR:INDEX=0"}</definedName>
    <definedName name="_36_0NOPAT_Sh">#REF!</definedName>
    <definedName name="_37__FDSAUDITLINK__" hidden="1">{"fdsup://directions/FAT Viewer?action=UPDATE&amp;creator=factset&amp;DYN_ARGS=TRUE&amp;DOC_NAME=FAT:FQL_AUDITING_CLIENT_TEMPLATE.FAT&amp;display_string=Audit&amp;VAR:KEY=DABKNSPADY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TGT&amp;VAR:INDEX=0"}</definedName>
    <definedName name="_38__FDSAUDITLINK__" hidden="1">{"fdsup://directions/FAT Viewer?action=UPDATE&amp;creator=factset&amp;DYN_ARGS=TRUE&amp;DOC_NAME=FAT:FQL_AUDITING_CLIENT_TEMPLATE.FAT&amp;display_string=Audit&amp;VAR:KEY=VQXATUPOTS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KSS&amp;VAR:INDEX=0"}</definedName>
    <definedName name="_39__FDSAUDITLINK__" hidden="1">{"fdsup://directions/FAT Viewer?action=UPDATE&amp;creator=factset&amp;DYN_ARGS=TRUE&amp;DOC_NAME=FAT:FQL_AUDITING_CLIENT_TEMPLATE.FAT&amp;display_string=Audit&amp;VAR:KEY=JIJIRADQXS&amp;VAR:QUERY=KChGRl9FTlRSUFJfVkFMX0RBSUxZKDQwNjQxLCwsLCwnRElMJykvSUNfRVNUSU1BVEUoRUJJVERBX0VOVU1FU","kFUSU9OLE1FQU5fRU5VTUVSQVRJT04sTlRNXzRRX0VOVU1FUkFUSU9OLCw0MDY0MSkpQEZFX1ZBTFVBVElPTignRVZfRUJJVERBJywnTUVBTicsJ05UTUEnLCcnLDQwNjQxLCwsJycpKQ==&amp;WINDOW=FIRST_POPUP&amp;HEIGHT=450&amp;WIDTH=450&amp;START_MAXIMIZED=FALSE&amp;VAR:CALENDAR=US&amp;VAR:SYMBOL=TFM&amp;VAR:INDEX=0"}</definedName>
    <definedName name="_3937__FDSAUDITLINK__" hidden="1">{"fdsup://directions/FAT Viewer?action=UPDATE&amp;creator=factset&amp;DYN_ARGS=TRUE&amp;DOC_NAME=FAT:FQL_AUDITING_CLIENT_TEMPLATE.FAT&amp;display_string=Audit&amp;VAR:KEY=TMXOTKHAFK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317430&amp;VAR:INDEX=0"}</definedName>
    <definedName name="_40__FDSAUDITLINK__" hidden="1">{"fdsup://directions/FAT Viewer?action=UPDATE&amp;creator=factset&amp;DYN_ARGS=TRUE&amp;DOC_NAME=FAT:FQL_AUDITING_CLIENT_TEMPLATE.FAT&amp;display_string=Audit&amp;VAR:KEY=POHAZIZWFY&amp;VAR:QUERY=KChGRl9FTlRSUFJfVkFMX0RBSUxZKDQwNjA2LCwsLCwnRElMJykvSUNfRVNUSU1BVEUoRUJJVERBX0VOVU1FU","kFUSU9OLE1FQU5fRU5VTUVSQVRJT04sTlRNXzRRX0VOVU1FUkFUSU9OLCw0MDYwNikpQEZFX1ZBTFVBVElPTignRVZfRUJJVERBJywnTUVBTicsJ05UTUEnLCcnLDQwNjA2LCwsJycpKQ==&amp;WINDOW=FIRST_POPUP&amp;HEIGHT=450&amp;WIDTH=450&amp;START_MAXIMIZED=FALSE&amp;VAR:CALENDAR=US&amp;VAR:SYMBOL=SHLD&amp;VAR:INDEX=0"}</definedName>
    <definedName name="_42__FDSAUDITLINK__" hidden="1">{"fdsup://directions/FAT Viewer?action=UPDATE&amp;creator=factset&amp;DYN_ARGS=TRUE&amp;DOC_NAME=FAT:FQL_AUDITING_CLIENT_TEMPLATE.FAT&amp;display_string=Audit&amp;VAR:KEY=JEPGNOJARA&amp;VAR:QUERY=KChGRl9FTlRSUFJfVkFMX0RBSUxZKDQwNjEzLCwsLCwnRElMJykvSUNfRVNUSU1BVEUoRUJJVERBX0VOVU1FU","kFUSU9OLE1FQU5fRU5VTUVSQVRJT04sTlRNXzRRX0VOVU1FUkFUSU9OLCw0MDYxMykpQEZFX1ZBTFVBVElPTignRVZfRUJJVERBJywnTUVBTicsJ05UTUEnLCcnLDQwNjEzLCwsJycpKQ==&amp;WINDOW=FIRST_POPUP&amp;HEIGHT=450&amp;WIDTH=450&amp;START_MAXIMIZED=FALSE&amp;VAR:CALENDAR=US&amp;VAR:SYMBOL=SHLD&amp;VAR:INDEX=0"}</definedName>
    <definedName name="_433__FDSAUDITLINK__" hidden="1">{"fdsup://directions/FAT Viewer?action=UPDATE&amp;creator=factset&amp;DYN_ARGS=TRUE&amp;DOC_NAME=FAT:FQL_AUDITING_CLIENT_TEMPLATE.FAT&amp;display_string=Audit&amp;VAR:KEY=SBITEHSBIZ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TIF&amp;VAR:INDEX=0"}</definedName>
    <definedName name="_434__FDSAUDITLINK__" hidden="1">{"fdsup://directions/FAT Viewer?action=UPDATE&amp;creator=factset&amp;DYN_ARGS=TRUE&amp;DOC_NAME=FAT:FQL_AUDITING_CLIENT_TEMPLATE.FAT&amp;display_string=Audit&amp;VAR:KEY=UDWZGVCPKJ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RL&amp;VAR:INDEX=0"}</definedName>
    <definedName name="_435__FDSAUDITLINK__" hidden="1">{"fdsup://directions/FAT Viewer?action=UPDATE&amp;creator=factset&amp;DYN_ARGS=TRUE&amp;DOC_NAME=FAT:FQL_AUDITING_CLIENT_TEMPLATE.FAT&amp;display_string=Audit&amp;VAR:KEY=CLETCRCXAP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SKS&amp;VAR:INDEX=0"}</definedName>
    <definedName name="_436__FDSAUDITLINK__" hidden="1">{"fdsup://directions/FAT Viewer?action=UPDATE&amp;creator=factset&amp;DYN_ARGS=TRUE&amp;DOC_NAME=FAT:FQL_AUDITING_CLIENT_TEMPLATE.FAT&amp;display_string=Audit&amp;VAR:KEY=WJQVMTUNSV&amp;VAR:QUERY=KChGRl9FTlRSUFJfVkFMX0RBSUxZKDQwNzU4LCwsLCwnRElMJykvSUNfRVNUSU1BVEUoRUJJVERBLE1FQU4sT","lRNXzRRLCw0MDc1OCkpQEZFX1ZBTFVBVElPTignRVZfRUJJVERBJywnTUVBTicsJ05UTUEnLCcnLDQwNzU4LCwsJycpKQ==&amp;WINDOW=FIRST_POPUP&amp;HEIGHT=450&amp;WIDTH=450&amp;START_MAXIMIZED=FALSE&amp;VAR:CALENDAR=US&amp;VAR:SYMBOL=COH&amp;VAR:INDEX=0"}</definedName>
    <definedName name="_44__FDSAUDITLINK__" hidden="1">{"fdsup://directions/FAT Viewer?action=UPDATE&amp;creator=factset&amp;DYN_ARGS=TRUE&amp;DOC_NAME=FAT:FQL_AUDITING_CLIENT_TEMPLATE.FAT&amp;display_string=Audit&amp;VAR:KEY=PWFKRSPIFK&amp;VAR:QUERY=KChGRl9FTlRSUFJfVkFMX0RBSUxZKDQwNjM0LCwsLCwnRElMJykvSUNfRVNUSU1BVEUoRUJJVERBLE1FQU4sT","lRNXzRRLCw0MDYzNCkpQEZFX1ZBTFVBVElPTignRVZfRUJJVERBJywnTUVBTicsJ05UTUEnLCcnLDQwNjM0LCwsJycpKQ==&amp;WINDOW=FIRST_POPUP&amp;HEIGHT=450&amp;WIDTH=450&amp;START_MAXIMIZED=FALSE&amp;VAR:CALENDAR=US&amp;VAR:SYMBOL=TIF&amp;VAR:INDEX=0"}</definedName>
    <definedName name="_44_0UniqueRang">#REF!</definedName>
    <definedName name="_45_0UniqueRang">#REF!</definedName>
    <definedName name="_46__FDSAUDITLINK__" hidden="1">{"fdsup://directions/FAT Viewer?action=UPDATE&amp;creator=factset&amp;DYN_ARGS=TRUE&amp;DOC_NAME=FAT:FQL_AUDITING_CLIENT_TEMPLATE.FAT&amp;display_string=Audit&amp;VAR:KEY=BUBMVGTQPQ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RL&amp;VAR:INDEX=0"}</definedName>
    <definedName name="_47__FDSAUDITLINK__" hidden="1">{"fdsup://directions/FAT Viewer?action=UPDATE&amp;creator=factset&amp;DYN_ARGS=TRUE&amp;DOC_NAME=FAT:FQL_AUDITING_CLIENT_TEMPLATE.FAT&amp;display_string=Audit&amp;VAR:KEY=DSLKBAJETE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RL&amp;VAR:INDEX=0"}</definedName>
    <definedName name="_475__FDSAUDITLINK__" hidden="1">{"fdsup://directions/FAT Viewer?action=UPDATE&amp;creator=factset&amp;DYN_ARGS=TRUE&amp;DOC_NAME=FAT:FQL_AUDITING_CLIENT_TEMPLATE.FAT&amp;display_string=Audit&amp;VAR:KEY=FGLUHUHSRE&amp;VAR:QUERY=KChGRl9FTlRSUFJfVkFMX0RBSUxZKDQwNjI3LCwsLCwnRElMJykvSUNfRVNUSU1BVEUoRUJJVERBX0VOVU1FU","kFUSU9OLE1FQU5fRU5VTUVSQVRJT04sTlRNXzRRX0VOVU1FUkFUSU9OLCw0MDYyNykpQEZFX1ZBTFVBVElPTignRVZfRUJJVERBJywnTUVBTicsJ05UTUEnLCcnLDQwNjI3LCwsJycpKQ==&amp;WINDOW=FIRST_POPUP&amp;HEIGHT=450&amp;WIDTH=450&amp;START_MAXIMIZED=FALSE&amp;VAR:CALENDAR=US&amp;VAR:SYMBOL=PVH&amp;VAR:INDEX=0"}</definedName>
    <definedName name="_48__FDSAUDITLINK__" hidden="1">{"fdsup://directions/FAT Viewer?action=UPDATE&amp;creator=factset&amp;DYN_ARGS=TRUE&amp;DOC_NAME=FAT:FQL_AUDITING_CLIENT_TEMPLATE.FAT&amp;display_string=Audit&amp;VAR:KEY=FSBSFWLUFQ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TIF&amp;VAR:INDEX=0"}</definedName>
    <definedName name="_49__FDSAUDITLINK__" hidden="1">{"fdsup://directions/FAT Viewer?action=UPDATE&amp;creator=factset&amp;DYN_ARGS=TRUE&amp;DOC_NAME=FAT:FQL_AUDITING_CLIENT_TEMPLATE.FAT&amp;display_string=Audit&amp;VAR:KEY=XILSTIZCHS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SHLD&amp;VAR:INDEX=0"}</definedName>
    <definedName name="_5__FDSAUDITLINK__" hidden="1">{"fdsup://directions/FAT Viewer?action=UPDATE&amp;creator=factset&amp;DYN_ARGS=TRUE&amp;DOC_NAME=FAT:FQL_AUDITING_CLIENT_TEMPLATE.FAT&amp;display_string=Audit&amp;VAR:KEY=BANMZCZSFA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GIII&amp;VAR:INDEX=0"}</definedName>
    <definedName name="_50__FDSAUDITLINK__" hidden="1">{"fdsup://directions/FAT Viewer?action=UPDATE&amp;creator=factset&amp;DYN_ARGS=TRUE&amp;DOC_NAME=FAT:FQL_AUDITING_CLIENT_TEMPLATE.FAT&amp;display_string=Audit&amp;VAR:KEY=PIFCNCZMZU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SKS&amp;VAR:INDEX=0"}</definedName>
    <definedName name="_51__FDSAUDITLINK__" hidden="1">{"fdsup://directions/FAT Viewer?action=UPDATE&amp;creator=factset&amp;DYN_ARGS=TRUE&amp;DOC_NAME=FAT:FQL_AUDITING_CLIENT_TEMPLATE.FAT&amp;display_string=Audit&amp;VAR:KEY=TGLEHGZSDG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JWN&amp;VAR:INDEX=0"}</definedName>
    <definedName name="_52__FDSAUDITLINK__" hidden="1">{"fdsup://directions/FAT Viewer?action=UPDATE&amp;creator=factset&amp;DYN_ARGS=TRUE&amp;DOC_NAME=FAT:FQL_AUDITING_CLIENT_TEMPLATE.FAT&amp;display_string=Audit&amp;VAR:KEY=DOXOPABQJO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M&amp;VAR:INDEX=0"}</definedName>
    <definedName name="_53__FDSAUDITLINK__" hidden="1">{"fdsup://directions/FAT Viewer?action=UPDATE&amp;creator=factset&amp;DYN_ARGS=TRUE&amp;DOC_NAME=FAT:FQL_AUDITING_CLIENT_TEMPLATE.FAT&amp;display_string=Audit&amp;VAR:KEY=ZCFMFMDKRM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JCP&amp;VAR:INDEX=0"}</definedName>
    <definedName name="_53_0UniqueRang">#REF!</definedName>
    <definedName name="_54__FDSAUDITLINK__" hidden="1">{"fdsup://directions/FAT Viewer?action=UPDATE&amp;creator=factset&amp;DYN_ARGS=TRUE&amp;DOC_NAME=FAT:FQL_AUDITING_CLIENT_TEMPLATE.FAT&amp;display_string=Audit&amp;VAR:KEY=HEJEFUBKTK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KSS&amp;VAR:INDEX=0"}</definedName>
    <definedName name="_54_0UniqueRang">#REF!</definedName>
    <definedName name="_55__FDSAUDITLINK__" hidden="1">{"fdsup://directions/FAT Viewer?action=UPDATE&amp;creator=factset&amp;DYN_ARGS=TRUE&amp;DOC_NAME=FAT:FQL_AUDITING_CLIENT_TEMPLATE.FAT&amp;display_string=Audit&amp;VAR:KEY=JCFIBAZAHU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ROST&amp;VAR:INDEX=0"}</definedName>
    <definedName name="_56__FDSAUDITLINK__" hidden="1">{"fdsup://directions/FAT Viewer?action=UPDATE&amp;creator=factset&amp;DYN_ARGS=TRUE&amp;DOC_NAME=FAT:FQL_AUDITING_CLIENT_TEMPLATE.FAT&amp;display_string=Audit&amp;VAR:KEY=LQJABKLOXW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TJX&amp;VAR:INDEX=0"}</definedName>
    <definedName name="_57__FDSAUDITLINK__" hidden="1">{"fdsup://directions/FAT Viewer?action=UPDATE&amp;creator=factset&amp;DYN_ARGS=TRUE&amp;DOC_NAME=FAT:FQL_AUDITING_CLIENT_TEMPLATE.FAT&amp;display_string=Audit&amp;VAR:KEY=VORIZMLYFK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DLTR&amp;VAR:INDEX=0"}</definedName>
    <definedName name="_58__FDSAUDITLINK__" hidden="1">{"fdsup://directions/FAT Viewer?action=UPDATE&amp;creator=factset&amp;DYN_ARGS=TRUE&amp;DOC_NAME=FAT:FQL_AUDITING_CLIENT_TEMPLATE.FAT&amp;display_string=Audit&amp;VAR:KEY=VGXQBKHEFK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FDO&amp;VAR:INDEX=0"}</definedName>
    <definedName name="_59__FDSAUDITLINK__" hidden="1">{"fdsup://directions/FAT Viewer?action=UPDATE&amp;creator=factset&amp;DYN_ARGS=TRUE&amp;DOC_NAME=FAT:FQL_AUDITING_CLIENT_TEMPLATE.FAT&amp;display_string=Audit&amp;VAR:KEY=DOFCLCPUPK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COST&amp;VAR:INDEX=0"}</definedName>
    <definedName name="_6__FDSAUDITLINK__" hidden="1">{"fdsup://directions/FAT Viewer?action=UPDATE&amp;creator=factset&amp;DYN_ARGS=TRUE&amp;DOC_NAME=FAT:FQL_AUDITING_CLIENT_TEMPLATE.FAT&amp;display_string=Audit&amp;VAR:KEY=UHSLYDOZKF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B88MHC&amp;VAR:INDEX=0"}</definedName>
    <definedName name="_60__FDSAUDITLINK__" hidden="1">{"fdsup://directions/FAT Viewer?action=UPDATE&amp;creator=factset&amp;DYN_ARGS=TRUE&amp;DOC_NAME=FAT:FQL_AUDITING_CLIENT_TEMPLATE.FAT&amp;display_string=Audit&amp;VAR:KEY=HEZMHCJQFY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TGT&amp;VAR:INDEX=0"}</definedName>
    <definedName name="_61__FDSAUDITLINK__" hidden="1">{"fdsup://directions/FAT Viewer?action=UPDATE&amp;creator=factset&amp;DYN_ARGS=TRUE&amp;DOC_NAME=FAT:FQL_AUDITING_CLIENT_TEMPLATE.FAT&amp;display_string=Audit&amp;VAR:KEY=JEXONCXWZC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WMT&amp;VAR:INDEX=0"}</definedName>
    <definedName name="_62__FDSAUDITLINK__" hidden="1">{"fdsup://directions/FAT Viewer?action=UPDATE&amp;creator=factset&amp;DYN_ARGS=TRUE&amp;DOC_NAME=FAT:FQL_AUDITING_CLIENT_TEMPLATE.FAT&amp;display_string=Audit&amp;VAR:KEY=PCZYFKPAPK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SVU&amp;VAR:INDEX=0"}</definedName>
    <definedName name="_62_0UniqueRange">#REF!</definedName>
    <definedName name="_63__FDSAUDITLINK__" hidden="1">{"fdsup://directions/FAT Viewer?action=UPDATE&amp;creator=factset&amp;DYN_ARGS=TRUE&amp;DOC_NAME=FAT:FQL_AUDITING_CLIENT_TEMPLATE.FAT&amp;display_string=Audit&amp;VAR:KEY=FUZOVOXIHK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718472&amp;VAR:INDEX=0"}</definedName>
    <definedName name="_63_0UniqueRange">#REF!</definedName>
    <definedName name="_64__FDSAUDITLINK__" hidden="1">{"fdsup://directions/FAT Viewer?action=UPDATE&amp;creator=factset&amp;DYN_ARGS=TRUE&amp;DOC_NAME=FAT:FQL_AUDITING_CLIENT_TEMPLATE.FAT&amp;display_string=Audit&amp;VAR:KEY=JUBWFGNADY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550507&amp;VAR:INDEX=0"}</definedName>
    <definedName name="_66__FDSAUDITLINK__" hidden="1">{"fdsup://directions/FAT Viewer?action=UPDATE&amp;creator=factset&amp;DYN_ARGS=TRUE&amp;DOC_NAME=FAT:FQL_AUDITING_CLIENT_TEMPLATE.FAT&amp;display_string=Audit&amp;VAR:KEY=BULEVUHIRW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525647&amp;VAR:INDEX=0"}</definedName>
    <definedName name="_67__FDSAUDITLINK__" hidden="1">{"fdsup://directions/FAT Viewer?action=UPDATE&amp;creator=factset&amp;DYN_ARGS=TRUE&amp;DOC_NAME=FAT:FQL_AUDITING_CLIENT_TEMPLATE.FAT&amp;display_string=Audit&amp;VAR:KEY=RYJWNOXINY&amp;VAR:QUERY=KChGRl9FTlRSUFJfVkFMX0RBSUxZKDQwNjI3LCwsLCwnRElMJykvSUNfRVNUSU1BVEUoRUJJVERBLE1FQU4sT","lRNXzRRLCw0MDYyNykpQEZFX1ZBTFVBVElPTignRVZfRUJJVERBJywnTUVBTicsJ05UTUEnLCcnLDQwNjI3LCwsJycpKQ==&amp;WINDOW=FIRST_POPUP&amp;HEIGHT=450&amp;WIDTH=450&amp;START_MAXIMIZED=FALSE&amp;VAR:CALENDAR=US&amp;VAR:SYMBOL=464373&amp;VAR:INDEX=0"}</definedName>
    <definedName name="_69__FDSAUDITLINK__" hidden="1">{"fdsup://directions/FAT Viewer?action=UPDATE&amp;creator=factset&amp;DYN_ARGS=TRUE&amp;DOC_NAME=FAT:FQL_AUDITING_CLIENT_TEMPLATE.FAT&amp;display_string=Audit&amp;VAR:KEY=LAJATANUBG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406141&amp;VAR:INDEX=0"}</definedName>
    <definedName name="_7__FDSAUDITLINK__" hidden="1">{"fdsup://directions/FAT Viewer?action=UPDATE&amp;creator=factset&amp;DYN_ARGS=TRUE&amp;DOC_NAME=FAT:FQL_AUDITING_CLIENT_TEMPLATE.FAT&amp;display_string=Audit&amp;VAR:KEY=NUDGBALEDO&amp;VAR:QUERY=KChGRl9FTlRSUFJfVkFMX0RBSUxZKDQxMDc1LCwsLCwnRElMJykgLyBJQ19FU1RJTUFURShFQklUREEsTUVBT","ixOVE1fNFEsLDQxMDc1KSlARkVfVkFMVUFUSU9OKCdFVl9FQklUREEnLCdNRUFOJywnTlRNQScsJycsNDEwNzUsLCwnJykp&amp;WINDOW=FIRST_POPUP&amp;HEIGHT=450&amp;WIDTH=450&amp;START_MAXIMIZED=FALSE&amp;VAR:CALENDAR=US&amp;VAR:SYMBOL=COH&amp;VAR:INDEX=0"}</definedName>
    <definedName name="_70__FDSAUDITLINK__" hidden="1">{"fdsup://directions/FAT Viewer?action=UPDATE&amp;creator=factset&amp;DYN_ARGS=TRUE&amp;DOC_NAME=FAT:FQL_AUDITING_CLIENT_TEMPLATE.FAT&amp;display_string=Audit&amp;VAR:KEY=BOJWLUBKXW&amp;VAR:QUERY=KChGRl9FTlRSUFJfVkFMX0RBSUxZKDQwNjc2LCwsLCwnRElMJykvSUNfRVNUSU1BVEUoRUJJVERBLE1FQU4sT","lRNXzRRLCw0MDY3NikpQEZFX1ZBTFVBVElPTignRVZfRUJJVERBJywnTUVBTicsJ05UTUEnLCcnLDQwNjc2LCwsJycpKQ==&amp;WINDOW=FIRST_POPUP&amp;HEIGHT=450&amp;WIDTH=450&amp;START_MAXIMIZED=FALSE&amp;VAR:CALENDAR=US&amp;VAR:SYMBOL=SKS&amp;VAR:INDEX=0"}</definedName>
    <definedName name="_71__FDSAUDITLINK__" hidden="1">{"fdsup://directions/FAT Viewer?action=UPDATE&amp;creator=factset&amp;DYN_ARGS=TRUE&amp;DOC_NAME=FAT:FQL_AUDITING_CLIENT_TEMPLATE.FAT&amp;display_string=Audit&amp;VAR:KEY=FMBQFQBUVE&amp;VAR:QUERY=KChGRl9FTlRSUFJfVkFMX0RBSUxZKDQwNjkwLCwsLCwnRElMJykvSUNfRVNUSU1BVEUoRUJJVERBLE1FQU4sT","lRNXzRRLCw0MDY5MCkpQEZFX1ZBTFVBVElPTignRVZfRUJJVERBJywnTUVBTicsJ05UTUEnLCcnLDQwNjkwLCwsJycpKQ==&amp;WINDOW=FIRST_POPUP&amp;HEIGHT=450&amp;WIDTH=450&amp;START_MAXIMIZED=FALSE&amp;VAR:CALENDAR=US&amp;VAR:SYMBOL=SKS&amp;VAR:INDEX=0"}</definedName>
    <definedName name="_71_0FAMERangeSheet">#REF!</definedName>
    <definedName name="_72__FDSAUDITLINK__" hidden="1">{"fdsup://directions/FAT Viewer?action=UPDATE&amp;creator=factset&amp;DYN_ARGS=TRUE&amp;DOC_NAME=FAT:FQL_AUDITING_CLIENT_TEMPLATE.FAT&amp;display_string=Audit&amp;VAR:KEY=NKNSXYJADY&amp;VAR:QUERY=KChGRl9FTlRSUFJfVkFMX0RBSUxZKDQwNjgzLCwsLCwnRElMJykvSUNfRVNUSU1BVEUoRUJJVERBLE1FQU4sT","lRNXzRRLCw0MDY4MykpQEZFX1ZBTFVBVElPTignRVZfRUJJVERBJywnTUVBTicsJ05UTUEnLCcnLDQwNjgzLCwsJycpKQ==&amp;WINDOW=FIRST_POPUP&amp;HEIGHT=450&amp;WIDTH=450&amp;START_MAXIMIZED=FALSE&amp;VAR:CALENDAR=US&amp;VAR:SYMBOL=TIF&amp;VAR:INDEX=0"}</definedName>
    <definedName name="_72_0FAMERangeSheet">#REF!</definedName>
    <definedName name="_73__FDSAUDITLINK__" hidden="1">{"fdsup://directions/FAT Viewer?action=UPDATE&amp;creator=factset&amp;DYN_ARGS=TRUE&amp;DOC_NAME=FAT:FQL_AUDITING_CLIENT_TEMPLATE.FAT&amp;display_string=Audit&amp;VAR:KEY=JKBYXCTAXG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406141&amp;VAR:INDEX=0"}</definedName>
    <definedName name="_74__FDSAUDITLINK__" hidden="1">{"fdsup://directions/FAT Viewer?action=UPDATE&amp;creator=factset&amp;DYN_ARGS=TRUE&amp;DOC_NAME=FAT:FQL_AUDITING_CLIENT_TEMPLATE.FAT&amp;display_string=Audit&amp;VAR:KEY=TYRWFQTIDK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718472&amp;VAR:INDEX=0"}</definedName>
    <definedName name="_75__FDSAUDITLINK__" hidden="1">{"fdsup://directions/FAT Viewer?action=UPDATE&amp;creator=factset&amp;DYN_ARGS=TRUE&amp;DOC_NAME=FAT:FQL_AUDITING_CLIENT_TEMPLATE.FAT&amp;display_string=Audit&amp;VAR:KEY=PUDSPIHQFM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550507&amp;VAR:INDEX=0"}</definedName>
    <definedName name="_76__FDSAUDITLINK__" hidden="1">{"fdsup://directions/FAT Viewer?action=UPDATE&amp;creator=factset&amp;DYN_ARGS=TRUE&amp;DOC_NAME=FAT:FQL_AUDITING_CLIENT_TEMPLATE.FAT&amp;display_string=Audit&amp;VAR:KEY=DCTKLOVQFG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525397&amp;VAR:INDEX=0"}</definedName>
    <definedName name="_77__FDSAUDITLINK__" hidden="1">{"fdsup://directions/FAT Viewer?action=UPDATE&amp;creator=factset&amp;DYN_ARGS=TRUE&amp;DOC_NAME=FAT:FQL_AUDITING_CLIENT_TEMPLATE.FAT&amp;display_string=Audit&amp;VAR:KEY=IRCFKJCJQB&amp;VAR:QUERY=KChGRl9FTlRSUFJfVkFMX0RBSUxZKDQwNzUzLCwsLCwnRElMJykvSUNfRVNUSU1BVEUoRUJJVERBLE1FQU4sT","lRNXzRRLCw0MDc1MykpQEZFX1ZBTFVBVElPTignRVZfRUJJVERBJywnTUVBTicsJ05UTUEnLCcnLDQwNzUzLCwsJycpKQ==&amp;WINDOW=FIRST_POPUP&amp;HEIGHT=450&amp;WIDTH=450&amp;START_MAXIMIZED=FALSE&amp;VAR:CALENDAR=US&amp;VAR:SYMBOL=SKS&amp;VAR:INDEX=0"}</definedName>
    <definedName name="_78__FDSAUDITLINK__" hidden="1">{"fdsup://directions/FAT Viewer?action=UPDATE&amp;creator=factset&amp;DYN_ARGS=TRUE&amp;DOC_NAME=FAT:FQL_AUDITING_CLIENT_TEMPLATE.FAT&amp;display_string=Audit&amp;VAR:KEY=VIHUFWVOJQ&amp;VAR:QUERY=KChGRl9FTlRSUFJfVkFMX0RBSUxZKDQwNjY5LCwsLCwnRElMJykvSUNfRVNUSU1BVEUoRUJJVERBLE1FQU4sT","lRNXzRRLCw0MDY2OSkpQEZFX1ZBTFVBVElPTignRVZfRUJJVERBJywnTUVBTicsJ05UTUEnLCcnLDQwNjY5LCwsJycpKQ==&amp;WINDOW=FIRST_POPUP&amp;HEIGHT=450&amp;WIDTH=450&amp;START_MAXIMIZED=FALSE&amp;VAR:CALENDAR=US&amp;VAR:SYMBOL=464373&amp;VAR:INDEX=0"}</definedName>
    <definedName name="_79__FDSAUDITLINK__" hidden="1">{"fdsup://directions/FAT Viewer?action=UPDATE&amp;creator=factset&amp;DYN_ARGS=TRUE&amp;DOC_NAME=FAT:FQL_AUDITING_CLIENT_TEMPLATE.FAT&amp;display_string=Audit&amp;VAR:KEY=MBOJANMTUT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DDS&amp;VAR:INDEX=0"}</definedName>
    <definedName name="_8_0FAMERangeSheet">#REF!</definedName>
    <definedName name="_80__FDSAUDITLINK__" hidden="1">{"fdsup://directions/FAT Viewer?action=UPDATE&amp;creator=factset&amp;DYN_ARGS=TRUE&amp;DOC_NAME=FAT:FQL_AUDITING_CLIENT_TEMPLATE.FAT&amp;display_string=Audit&amp;VAR:KEY=GPGDWFQRUZ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HTSI&amp;VAR:INDEX=0"}</definedName>
    <definedName name="_80_0UniqueRang">#REF!</definedName>
    <definedName name="_81__FDSAUDITLINK__" hidden="1">{"fdsup://directions/FAT Viewer?action=UPDATE&amp;creator=factset&amp;DYN_ARGS=TRUE&amp;DOC_NAME=FAT:FQL_AUDITING_CLIENT_TEMPLATE.FAT&amp;display_string=Audit&amp;VAR:KEY=OXSNGLYDQB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NAFC&amp;VAR:INDEX=0"}</definedName>
    <definedName name="_81_0UniqueRang">#REF!</definedName>
    <definedName name="_82__FDSAUDITLINK__" hidden="1">{"fdsup://directions/FAT Viewer?action=UPDATE&amp;creator=factset&amp;DYN_ARGS=TRUE&amp;DOC_NAME=FAT:FQL_AUDITING_CLIENT_TEMPLATE.FAT&amp;display_string=Audit&amp;VAR:KEY=SDGBURSJSV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YY&amp;VAR:INDEX=0"}</definedName>
    <definedName name="_83__FDSAUDITLINK__" hidden="1">{"fdsup://directions/FAT Viewer?action=UPDATE&amp;creator=factset&amp;DYN_ARGS=TRUE&amp;DOC_NAME=FAT:FQL_AUDITING_CLIENT_TEMPLATE.FAT&amp;display_string=Audit&amp;VAR:KEY=GJQPCXKRAV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UNFI&amp;VAR:INDEX=0"}</definedName>
    <definedName name="_84__FDSAUDITLINK__" hidden="1">{"fdsup://directions/FAT Viewer?action=UPDATE&amp;creator=factset&amp;DYN_ARGS=TRUE&amp;DOC_NAME=FAT:FQL_AUDITING_CLIENT_TEMPLATE.FAT&amp;display_string=Audit&amp;VAR:KEY=GJMLKBCBUL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VU&amp;VAR:INDEX=0"}</definedName>
    <definedName name="_85__FDSAUDITLINK__" hidden="1">{"fdsup://directions/FAT Viewer?action=UPDATE&amp;creator=factset&amp;DYN_ARGS=TRUE&amp;DOC_NAME=FAT:FQL_AUDITING_CLIENT_TEMPLATE.FAT&amp;display_string=Audit&amp;VAR:KEY=CROBWVGLIP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FM&amp;VAR:INDEX=0"}</definedName>
    <definedName name="_86__FDSAUDITLINK__" hidden="1">{"fdsup://directions/FAT Viewer?action=UPDATE&amp;creator=factset&amp;DYN_ARGS=TRUE&amp;DOC_NAME=FAT:FQL_AUDITING_CLIENT_TEMPLATE.FAT&amp;display_string=Audit&amp;VAR:KEY=AXUVCDAVOD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WFM&amp;VAR:INDEX=0"}</definedName>
    <definedName name="_87__FDSAUDITLINK__" hidden="1">{"fdsup://directions/FAT Viewer?action=UPDATE&amp;creator=factset&amp;DYN_ARGS=TRUE&amp;DOC_NAME=FAT:FQL_AUDITING_CLIENT_TEMPLATE.FAT&amp;display_string=Audit&amp;VAR:KEY=ELCTMBYDGJ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WY&amp;VAR:INDEX=0"}</definedName>
    <definedName name="_88__FDSAUDITLINK__" hidden="1">{"fdsup://directions/FAT Viewer?action=UPDATE&amp;creator=factset&amp;DYN_ARGS=TRUE&amp;DOC_NAME=FAT:FQL_AUDITING_CLIENT_TEMPLATE.FAT&amp;display_string=Audit&amp;VAR:KEY=QZILIZYVAP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KR&amp;VAR:INDEX=0"}</definedName>
    <definedName name="_89_._0Debt_Total_capi">#REF!</definedName>
    <definedName name="_89__FDSAUDITLINK__" hidden="1">{"fdsup://directions/FAT Viewer?action=UPDATE&amp;creator=factset&amp;DYN_ARGS=TRUE&amp;DOC_NAME=FAT:FQL_AUDITING_CLIENT_TEMPLATE.FAT&amp;display_string=Audit&amp;VAR:KEY=SXIRQTALIX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NILE&amp;VAR:INDEX=0"}</definedName>
    <definedName name="_9__FDSAUDITLINK__" hidden="1">{"fdsup://directions/FAT Viewer?action=UPDATE&amp;creator=factset&amp;DYN_ARGS=TRUE&amp;DOC_NAME=FAT:FQL_AUDITING_CLIENT_TEMPLATE.FAT&amp;display_string=Audit&amp;VAR:KEY=HOZWVCVIVA&amp;VAR:QUERY=KChGRl9FTlRSUFJfVkFMX0RBSUxZKDQxMDg4LCwsLCwnRElMJykgLyBJQ19FU1RJTUFURShFQklUREEsTUVBT","ixOVE1fNFEsLDQxMDg4KSlARkVfVkFMVUFUSU9OKCdFVl9FQklUREEnLCdNRUFOJywnTlRNQScsJycsNDEwODgsLCwnJykp&amp;WINDOW=FIRST_POPUP&amp;HEIGHT=450&amp;WIDTH=450&amp;START_MAXIMIZED=FALSE&amp;VAR:CALENDAR=US&amp;VAR:SYMBOL=VFC&amp;VAR:INDEX=0"}</definedName>
    <definedName name="_9_0FAMERangeSheet">#REF!</definedName>
    <definedName name="_90_._0Debt_Total_capi">#REF!</definedName>
    <definedName name="_90__FDSAUDITLINK__" hidden="1">{"fdsup://directions/FAT Viewer?action=UPDATE&amp;creator=factset&amp;DYN_ARGS=TRUE&amp;DOC_NAME=FAT:FQL_AUDITING_CLIENT_TEMPLATE.FAT&amp;display_string=Audit&amp;VAR:KEY=UFQVUDIDEH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WRC&amp;VAR:INDEX=0"}</definedName>
    <definedName name="_91__FDSAUDITLINK__" hidden="1">{"fdsup://directions/FAT Viewer?action=UPDATE&amp;creator=factset&amp;DYN_ARGS=TRUE&amp;DOC_NAME=FAT:FQL_AUDITING_CLIENT_TEMPLATE.FAT&amp;display_string=Audit&amp;VAR:KEY=IZWNWDYNQD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PVH&amp;VAR:INDEX=0"}</definedName>
    <definedName name="_92__FDSAUDITLINK__" hidden="1">{"fdsup://directions/FAT Viewer?action=UPDATE&amp;creator=factset&amp;DYN_ARGS=TRUE&amp;DOC_NAME=FAT:FQL_AUDITING_CLIENT_TEMPLATE.FAT&amp;display_string=Audit&amp;VAR:KEY=OLOHAFCFMH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JNY&amp;VAR:INDEX=0"}</definedName>
    <definedName name="_93__FDSAUDITLINK__" hidden="1">{"fdsup://directions/FAT Viewer?action=UPDATE&amp;creator=factset&amp;DYN_ARGS=TRUE&amp;DOC_NAME=FAT:FQL_AUDITING_CLIENT_TEMPLATE.FAT&amp;display_string=Audit&amp;VAR:KEY=SHUJKRWTAX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RL&amp;VAR:INDEX=0"}</definedName>
    <definedName name="_94__FDSAUDITLINK__" hidden="1">{"fdsup://directions/FAT Viewer?action=UPDATE&amp;creator=factset&amp;DYN_ARGS=TRUE&amp;DOC_NAME=FAT:FQL_AUDITING_CLIENT_TEMPLATE.FAT&amp;display_string=Audit&amp;VAR:KEY=CZABEJGBOJ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TIF&amp;VAR:INDEX=0"}</definedName>
    <definedName name="_95__FDSAUDITLINK__" hidden="1">{"fdsup://directions/FAT Viewer?action=UPDATE&amp;creator=factset&amp;DYN_ARGS=TRUE&amp;DOC_NAME=FAT:FQL_AUDITING_CLIENT_TEMPLATE.FAT&amp;display_string=Audit&amp;VAR:KEY=QTUNGDMRSB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HLD&amp;VAR:INDEX=0"}</definedName>
    <definedName name="_96__FDSAUDITLINK__" hidden="1">{"fdsup://directions/FAT Viewer?action=UPDATE&amp;creator=factset&amp;DYN_ARGS=TRUE&amp;DOC_NAME=FAT:FQL_AUDITING_CLIENT_TEMPLATE.FAT&amp;display_string=Audit&amp;VAR:KEY=GXEJGJSVQX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SKS&amp;VAR:INDEX=0"}</definedName>
    <definedName name="_97__FDSAUDITLINK__" hidden="1">{"fdsup://directions/FAT Viewer?action=UPDATE&amp;creator=factset&amp;DYN_ARGS=TRUE&amp;DOC_NAME=FAT:FQL_AUDITING_CLIENT_TEMPLATE.FAT&amp;display_string=Audit&amp;VAR:KEY=OBOTKLUZI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JWN&amp;VAR:INDEX=0"}</definedName>
    <definedName name="_98_._0Gross_inc_gro">#REF!</definedName>
    <definedName name="_98__FDSAUDITLINK__" hidden="1">{"fdsup://directions/FAT Viewer?action=UPDATE&amp;creator=factset&amp;DYN_ARGS=TRUE&amp;DOC_NAME=FAT:FQL_AUDITING_CLIENT_TEMPLATE.FAT&amp;display_string=Audit&amp;VAR:KEY=KFUVMTCXKD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M&amp;VAR:INDEX=0"}</definedName>
    <definedName name="_99_._0Gross_inc_gro">#REF!</definedName>
    <definedName name="_99__FDSAUDITLINK__" hidden="1">{"fdsup://directions/FAT Viewer?action=UPDATE&amp;creator=factset&amp;DYN_ARGS=TRUE&amp;DOC_NAME=FAT:FQL_AUDITING_CLIENT_TEMPLATE.FAT&amp;display_string=Audit&amp;VAR:KEY=ATMJAPERQR&amp;VAR:QUERY=KChGRl9FTlRSUFJfVkFMX0RBSUxZKDQxMTAzLCwsLCwnRElMJykgLyBJQ19FU1RJTUFURShFQklUREEsTUVBT","ixOVE1fNFEsLDQxMTAzKSlARkVfVkFMVUFUSU9OKCdFVl9FQklUREEnLCdNRUFOJywnTlRNQScsJycsNDExMDMsLCwnJykp&amp;WINDOW=FIRST_POPUP&amp;HEIGHT=450&amp;WIDTH=450&amp;START_MAXIMIZED=FALSE&amp;VAR:CALENDAR=US&amp;VAR:SYMBOL=JCP&amp;VAR:INDEX=0"}</definedName>
    <definedName name="_bdm.1FB9E2F6A6B44DBDA49BC3E2D4780188.edm" hidden="1">#REF!</definedName>
    <definedName name="_eps96">#REF!</definedName>
    <definedName name="_equ91">#REF!</definedName>
    <definedName name="_F07" hidden="1">{"IS",#N/A,FALSE,"IS";"RPTIS",#N/A,FALSE,"RPTIS";"STATS",#N/A,FALSE,"STATS";"CELL",#N/A,FALSE,"CELL";"BS",#N/A,FALSE,"BS"}</definedName>
    <definedName name="_Fill" hidden="1">#REF!</definedName>
    <definedName name="_inc87">#REF!</definedName>
    <definedName name="_inc88">#REF!</definedName>
    <definedName name="_inc89">#REF!</definedName>
    <definedName name="_inc90">#REF!</definedName>
    <definedName name="_inc91">#REF!</definedName>
    <definedName name="_inc92">#REF!</definedName>
    <definedName name="_inc93">#REF!</definedName>
    <definedName name="_inc94">#REF!</definedName>
    <definedName name="_inc95">#REF!</definedName>
    <definedName name="_inc96">#REF!</definedName>
    <definedName name="_int94">#REF!</definedName>
    <definedName name="_int95">#REF!</definedName>
    <definedName name="_int96">#REF!</definedName>
    <definedName name="_Key1" hidden="1">#REF!</definedName>
    <definedName name="_Order1" hidden="1">255</definedName>
    <definedName name="_Order2" hidden="1">255</definedName>
    <definedName name="_q1">#REF!</definedName>
    <definedName name="_QF1">#REF!</definedName>
    <definedName name="_QF2">#REF!</definedName>
    <definedName name="_QF3">#REF!</definedName>
    <definedName name="_QF4">#REF!</definedName>
    <definedName name="_QF5">#REF!</definedName>
    <definedName name="_QF6">#REF!</definedName>
    <definedName name="_qtr1">#REF!</definedName>
    <definedName name="_qtr2">#REF!</definedName>
    <definedName name="_qtr4">#REF!</definedName>
    <definedName name="_sga87">#REF!</definedName>
    <definedName name="_sga88">#REF!</definedName>
    <definedName name="_sga89">#REF!</definedName>
    <definedName name="_sga90">#REF!</definedName>
    <definedName name="_sga91">#REF!</definedName>
    <definedName name="_sga93">#REF!</definedName>
    <definedName name="_sls87">#REF!</definedName>
    <definedName name="_sls88">#REF!</definedName>
    <definedName name="_sls89">#REF!</definedName>
    <definedName name="_sls93">#REF!</definedName>
    <definedName name="_sls94">#REF!</definedName>
    <definedName name="_sls95">#REF!</definedName>
    <definedName name="_sls96">#REF!</definedName>
    <definedName name="_Sort" hidden="1">#REF!</definedName>
    <definedName name="_Table2_Out" hidden="1">#REF!</definedName>
    <definedName name="_tax90">#REF!</definedName>
    <definedName name="_tax91">#REF!</definedName>
    <definedName name="_tax92">#REF!</definedName>
    <definedName name="_tax94">#REF!</definedName>
    <definedName name="_tax95">#REF!</definedName>
    <definedName name="_tax96">#REF!</definedName>
    <definedName name="_total">#REF!</definedName>
    <definedName name="_UUID_" hidden="1">26909</definedName>
    <definedName name="_WHO2" hidden="1">{#N/A,#N/A,FALSE,"SUMMARY";#N/A,#N/A,FALSE,"DETAIL";#N/A,#N/A,FALSE,"VARIANCE"}</definedName>
    <definedName name="A_ALL_AAP">#REF!</definedName>
    <definedName name="A_ALL_AAP_">#REF!</definedName>
    <definedName name="A_ALL_ASO">#REF!</definedName>
    <definedName name="A_ALL_ATM.NZ">#REF!</definedName>
    <definedName name="A_ALL_BBBY">#REF!</definedName>
    <definedName name="A_ALL_DKS">#REF!</definedName>
    <definedName name="A_ALL_DKS_">#REF!</definedName>
    <definedName name="A_ALL_KEYWORDS_TYPE_ScalarContributed_EQTY_200001089">#REF!,#REF!,#REF!,#REF!</definedName>
    <definedName name="A_ALL_KEYWORDS_TYPE_ScalarContributed_EQTY_200001343">#REF!,#REF!,#REF!,#REF!</definedName>
    <definedName name="A_ALL_KEYWORDS_TYPE_ScalarContributed_EQTY_200001864">#REF!,#REF!,#REF!,#REF!,#REF!</definedName>
    <definedName name="A_ALL_KEYWORDS_TYPE_ScalarContributed_EQTY_200002237">#REF!,#REF!,#REF!,#REF!</definedName>
    <definedName name="A_ALL_KEYWORDS_TYPE_ScalarContributed_EQTY_200002364">#REF!,#REF!,#REF!,#REF!</definedName>
    <definedName name="A_ALL_KEYWORDS_TYPE_ScalarContributed_EQTY_200010773">#REF!,#REF!,#REF!,#REF!</definedName>
    <definedName name="A_ALL_KEYWORDS_TYPE_ScalarContributed_EQTY_200015048">#REF!,#REF!,#REF!,#REF!</definedName>
    <definedName name="A_ALL_KEYWORDS_TYPE_ScalarContributed_ISSR_208000322">#REF!,#REF!</definedName>
    <definedName name="A_ALL_KEYWORDS_TYPE_ScalarContributed_ISSR_208000443">#REF!,#REF!</definedName>
    <definedName name="A_ALL_KEYWORDS_TYPE_ScalarContributed_ISSR_208000856">#REF!,#REF!</definedName>
    <definedName name="A_ALL_KEYWORDS_TYPE_Vector_EQTY_200001089">#REF!,#REF!,#REF!,#REF!,#REF!,#REF!,#REF!,#REF!</definedName>
    <definedName name="A_ALL_KEYWORDS_TYPE_Vector_EQTY_200001343">#REF!,#REF!,#REF!,#REF!,#REF!,#REF!,#REF!,#REF!</definedName>
    <definedName name="A_ALL_KEYWORDS_TYPE_Vector_EQTY_200002237">#REF!,#REF!,#REF!,#REF!,#REF!,#REF!,#REF!,#REF!</definedName>
    <definedName name="A_ALL_KEYWORDS_TYPE_Vector_EQTY_200002364">#REF!,#REF!,#REF!,#REF!,#REF!,#REF!,#REF!</definedName>
    <definedName name="A_ALL_KEYWORDS_TYPE_Vector_EQTY_200010773">#REF!,#REF!,#REF!,#REF!,#REF!,#REF!,#REF!,#REF!</definedName>
    <definedName name="A_ALL_KEYWORDS_TYPE_Vector_EQTY_200015048">#REF!,#REF!,#REF!,#REF!,#REF!,#REF!,#REF!</definedName>
    <definedName name="A_ALL_KEYWORDS_TYPE_Vector_ISSR_208000322">#REF!,#REF!,#REF!,#REF!,#REF!,#REF!,#REF!,#REF!,#REF!,#REF!,#REF!,#REF!,#REF!,#REF!,#REF!</definedName>
    <definedName name="A_ALL_KEYWORDS_TYPE_Vector_ISSR_208000443">#REF!,#REF!,#REF!,#REF!,#REF!,#REF!,#REF!,#REF!,#REF!,#REF!,#REF!</definedName>
    <definedName name="A_ALL_KEYWORDS_TYPE_Vector_ISSR_208000814">#REF!,#REF!,#REF!,#REF!,#REF!,#REF!,#REF!,#REF!,#REF!,#REF!,#REF!,#REF!,#REF!,#REF!,#REF!,#REF!,#REF!</definedName>
    <definedName name="A_ALL_KEYWORDS_TYPE_Vector_ISSR_208000856">#REF!,#REF!,#REF!,#REF!,#REF!,#REF!,#REF!,#REF!,#REF!,#REF!,#REF!,#REF!</definedName>
    <definedName name="A_ALL_KEYWORDS_TYPE_Vector_ISSR_208001763">#REF!,#REF!,#REF!,#REF!,#REF!,#REF!,#REF!,#REF!,#REF!,#REF!,#REF!,#REF!,#REF!,#REF!,#REF!</definedName>
    <definedName name="A_ALL_KEYWORDS_TYPE_Vector_ISSR_208002808">#REF!,#REF!,#REF!,#REF!,#REF!,#REF!,#REF!,#REF!,#REF!,#REF!,#REF!,#REF!,#REF!,#REF!,#REF!</definedName>
    <definedName name="A_ALL_KEYWORDS_TYPE_Vector_ISSR_208008254">#REF!,#REF!,#REF!,#REF!,#REF!,#REF!,#REF!,#REF!,#REF!,#REF!,#REF!,#REF!,#REF!,#REF!</definedName>
    <definedName name="A_ALL_KEYWORDS_TYPE_Vector_ISSR_208011805">#REF!,#REF!,#REF!,#REF!,#REF!,#REF!,#REF!,#REF!,#REF!,#REF!,#REF!</definedName>
    <definedName name="A_ALL_M">#REF!</definedName>
    <definedName name="A_ALL_NKE">#REF!</definedName>
    <definedName name="A_ALL_NKE_">#REF!</definedName>
    <definedName name="A_ALL_RL">#REF!</definedName>
    <definedName name="A_ALL_SECTION_KEYWORDS_EQTY_200001089_13A">#REF!</definedName>
    <definedName name="A_ALL_SECTION_KEYWORDS_EQTY_200001089_13K">#REF!</definedName>
    <definedName name="A_ALL_SECTION_KEYWORDS_EQTY_200001864_13A">#REF!</definedName>
    <definedName name="A_ALL_SECTION_KEYWORDS_EQTY_200001864_13K">#REF!</definedName>
    <definedName name="A_ALL_SECTION_KEYWORDS_ISSR_208000322_1314">#REF!</definedName>
    <definedName name="A_ALL_SECTION_KEYWORDS_ISSR_208000322_1319">#REF!</definedName>
    <definedName name="A_ALL_SECTION_KEYWORDS_ISSR_208000322_131E">#REF!</definedName>
    <definedName name="A_ALL_SECTION_KEYWORDS_ISSR_208000322_136J">#REF!</definedName>
    <definedName name="A_ALL_SECTION_KEYWORDS_ISSR_208000322_13V">#REF!,#REF!</definedName>
    <definedName name="A_ALL_SECTION_KEYWORDS_ISSR_208000443_136E">#REF!,#REF!</definedName>
    <definedName name="A_ALL_SECTION_KEYWORDS_ISSR_208000443_136J">#REF!,#REF!</definedName>
    <definedName name="A_ALL_SECTION_KEYWORDS_ISSR_208000694_1314">#REF!</definedName>
    <definedName name="A_ALL_SECTION_KEYWORDS_ISSR_208000694_1319">#REF!</definedName>
    <definedName name="A_ALL_SECTION_KEYWORDS_ISSR_208000694_131E">#REF!</definedName>
    <definedName name="A_ALL_SECTION_KEYWORDS_ISSR_208000694_131O">#REF!,#REF!</definedName>
    <definedName name="A_ALL_SECTION_KEYWORDS_ISSR_208000694_136J">#REF!,#REF!</definedName>
    <definedName name="A_ALL_SECTION_KEYWORDS_ISSR_208000694_13V">#REF!,#REF!</definedName>
    <definedName name="A_ALL_SECTION_KEYWORDS_ISSR_208001763_131O">#REF!,#REF!</definedName>
    <definedName name="A_ALL_SECTION_KEYWORDS_ISSR_208002808_131O">#REF!,#REF!</definedName>
    <definedName name="A_ALL_SECTION_KEYWORDS_ISSR_208002808_136J">#REF!,#REF!</definedName>
    <definedName name="A_ALL_SECTION_KEYWORDS_ISSR_208008254_136E">#REF!,#REF!</definedName>
    <definedName name="A_ALL_SECTION_KEYWORDS_ISSR_208008254_136J">#REF!,#REF!</definedName>
    <definedName name="A_ALL_SECTIONS_EQTY_200001089">#REF!,#REF!,#REF!,#REF!,#REF!,#REF!,#REF!,#REF!,#REF!,#REF!</definedName>
    <definedName name="A_ALL_SECTIONS_EQTY_200001343">#REF!,#REF!,#REF!,#REF!,#REF!,#REF!,#REF!,#REF!,#REF!,#REF!</definedName>
    <definedName name="A_ALL_SECTIONS_EQTY_200002237">#REF!,#REF!,#REF!,#REF!,#REF!,#REF!,#REF!,#REF!,#REF!,#REF!</definedName>
    <definedName name="A_ALL_SECTIONS_EQTY_200002364">#REF!,#REF!,#REF!,#REF!,#REF!,#REF!,#REF!,#REF!,#REF!,#REF!</definedName>
    <definedName name="A_ALL_SECTIONS_EQTY_200010773">#REF!,#REF!,#REF!,#REF!,#REF!,#REF!,#REF!,#REF!,#REF!,#REF!</definedName>
    <definedName name="A_ALL_SECTIONS_EQTY_200015048">#REF!,#REF!,#REF!,#REF!,#REF!,#REF!,#REF!,#REF!,#REF!,#REF!</definedName>
    <definedName name="A_ALL_SECTIONS_ISSR_208000322">#REF!,#REF!,#REF!,#REF!,#REF!,#REF!,#REF!,#REF!,#REF!,#REF!,#REF!,#REF!</definedName>
    <definedName name="A_ALL_SECTIONS_ISSR_208000814">#REF!,#REF!,#REF!,#REF!,#REF!,#REF!,#REF!,#REF!,#REF!,#REF!,#REF!,#REF!</definedName>
    <definedName name="A_ALL_SECTIONS_ISSR_208000856">#REF!,#REF!,#REF!,#REF!,#REF!,#REF!,#REF!,#REF!,#REF!,#REF!,#REF!,#REF!</definedName>
    <definedName name="A_ALL_SECTIONS_ISSR_208011805">#REF!,#REF!,#REF!,#REF!,#REF!,#REF!,#REF!,#REF!,#REF!,#REF!,#REF!,#REF!</definedName>
    <definedName name="A_ALL_TUMI">#REF!</definedName>
    <definedName name="A_PERIOD_2002">#REF!</definedName>
    <definedName name="A_PERIOD_2003">#REF!</definedName>
    <definedName name="A_PERIOD_2004">#REF!</definedName>
    <definedName name="A_PERIOD_2004_Q1">#REF!</definedName>
    <definedName name="A_PERIOD_2004_Q2">#REF!</definedName>
    <definedName name="A_PERIOD_2004_Q3">#REF!</definedName>
    <definedName name="A_PERIOD_2004_Q4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c" hidden="1">{#N/A,#N/A,FALSE,"Sheet1";#N/A,#N/A,FALSE,"Sheet2";#N/A,#N/A,FALSE,"Sheet3";#N/A,#N/A,FALSE,"Sheet4";#N/A,#N/A,FALSE,"Sheet5";#N/A,#N/A,FALSE,"Sheet6"}</definedName>
    <definedName name="ad" hidden="1">{#N/A,#N/A,FALSE,"Sheet1";#N/A,#N/A,FALSE,"Sheet2";#N/A,#N/A,FALSE,"Sheet3";#N/A,#N/A,FALSE,"Sheet4";#N/A,#N/A,FALSE,"Sheet5";#N/A,#N/A,FALSE,"Sheet6"}</definedName>
    <definedName name="adcd" hidden="1">{#N/A,#N/A,FALSE,"Sheet8";#N/A,#N/A,FALSE,"Sheet7"}</definedName>
    <definedName name="adfsa">#REF!</definedName>
    <definedName name="Adjusted_EPS">#REF!</definedName>
    <definedName name="alpha">#REF!</definedName>
    <definedName name="amavg1q00">#REF!</definedName>
    <definedName name="amavg1q01">#REF!</definedName>
    <definedName name="amavg1q02">#REF!</definedName>
    <definedName name="amavg1q98">#REF!</definedName>
    <definedName name="amavg1q99">#REF!</definedName>
    <definedName name="amavg2q00">#REF!</definedName>
    <definedName name="amavg2q01">#REF!</definedName>
    <definedName name="amavg2q02">#REF!</definedName>
    <definedName name="amavg2q98">#REF!</definedName>
    <definedName name="amavg2q99">#REF!</definedName>
    <definedName name="amavg3q00">#REF!</definedName>
    <definedName name="amavg3q01">#REF!</definedName>
    <definedName name="amavg3q02">#REF!</definedName>
    <definedName name="amavg3q98">#REF!</definedName>
    <definedName name="amavg3q99">#REF!</definedName>
    <definedName name="amavg4q00">#REF!</definedName>
    <definedName name="amavg4q01">#REF!</definedName>
    <definedName name="amavg4q02">#REF!</definedName>
    <definedName name="amavg4q98">#REF!</definedName>
    <definedName name="amavg4q99">#REF!</definedName>
    <definedName name="amavgfy00">#REF!</definedName>
    <definedName name="amavgfy01">#REF!</definedName>
    <definedName name="amavgfy02">#REF!</definedName>
    <definedName name="amavgfy97">#REF!</definedName>
    <definedName name="amavgfy98">#REF!</definedName>
    <definedName name="amavgfy99">#REF!</definedName>
    <definedName name="ameop1q00">#REF!</definedName>
    <definedName name="ameop1q01">#REF!</definedName>
    <definedName name="ameop1q02">#REF!</definedName>
    <definedName name="ameop1q98">#REF!</definedName>
    <definedName name="ameop1q99">#REF!</definedName>
    <definedName name="ameop2q00">#REF!</definedName>
    <definedName name="ameop2q01">#REF!</definedName>
    <definedName name="ameop2q02">#REF!</definedName>
    <definedName name="ameop2q98">#REF!</definedName>
    <definedName name="ameop2q99">#REF!</definedName>
    <definedName name="ameop3q00">#REF!</definedName>
    <definedName name="ameop3q01">#REF!</definedName>
    <definedName name="ameop3q02">#REF!</definedName>
    <definedName name="ameop3q98">#REF!</definedName>
    <definedName name="ameop3q99">#REF!</definedName>
    <definedName name="ameop4q00">#REF!</definedName>
    <definedName name="ameop4q01">#REF!</definedName>
    <definedName name="ameop4q02">#REF!</definedName>
    <definedName name="ameop4q97">#REF!</definedName>
    <definedName name="ameop4q98">#REF!</definedName>
    <definedName name="ameop4q99">#REF!</definedName>
    <definedName name="annstoreinv">#REF!</definedName>
    <definedName name="annualstore">#REF!</definedName>
    <definedName name="anscount" hidden="1">1</definedName>
    <definedName name="aos1q00">#REF!</definedName>
    <definedName name="aos1q01">#REF!</definedName>
    <definedName name="aos1q02">#REF!</definedName>
    <definedName name="aos1q99">#REF!</definedName>
    <definedName name="aos2q00">#REF!</definedName>
    <definedName name="aos2q01">#REF!</definedName>
    <definedName name="aos2q02">#REF!</definedName>
    <definedName name="aos2q99">#REF!</definedName>
    <definedName name="aos3q00">#REF!</definedName>
    <definedName name="aos3q01">#REF!</definedName>
    <definedName name="aos3q02">#REF!</definedName>
    <definedName name="aos3q99">#REF!</definedName>
    <definedName name="aos4q00">#REF!</definedName>
    <definedName name="aos4q01">#REF!</definedName>
    <definedName name="aos4q02">#REF!</definedName>
    <definedName name="aos4q99">#REF!</definedName>
    <definedName name="aosfy00">#REF!</definedName>
    <definedName name="aosfy01">#REF!</definedName>
    <definedName name="aosfy02">#REF!</definedName>
    <definedName name="aosfy98">#REF!</definedName>
    <definedName name="aosfy99">#REF!</definedName>
    <definedName name="Apparel_Division">"title"</definedName>
    <definedName name="asdf2" hidden="1">{#N/A,#N/A,FALSE,"Mill 5"}</definedName>
    <definedName name="asdf45" hidden="1">{#N/A,#N/A,FALSE,"SUMMARY";#N/A,#N/A,FALSE,"DETAIL";#N/A,#N/A,FALSE,"VARIANCE"}</definedName>
    <definedName name="asdfasdfas" hidden="1">{#N/A,#N/A,FALSE,"Sheet1";#N/A,#N/A,FALSE,"Sheet2";#N/A,#N/A,FALSE,"Sheet3";#N/A,#N/A,FALSE,"Sheet4";#N/A,#N/A,FALSE,"Sheet5";#N/A,#N/A,FALSE,"Sheet6"}</definedName>
    <definedName name="azoavg1y">#REF!</definedName>
    <definedName name="azoavg2y">#REF!</definedName>
    <definedName name="azoavg3y">#REF!</definedName>
    <definedName name="azoavg5y">#REF!</definedName>
    <definedName name="azomax">#REF!</definedName>
    <definedName name="azomax1y">#REF!</definedName>
    <definedName name="azomax2y">#REF!</definedName>
    <definedName name="azomax3y">#REF!</definedName>
    <definedName name="azomax5y">#REF!</definedName>
    <definedName name="azomin">#REF!</definedName>
    <definedName name="azomin1y">#REF!</definedName>
    <definedName name="azomin2y">#REF!</definedName>
    <definedName name="azomin3y">#REF!</definedName>
    <definedName name="azomin5y">#REF!</definedName>
    <definedName name="azorelavg1y">#REF!</definedName>
    <definedName name="azorelavg2y">#REF!</definedName>
    <definedName name="azorelavg3y">#REF!</definedName>
    <definedName name="azorelavg5y">#REF!</definedName>
    <definedName name="azorelmax">#REF!</definedName>
    <definedName name="azorelmax1y">#REF!</definedName>
    <definedName name="azorelmax2y">#REF!</definedName>
    <definedName name="azorelmax3y">#REF!</definedName>
    <definedName name="azorelmax5y">#REF!</definedName>
    <definedName name="azorelmin">#REF!</definedName>
    <definedName name="azorelmin1y">#REF!</definedName>
    <definedName name="azorelmin2y">#REF!</definedName>
    <definedName name="azorelmin3y">#REF!</definedName>
    <definedName name="azorelmin5y">#REF!</definedName>
    <definedName name="b">#REF!</definedName>
    <definedName name="basshs1q03">#REF!</definedName>
    <definedName name="basshs2q03">#REF!</definedName>
    <definedName name="basshs3q03">#REF!</definedName>
    <definedName name="basshs4q03">#REF!</definedName>
    <definedName name="basshsfy00">#REF!</definedName>
    <definedName name="basshsfy01">#REF!</definedName>
    <definedName name="basshsfy02">#REF!</definedName>
    <definedName name="basshsfy03">#REF!</definedName>
    <definedName name="bbyavg1y">#REF!</definedName>
    <definedName name="bbyavg2y">#REF!</definedName>
    <definedName name="bbyavg3y">#REF!</definedName>
    <definedName name="bbyavg5y">#REF!</definedName>
    <definedName name="bbygrmarg92">#REF!</definedName>
    <definedName name="bbygrossmargin92">#REF!</definedName>
    <definedName name="bbymax">#REF!</definedName>
    <definedName name="bbymax1y">#REF!</definedName>
    <definedName name="bbymax2y">#REF!</definedName>
    <definedName name="bbymax3y">#REF!</definedName>
    <definedName name="bbymax5y">#REF!</definedName>
    <definedName name="bbymin">#REF!</definedName>
    <definedName name="bbymin1y">#REF!</definedName>
    <definedName name="bbymin2y">#REF!</definedName>
    <definedName name="bbymin3y">#REF!</definedName>
    <definedName name="bbymin5y">#REF!</definedName>
    <definedName name="bbyrelavg1y">#REF!</definedName>
    <definedName name="bbyrelavg2y">#REF!</definedName>
    <definedName name="bbyrelavg3y">#REF!</definedName>
    <definedName name="bbyrelavg5y">#REF!</definedName>
    <definedName name="bbyrelmax">#REF!</definedName>
    <definedName name="bbyrelmax1y">#REF!</definedName>
    <definedName name="bbyrelmax2y">#REF!</definedName>
    <definedName name="bbyrelmax3y">#REF!</definedName>
    <definedName name="bbyrelmax5y">#REF!</definedName>
    <definedName name="bbyrelmin">#REF!</definedName>
    <definedName name="bbyrelmin1y">#REF!</definedName>
    <definedName name="bbyrelmin2y">#REF!</definedName>
    <definedName name="bbyrelmin3y">#REF!</definedName>
    <definedName name="bbyrelmin5y">#REF!</definedName>
    <definedName name="BBYshout2q92">#REF!</definedName>
    <definedName name="bbysls1q00">#REF!</definedName>
    <definedName name="bbysls1q01">#REF!</definedName>
    <definedName name="bbysls2q00">#REF!</definedName>
    <definedName name="bbysls2q01">#REF!</definedName>
    <definedName name="bbysls3q00">#REF!</definedName>
    <definedName name="bbysls3q01">#REF!</definedName>
    <definedName name="bbysls4q00">#REF!</definedName>
    <definedName name="bbysls4q01">#REF!</definedName>
    <definedName name="bbysls4q99">#REF!</definedName>
    <definedName name="bbyslsfy00">#REF!</definedName>
    <definedName name="bbyslsfy01">#REF!</definedName>
    <definedName name="bbyslsfy99">#REF!</definedName>
    <definedName name="belnew" hidden="1">{"IS",#N/A,FALSE,"IS";"RPTIS",#N/A,FALSE,"RPTIS";"STATS",#N/A,FALSE,"STATS";"CELL",#N/A,FALSE,"CELL";"BS",#N/A,FALSE,"BS"}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ROADCASTING">#REF!</definedName>
    <definedName name="BS">#REF!</definedName>
    <definedName name="Buttonshow">#REF!</definedName>
    <definedName name="buy">#REF!</definedName>
    <definedName name="bv">#REF!</definedName>
    <definedName name="C_">#REF!</definedName>
    <definedName name="CABLE">#REF!</definedName>
    <definedName name="cagnew" hidden="1">{"IS",#N/A,FALSE,"IS";"RPTIS",#N/A,FALSE,"RPTIS";"STATS",#N/A,FALSE,"STATS";"CELL",#N/A,FALSE,"CELL";"BS",#N/A,FALSE,"BS"}</definedName>
    <definedName name="calculation">#REF!</definedName>
    <definedName name="CAO">#REF!</definedName>
    <definedName name="cdaf" hidden="1">{#N/A,#N/A,FALSE,"Sheet1";#N/A,#N/A,FALSE,"Sheet2";#N/A,#N/A,FALSE,"Sheet3";#N/A,#N/A,FALSE,"Sheet4";#N/A,#N/A,FALSE,"Sheet5";#N/A,#N/A,FALSE,"Sheet6"}</definedName>
    <definedName name="cdwc_date_range">OFFSET(#REF!,0,0,COUNTA(#REF!)-1)</definedName>
    <definedName name="cdwc_price_range">OFFSET(#REF!,0,0,COUNTA(#REF!)-1)</definedName>
    <definedName name="cogs1q00">#REF!</definedName>
    <definedName name="cogs1q01">#REF!</definedName>
    <definedName name="cogs1q02">#REF!</definedName>
    <definedName name="cogs1q03">#REF!</definedName>
    <definedName name="cogs1q04">#REF!</definedName>
    <definedName name="cogs1q05">#REF!</definedName>
    <definedName name="cogs1q06">#REF!</definedName>
    <definedName name="cogs1q07">#REF!</definedName>
    <definedName name="cogs1q08">#REF!</definedName>
    <definedName name="cogs1q09">#REF!</definedName>
    <definedName name="cogs1q98">#REF!</definedName>
    <definedName name="cogs1q99">#REF!</definedName>
    <definedName name="cogs2q00">#REF!</definedName>
    <definedName name="cogs2q01">#REF!</definedName>
    <definedName name="cogs2q02">#REF!</definedName>
    <definedName name="cogs2q03">#REF!</definedName>
    <definedName name="cogs2q04">#REF!</definedName>
    <definedName name="cogs2q05">#REF!</definedName>
    <definedName name="cogs2q06">#REF!</definedName>
    <definedName name="cogs2q07">#REF!</definedName>
    <definedName name="cogs2q08">#REF!</definedName>
    <definedName name="cogs2q09">#REF!</definedName>
    <definedName name="cogs2q98">#REF!</definedName>
    <definedName name="cogs2q99">#REF!</definedName>
    <definedName name="cogs3q00">#REF!</definedName>
    <definedName name="cogs3q01">#REF!</definedName>
    <definedName name="cogs3q02">#REF!</definedName>
    <definedName name="cogs3q03">#REF!</definedName>
    <definedName name="cogs3q04">#REF!</definedName>
    <definedName name="cogs3q05">#REF!</definedName>
    <definedName name="cogs3q06">#REF!</definedName>
    <definedName name="cogs3q07">#REF!</definedName>
    <definedName name="cogs3q08">#REF!</definedName>
    <definedName name="cogs3q09">#REF!</definedName>
    <definedName name="cogs3q98">#REF!</definedName>
    <definedName name="cogs3q99">#REF!</definedName>
    <definedName name="cogs4q00">#REF!</definedName>
    <definedName name="cogs4q01">#REF!</definedName>
    <definedName name="cogs4q02">#REF!</definedName>
    <definedName name="cogs4q03">#REF!</definedName>
    <definedName name="cogs4q04">#REF!</definedName>
    <definedName name="cogs4q05">#REF!</definedName>
    <definedName name="cogs4q06">#REF!</definedName>
    <definedName name="cogs4q07">#REF!</definedName>
    <definedName name="cogs4q08">#REF!</definedName>
    <definedName name="cogs4q09">#REF!</definedName>
    <definedName name="cogs4q98">#REF!</definedName>
    <definedName name="cogs4q99">#REF!</definedName>
    <definedName name="cogsFY00">#REF!</definedName>
    <definedName name="cogsFY01">#REF!</definedName>
    <definedName name="cogsfy02">#REF!</definedName>
    <definedName name="cogsfy03">#REF!</definedName>
    <definedName name="cogsfy97">#REF!</definedName>
    <definedName name="cogsfy98">#REF!</definedName>
    <definedName name="cogsFY99">#REF!</definedName>
    <definedName name="comp1q00">#REF!</definedName>
    <definedName name="comp1q01">#REF!</definedName>
    <definedName name="comp1q02">#REF!</definedName>
    <definedName name="comp1q03">#REF!</definedName>
    <definedName name="comp1q04">#REF!</definedName>
    <definedName name="comp1q98">#REF!</definedName>
    <definedName name="comp1q99">#REF!</definedName>
    <definedName name="comp2q00">#REF!</definedName>
    <definedName name="comp2q01">#REF!</definedName>
    <definedName name="comp2q02">#REF!</definedName>
    <definedName name="comp2q03">#REF!</definedName>
    <definedName name="comp2q04">#REF!</definedName>
    <definedName name="comp2q05">#REF!</definedName>
    <definedName name="comp2q06">#REF!</definedName>
    <definedName name="comp2q07">#REF!</definedName>
    <definedName name="comp2q98">#REF!</definedName>
    <definedName name="comp2q99">#REF!</definedName>
    <definedName name="comp3q00">#REF!</definedName>
    <definedName name="comp3q01">#REF!</definedName>
    <definedName name="comp3q02">#REF!</definedName>
    <definedName name="comp3q03">#REF!</definedName>
    <definedName name="comp3q04">#REF!</definedName>
    <definedName name="comp3q05">#REF!</definedName>
    <definedName name="comp3q06">#REF!</definedName>
    <definedName name="comp3q07">#REF!</definedName>
    <definedName name="comp3q98">#REF!</definedName>
    <definedName name="comp3q99">#REF!</definedName>
    <definedName name="comp4q00">#REF!</definedName>
    <definedName name="comp4q01">#REF!</definedName>
    <definedName name="comp4q02">#REF!</definedName>
    <definedName name="comp4q03">#REF!</definedName>
    <definedName name="comp4q04">#REF!</definedName>
    <definedName name="comp4q05">#REF!</definedName>
    <definedName name="comp4q06">#REF!</definedName>
    <definedName name="comp4q07">#REF!</definedName>
    <definedName name="comp4q98">#REF!</definedName>
    <definedName name="comp4q99">#REF!</definedName>
    <definedName name="Company_reported_exceptionals">#REF!</definedName>
    <definedName name="compfy04">#REF!</definedName>
    <definedName name="COMPS">#REF!</definedName>
    <definedName name="compsls93">#REF!</definedName>
    <definedName name="crit">#REF!</definedName>
    <definedName name="_xlnm.Criteria">#REF!</definedName>
    <definedName name="Current_cost_adjusted_net_income">#REF!</definedName>
    <definedName name="Cwvu.GREY_ALL." hidden="1">#REF!</definedName>
    <definedName name="D">#REF!</definedName>
    <definedName name="da1q03">#REF!</definedName>
    <definedName name="da1q04">#REF!</definedName>
    <definedName name="da1q05">#REF!</definedName>
    <definedName name="da2q03">#REF!</definedName>
    <definedName name="da2q04">#REF!</definedName>
    <definedName name="da2q05">#REF!</definedName>
    <definedName name="da3q03">#REF!</definedName>
    <definedName name="da3q04">#REF!</definedName>
    <definedName name="da3q05">#REF!</definedName>
    <definedName name="da4q03">#REF!</definedName>
    <definedName name="da4q04">#REF!</definedName>
    <definedName name="da4q05">#REF!</definedName>
    <definedName name="daFY00">#REF!</definedName>
    <definedName name="daFY01">#REF!</definedName>
    <definedName name="dafy02">#REF!</definedName>
    <definedName name="dafy03">#REF!</definedName>
    <definedName name="dafy97">#REF!</definedName>
    <definedName name="dafy98">#REF!</definedName>
    <definedName name="daFY99">#REF!</definedName>
    <definedName name="_xlnm.Database">#REF!</definedName>
    <definedName name="Days_Quarter">#REF!</definedName>
    <definedName name="Days_Year">#REF!</definedName>
    <definedName name="DCF">#REF!</definedName>
    <definedName name="dcf.kmb">#REF!</definedName>
    <definedName name="ddd" hidden="1">{#N/A,#N/A,FALSE,"FAB VENDORS";"BUD SUM",#N/A,FALSE,"BUD SUM WO TEX"}</definedName>
    <definedName name="DEBT">#REF!</definedName>
    <definedName name="debtev">#REF!</definedName>
    <definedName name="deprec92">#REF!</definedName>
    <definedName name="DETAILS">#REF!</definedName>
    <definedName name="dialog">#REF!</definedName>
    <definedName name="dileps1q00">#REF!</definedName>
    <definedName name="dileps1q01">#REF!</definedName>
    <definedName name="dileps1q02">#REF!</definedName>
    <definedName name="dileps1q03">#REF!</definedName>
    <definedName name="dileps1q04">#REF!</definedName>
    <definedName name="dileps1q98">#REF!</definedName>
    <definedName name="dileps1q99">#REF!</definedName>
    <definedName name="dileps2q00">#REF!</definedName>
    <definedName name="dileps2q01">#REF!</definedName>
    <definedName name="dileps2q02">#REF!</definedName>
    <definedName name="dileps2q03">#REF!</definedName>
    <definedName name="dileps2q98">#REF!</definedName>
    <definedName name="dileps2q99">#REF!</definedName>
    <definedName name="dileps3q00">#REF!</definedName>
    <definedName name="dileps3q01">#REF!</definedName>
    <definedName name="dileps3q02">#REF!</definedName>
    <definedName name="dileps3q03">#REF!</definedName>
    <definedName name="dileps3q98">#REF!</definedName>
    <definedName name="dileps3q99">#REF!</definedName>
    <definedName name="dileps4q00">#REF!</definedName>
    <definedName name="dileps4q01">#REF!</definedName>
    <definedName name="dileps4q02">#REF!</definedName>
    <definedName name="dileps4q03">#REF!</definedName>
    <definedName name="dileps4q98">#REF!</definedName>
    <definedName name="dileps4q99">#REF!</definedName>
    <definedName name="dilepsfy00">#REF!</definedName>
    <definedName name="dilepsfy01">#REF!</definedName>
    <definedName name="dilepsfy02">#REF!</definedName>
    <definedName name="dilepsfy03">#REF!</definedName>
    <definedName name="dilepsFY05">#REF!</definedName>
    <definedName name="dilepsFY06">#REF!</definedName>
    <definedName name="dilepsfy97">#REF!</definedName>
    <definedName name="dilepsfy98">#REF!</definedName>
    <definedName name="dilepsfy99">#REF!</definedName>
    <definedName name="dilshs1q00">#REF!</definedName>
    <definedName name="dilshs1q01">#REF!</definedName>
    <definedName name="dilshs1q02">#REF!</definedName>
    <definedName name="dilshs1q03">#REF!</definedName>
    <definedName name="dilshs1q04">#REF!</definedName>
    <definedName name="dilshs1q05">#REF!</definedName>
    <definedName name="dilshs1q06">#REF!</definedName>
    <definedName name="dilshs1q07">#REF!</definedName>
    <definedName name="dilshs1q08">#REF!</definedName>
    <definedName name="dilshs1q09">#REF!</definedName>
    <definedName name="dilshs1q10">#REF!</definedName>
    <definedName name="dilshs1q99">#REF!</definedName>
    <definedName name="dilshs2q00">#REF!</definedName>
    <definedName name="dilshs2q01">#REF!</definedName>
    <definedName name="dilshs2q02">#REF!</definedName>
    <definedName name="dilshs2q03">#REF!</definedName>
    <definedName name="dilshs2q04">#REF!</definedName>
    <definedName name="dilshs2q05">#REF!</definedName>
    <definedName name="dilshs2q06">#REF!</definedName>
    <definedName name="dilshs2q07">#REF!</definedName>
    <definedName name="dilshs2q08">#REF!</definedName>
    <definedName name="dilshs2q09">#REF!</definedName>
    <definedName name="dilshs2q10">#REF!</definedName>
    <definedName name="dilshs2q99">#REF!</definedName>
    <definedName name="dilshs3q00">#REF!</definedName>
    <definedName name="dilshs3q01">#REF!</definedName>
    <definedName name="dilshs3q02">#REF!</definedName>
    <definedName name="dilshs3q03">#REF!</definedName>
    <definedName name="dilshs3q04">#REF!</definedName>
    <definedName name="dilshs3q05">#REF!</definedName>
    <definedName name="dilshs3q06">#REF!</definedName>
    <definedName name="dilshs3q07">#REF!</definedName>
    <definedName name="dilshs3q08">#REF!</definedName>
    <definedName name="dilshs3q09">#REF!</definedName>
    <definedName name="dilshs3q10">#REF!</definedName>
    <definedName name="dilshs3q99">#REF!</definedName>
    <definedName name="dilshs4q00">#REF!</definedName>
    <definedName name="dilshs4q01">#REF!</definedName>
    <definedName name="dilshs4q02">#REF!</definedName>
    <definedName name="dilshs4q03">#REF!</definedName>
    <definedName name="dilshs4q04">#REF!</definedName>
    <definedName name="dilshs4q05">#REF!</definedName>
    <definedName name="dilshs4q06">#REF!</definedName>
    <definedName name="dilshs4q07">#REF!</definedName>
    <definedName name="dilshs4q08">#REF!</definedName>
    <definedName name="dilshs4q09">#REF!</definedName>
    <definedName name="dilshs4q10">#REF!</definedName>
    <definedName name="dilshs4q99">#REF!</definedName>
    <definedName name="dilshsFY00">#REF!</definedName>
    <definedName name="dilshsFY01">#REF!</definedName>
    <definedName name="dilshsfy02">#REF!</definedName>
    <definedName name="dilshsfy03">#REF!</definedName>
    <definedName name="dilshsfy04">#REF!</definedName>
    <definedName name="dilshsfy05">#REF!</definedName>
    <definedName name="dilshsfy08">#REF!</definedName>
    <definedName name="dilshsfy09">#REF!</definedName>
    <definedName name="dilshsfy98">#REF!</definedName>
    <definedName name="dilshsfy99">#REF!</definedName>
    <definedName name="dilshshsfy10">#REF!</definedName>
    <definedName name="DiscStoreCount_2004">#REF!</definedName>
    <definedName name="DiscStoreCount_2005">#REF!</definedName>
    <definedName name="DiscStoreCount_2006">#REF!</definedName>
    <definedName name="divsum1">#REF!</definedName>
    <definedName name="divsum2">#REF!</definedName>
    <definedName name="DY">#REF!</definedName>
    <definedName name="E">#REF!</definedName>
    <definedName name="E_ALL_AAP">#REF!</definedName>
    <definedName name="E_ALL_ASO">#REF!</definedName>
    <definedName name="E_ALL_ATM.NZ">#REF!</definedName>
    <definedName name="E_ALL_BBBY">#REF!</definedName>
    <definedName name="E_ALL_COLM">#REF!</definedName>
    <definedName name="E_ALL_DKS">#REF!</definedName>
    <definedName name="E_ALL_DRVN">#REF!</definedName>
    <definedName name="E_ALL_FL">#REF!</definedName>
    <definedName name="E_ALL_GPS">#REF!</definedName>
    <definedName name="E_ALL_JWN">#REF!</definedName>
    <definedName name="E_ALL_KEYWORDS_TYPE_ScalarContributed_EQTY_200001089">#REF!,#REF!,#REF!,#REF!</definedName>
    <definedName name="E_ALL_KEYWORDS_TYPE_ScalarContributed_EQTY_200001343">#REF!,#REF!,#REF!,#REF!</definedName>
    <definedName name="E_ALL_KEYWORDS_TYPE_ScalarContributed_EQTY_200001864">#REF!,#REF!,#REF!,#REF!,#REF!</definedName>
    <definedName name="E_ALL_KEYWORDS_TYPE_ScalarContributed_EQTY_200002237">#REF!,#REF!,#REF!,#REF!</definedName>
    <definedName name="E_ALL_KEYWORDS_TYPE_ScalarContributed_EQTY_200002364">#REF!,#REF!,#REF!,#REF!</definedName>
    <definedName name="E_ALL_KEYWORDS_TYPE_ScalarContributed_EQTY_200010773">#REF!,#REF!,#REF!,#REF!</definedName>
    <definedName name="E_ALL_KEYWORDS_TYPE_ScalarContributed_EQTY_200015048">#REF!,#REF!,#REF!,#REF!</definedName>
    <definedName name="E_ALL_KEYWORDS_TYPE_ScalarContributed_ISSR_208000322">#REF!,#REF!</definedName>
    <definedName name="E_ALL_KEYWORDS_TYPE_ScalarContributed_ISSR_208000443">#REF!,#REF!</definedName>
    <definedName name="E_ALL_KEYWORDS_TYPE_ScalarContributed_ISSR_208000856">#REF!,#REF!</definedName>
    <definedName name="E_ALL_KEYWORDS_TYPE_Vector_EQTY_200001089">#REF!,#REF!,#REF!,#REF!,#REF!,#REF!,#REF!</definedName>
    <definedName name="E_ALL_KEYWORDS_TYPE_Vector_EQTY_200001343">#REF!,#REF!,#REF!,#REF!,#REF!,#REF!,#REF!,#REF!</definedName>
    <definedName name="E_ALL_KEYWORDS_TYPE_Vector_EQTY_200002237">#REF!,#REF!,#REF!,#REF!,#REF!,#REF!,#REF!,#REF!</definedName>
    <definedName name="E_ALL_KEYWORDS_TYPE_Vector_EQTY_200002364">#REF!,#REF!,#REF!,#REF!,#REF!,#REF!,#REF!</definedName>
    <definedName name="E_ALL_KEYWORDS_TYPE_Vector_EQTY_200010773">#REF!,#REF!,#REF!,#REF!,#REF!,#REF!,#REF!,#REF!</definedName>
    <definedName name="E_ALL_KEYWORDS_TYPE_Vector_EQTY_200015048">#REF!,#REF!,#REF!,#REF!,#REF!,#REF!,#REF!</definedName>
    <definedName name="E_ALL_KEYWORDS_TYPE_Vector_ISSR_208000322">#REF!,#REF!,#REF!,#REF!,#REF!,#REF!,#REF!,#REF!,#REF!,#REF!,#REF!,#REF!</definedName>
    <definedName name="E_ALL_KEYWORDS_TYPE_Vector_ISSR_208000694">#REF!,#REF!,#REF!,#REF!,#REF!,#REF!,#REF!,#REF!,#REF!,#REF!,#REF!,#REF!,#REF!,#REF!</definedName>
    <definedName name="E_ALL_KEYWORDS_TYPE_Vector_ISSR_208000814">#REF!,#REF!,#REF!,#REF!,#REF!,#REF!,#REF!,#REF!,#REF!,#REF!,#REF!,#REF!,#REF!,#REF!,#REF!,#REF!,#REF!</definedName>
    <definedName name="E_ALL_KEYWORDS_TYPE_Vector_ISSR_208000856">#REF!,#REF!,#REF!,#REF!,#REF!,#REF!,#REF!,#REF!,#REF!,#REF!,#REF!,#REF!</definedName>
    <definedName name="E_ALL_KEYWORDS_TYPE_Vector_ISSR_208002808">#REF!,#REF!,#REF!,#REF!,#REF!,#REF!,#REF!,#REF!,#REF!,#REF!,#REF!,#REF!,#REF!,#REF!,#REF!</definedName>
    <definedName name="E_ALL_KEYWORDS_TYPE_Vector_ISSR_208008254">#REF!,#REF!,#REF!,#REF!,#REF!,#REF!,#REF!,#REF!,#REF!,#REF!,#REF!,#REF!,#REF!,#REF!</definedName>
    <definedName name="E_ALL_KEYWORDS_TYPE_Vector_ISSR_208011805">#REF!,#REF!,#REF!,#REF!,#REF!,#REF!,#REF!,#REF!,#REF!,#REF!,#REF!</definedName>
    <definedName name="E_ALL_KORS">#REF!</definedName>
    <definedName name="E_ALL_M">#REF!</definedName>
    <definedName name="E_ALL_NKE">#REF!</definedName>
    <definedName name="E_ALL_PVH">#REF!</definedName>
    <definedName name="E_ALL_RL">#REF!</definedName>
    <definedName name="E_ALL_SECTION_KEYWORDS_EQTY_200001089_13A">#REF!</definedName>
    <definedName name="E_ALL_SECTION_KEYWORDS_EQTY_200001864_13A">#REF!</definedName>
    <definedName name="E_ALL_SECTION_KEYWORDS_ISSR_208000443_136J">#REF!,#REF!</definedName>
    <definedName name="E_ALL_SECTION_KEYWORDS_ISSR_208000694_131O">#REF!,#REF!</definedName>
    <definedName name="E_ALL_SECTION_KEYWORDS_ISSR_208002808_131O">#REF!,#REF!</definedName>
    <definedName name="E_ALL_SECTION_KEYWORDS_ISSR_208002808_136J">#REF!,#REF!</definedName>
    <definedName name="E_ALL_SECTION_KEYWORDS_ISSR_208008254_136J">#REF!,#REF!</definedName>
    <definedName name="E_ALL_SECTIONS_EQTY_200001089">#REF!,#REF!,#REF!,#REF!,#REF!,#REF!,#REF!,#REF!,#REF!,#REF!</definedName>
    <definedName name="E_ALL_SECTIONS_EQTY_200001343">#REF!,#REF!,#REF!,#REF!,#REF!,#REF!,#REF!,#REF!,#REF!,#REF!</definedName>
    <definedName name="E_ALL_SECTIONS_EQTY_200002237">#REF!,#REF!,#REF!,#REF!,#REF!,#REF!,#REF!,#REF!,#REF!,#REF!</definedName>
    <definedName name="E_ALL_SECTIONS_EQTY_200002364">#REF!,#REF!,#REF!,#REF!,#REF!,#REF!,#REF!,#REF!,#REF!,#REF!</definedName>
    <definedName name="E_ALL_SECTIONS_EQTY_200010773">#REF!,#REF!,#REF!,#REF!,#REF!,#REF!,#REF!,#REF!,#REF!,#REF!</definedName>
    <definedName name="E_ALL_SECTIONS_EQTY_200015048">#REF!,#REF!,#REF!,#REF!,#REF!,#REF!,#REF!,#REF!,#REF!,#REF!</definedName>
    <definedName name="E_ALL_SECTIONS_ISSR_208000322">#REF!,#REF!,#REF!,#REF!,#REF!,#REF!,#REF!,#REF!,#REF!,#REF!,#REF!,#REF!</definedName>
    <definedName name="E_ALL_SECTIONS_ISSR_208000814">#REF!,#REF!,#REF!,#REF!,#REF!,#REF!,#REF!,#REF!,#REF!,#REF!,#REF!,#REF!</definedName>
    <definedName name="E_ALL_SECTIONS_ISSR_208000856">#REF!,#REF!,#REF!,#REF!,#REF!,#REF!,#REF!,#REF!,#REF!,#REF!,#REF!,#REF!</definedName>
    <definedName name="E_ALL_SECTIONS_ISSR_208011805">#REF!,#REF!,#REF!,#REF!,#REF!,#REF!,#REF!,#REF!,#REF!,#REF!,#REF!,#REF!</definedName>
    <definedName name="E_ALL_TSN">#REF!</definedName>
    <definedName name="E_ALL_TUMI">#REF!</definedName>
    <definedName name="E_CURRENCY_EQTY_200001089_PRI">#REF!</definedName>
    <definedName name="E_CURRENCY_EQTY_200001089_PUB">#REF!</definedName>
    <definedName name="E_CURRENCY_EQTY_200001089_REP">#REF!</definedName>
    <definedName name="E_CURRENCY_EQTY_200001343_PRI">#REF!</definedName>
    <definedName name="E_CURRENCY_EQTY_200001343_PUB">#REF!</definedName>
    <definedName name="E_CURRENCY_EQTY_200001343_REP">#REF!</definedName>
    <definedName name="E_CURRENCY_EQTY_200002237_PRI">#REF!</definedName>
    <definedName name="E_CURRENCY_EQTY_200002237_PUB">#REF!</definedName>
    <definedName name="E_CURRENCY_EQTY_200002237_REP">#REF!</definedName>
    <definedName name="E_CURRENCY_EQTY_200002364_PRI">#REF!</definedName>
    <definedName name="E_CURRENCY_EQTY_200002364_PUB">#REF!</definedName>
    <definedName name="E_CURRENCY_EQTY_200002364_REP">#REF!</definedName>
    <definedName name="E_CURRENCY_EQTY_200010773_PRI">#REF!</definedName>
    <definedName name="E_CURRENCY_EQTY_200010773_PUB">#REF!</definedName>
    <definedName name="E_CURRENCY_EQTY_200010773_REP">#REF!</definedName>
    <definedName name="E_CURRENCY_EQTY_200015048_PRI">#REF!</definedName>
    <definedName name="E_CURRENCY_EQTY_200015048_PUB">#REF!</definedName>
    <definedName name="E_CURRENCY_EQTY_200015048_REP">#REF!</definedName>
    <definedName name="E_CURRENCY_ISSR_208000322_REP">#REF!</definedName>
    <definedName name="E_CURRENCY_ISSR_208000443_REP">#REF!</definedName>
    <definedName name="E_CURRENCY_ISSR_208000814_REP">#REF!</definedName>
    <definedName name="E_CURRENCY_ISSR_208000856_REP">#REF!</definedName>
    <definedName name="E_CURRENCY_ISSR_208008254_REP">#REF!</definedName>
    <definedName name="E_CURRENCY_ISSR_208011805_REP">#REF!</definedName>
    <definedName name="E_PERIOD_2002">#REF!</definedName>
    <definedName name="E_PERIOD_2003">#REF!</definedName>
    <definedName name="E_PERIOD_2004">#REF!</definedName>
    <definedName name="E_PERIOD_2004_Q1">#REF!</definedName>
    <definedName name="E_PERIOD_2004_Q2">#REF!</definedName>
    <definedName name="E_PERIOD_2004_Q3">#REF!</definedName>
    <definedName name="E_PERIOD_2004_Q4">#REF!</definedName>
    <definedName name="e4r5" hidden="1">{#N/A,#N/A,FALSE,"Barranca"}</definedName>
    <definedName name="e4rtg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ebit93">#REF!</definedName>
    <definedName name="ed" hidden="1">{#N/A,#N/A,FALSE,"FAB VENDORS";"BUD SUM",#N/A,FALSE,"BUD SUM WO TEX"}</definedName>
    <definedName name="EG_DPS">#REF!</definedName>
    <definedName name="EG_Net_Profit">#REF!</definedName>
    <definedName name="EPS">#REF!</definedName>
    <definedName name="EPS_2003">#REF!</definedName>
    <definedName name="eps1q01">#REF!</definedName>
    <definedName name="eps1q02">#REF!</definedName>
    <definedName name="eps1q03">#REF!</definedName>
    <definedName name="eps1q04">#REF!</definedName>
    <definedName name="eps1q05">#REF!</definedName>
    <definedName name="eps1q06">#REF!</definedName>
    <definedName name="eps2q01">#REF!</definedName>
    <definedName name="eps2q02">#REF!</definedName>
    <definedName name="eps2q03">#REF!</definedName>
    <definedName name="eps2q04">#REF!</definedName>
    <definedName name="eps2q05">#REF!</definedName>
    <definedName name="eps2q06">#REF!</definedName>
    <definedName name="eps3q01">#REF!</definedName>
    <definedName name="eps3q01n">#REF!</definedName>
    <definedName name="eps3q02">#REF!</definedName>
    <definedName name="eps3q03">#REF!</definedName>
    <definedName name="eps3q04">#REF!</definedName>
    <definedName name="eps3q05">#REF!</definedName>
    <definedName name="eps3q06">#REF!</definedName>
    <definedName name="eps4q01">#REF!</definedName>
    <definedName name="eps4q02">#REF!</definedName>
    <definedName name="eps4q03">#REF!</definedName>
    <definedName name="eps4q04">#REF!</definedName>
    <definedName name="eps4q05">#REF!</definedName>
    <definedName name="eps4q06">#REF!</definedName>
    <definedName name="epsfy00">#REF!</definedName>
    <definedName name="epsfy01">#REF!</definedName>
    <definedName name="epsfy02">#REF!</definedName>
    <definedName name="epsfy03">#REF!</definedName>
    <definedName name="epsfy04">#REF!</definedName>
    <definedName name="epsfy05">#REF!</definedName>
    <definedName name="epsfy06">#REF!</definedName>
    <definedName name="epsfy98">#REF!</definedName>
    <definedName name="epsfy99">#REF!</definedName>
    <definedName name="epsxnet1q00">#REF!</definedName>
    <definedName name="epsxnet1q01">#REF!</definedName>
    <definedName name="epsxnet1q02">#REF!</definedName>
    <definedName name="epsxnet1q98">#REF!</definedName>
    <definedName name="epsxnet1q99">#REF!</definedName>
    <definedName name="epsxnet2q00">#REF!</definedName>
    <definedName name="epsxnet2q01">#REF!</definedName>
    <definedName name="epsxnet2q02">#REF!</definedName>
    <definedName name="epsxnet2q98">#REF!</definedName>
    <definedName name="epsxnet2q99">#REF!</definedName>
    <definedName name="epsxnet3q00">#REF!</definedName>
    <definedName name="epsxnet3q01">#REF!</definedName>
    <definedName name="epsxnet3q02">#REF!</definedName>
    <definedName name="epsxnet3q98">#REF!</definedName>
    <definedName name="epsxnet3q99">#REF!</definedName>
    <definedName name="epsxnet4q00">#REF!</definedName>
    <definedName name="epsxnet4q01">#REF!</definedName>
    <definedName name="epsxnet4q02">#REF!</definedName>
    <definedName name="epsxnet4q98">#REF!</definedName>
    <definedName name="epsxnet4q99">#REF!</definedName>
    <definedName name="epsxnetfy00">#REF!</definedName>
    <definedName name="epsxnetfy01">#REF!</definedName>
    <definedName name="epsxnetfy02">#REF!</definedName>
    <definedName name="epsxnetfy98">#REF!</definedName>
    <definedName name="epsxnetfy99">#REF!</definedName>
    <definedName name="EV">#REF!</definedName>
    <definedName name="evo">#REF!</definedName>
    <definedName name="Exceptionals">#REF!</definedName>
    <definedName name="f">#REF!</definedName>
    <definedName name="FAMERangeCNSB29">#REF!</definedName>
    <definedName name="FAMERangeCNSB30">#REF!</definedName>
    <definedName name="FAMERangeCNSB37">#REF!</definedName>
    <definedName name="FAMERangeCNSC33">#REF!</definedName>
    <definedName name="FAMERangeDJ_BALAL28">#REF!</definedName>
    <definedName name="FAMERangeDJ_BALAM28">#REF!</definedName>
    <definedName name="FAMERangeDJ_BALAN28">#REF!</definedName>
    <definedName name="FAMERangeFAMELINKB4">#REF!</definedName>
    <definedName name="FAMERangeFAMELINKC4">#REF!</definedName>
    <definedName name="FAMERangeFAMELINKD4">#REF!</definedName>
    <definedName name="FAMERangeFAMELINKE4">#REF!</definedName>
    <definedName name="FAMERangeFAMELINKF4">#REF!</definedName>
    <definedName name="FAMERangeFAMELINKG4">#REF!</definedName>
    <definedName name="FAMERangeFAMELINKH4">#REF!</definedName>
    <definedName name="FAMERangeFAMELINKI4">#REF!</definedName>
    <definedName name="FAMERangeFAMELINKJ4">#REF!</definedName>
    <definedName name="FAMERangeFAMELINKK4">#REF!</definedName>
    <definedName name="FAMERangeFAMELINKL4">#REF!</definedName>
    <definedName name="FAMERangeFAMELINKM4">#REF!</definedName>
    <definedName name="FAMERangeFIVE_YEARAW89">#REF!</definedName>
    <definedName name="FAMERangeGCI_BALD62">#REF!</definedName>
    <definedName name="FAMERangeGCI_BALD63">#REF!</definedName>
    <definedName name="FAMERangeGCI_ISD88">#REF!</definedName>
    <definedName name="FAMERangeglobalA38">#REF!</definedName>
    <definedName name="FAMERangeglobalB30">#REF!</definedName>
    <definedName name="FAMERangeglobalB31">#REF!</definedName>
    <definedName name="FAMERangeglobalB33">#REF!</definedName>
    <definedName name="FAMERangeglobalB38">#REF!</definedName>
    <definedName name="FAMERangeglobalC38">#REF!</definedName>
    <definedName name="FAMERangeglobalE31">#REF!</definedName>
    <definedName name="FAMERangeHEIDTS57">#REF!</definedName>
    <definedName name="FAMERangeKRI_BALAL99">#REF!</definedName>
    <definedName name="FAMERangeKRI_BALAM99">#REF!</definedName>
    <definedName name="FAMERangeKRI_BALAN99">#REF!</definedName>
    <definedName name="FAMERangeMktCapA20">#REF!</definedName>
    <definedName name="FAMERangeMktCapA388">#REF!</definedName>
    <definedName name="FAMERangeMktCapA739">#REF!</definedName>
    <definedName name="FAMERangePRICEA10">#REF!</definedName>
    <definedName name="FAMERangePRICEA2">#REF!</definedName>
    <definedName name="FAMERangePRICEA4">#REF!</definedName>
    <definedName name="FAMERangePRICEA6">#REF!</definedName>
    <definedName name="FAMERangePRICEC10">#REF!</definedName>
    <definedName name="FAMERangePRICEC2">#REF!</definedName>
    <definedName name="FAMERangePRICEC4">#REF!</definedName>
    <definedName name="FAMERangePRICEC6">#REF!</definedName>
    <definedName name="FAMERangeqepsA5">#REF!</definedName>
    <definedName name="FAMERangeqepsA6">#REF!</definedName>
    <definedName name="FAMERangeqepsA7">#REF!</definedName>
    <definedName name="FAMERangeqepsAA7">#REF!</definedName>
    <definedName name="FAMERangeqepsAB7">#REF!</definedName>
    <definedName name="FAMERangeqepsAC7">#REF!</definedName>
    <definedName name="FAMERangeqepsAD7">#REF!</definedName>
    <definedName name="FAMERangeqepsAE7">#REF!</definedName>
    <definedName name="FAMERangeqepsAF7">#REF!</definedName>
    <definedName name="FAMERangeqepsAG7">#REF!</definedName>
    <definedName name="FAMERangeqepsAH7">#REF!</definedName>
    <definedName name="FAMERangeqepsAI7">#REF!</definedName>
    <definedName name="FAMERangeqepsAJ7">#REF!</definedName>
    <definedName name="FAMERangeqepsAK7">#REF!</definedName>
    <definedName name="FAMERangeqepsAL7">#REF!</definedName>
    <definedName name="FAMERangeqepsAM7">#REF!</definedName>
    <definedName name="FAMERangeqepsAN7">#REF!</definedName>
    <definedName name="FAMERangeqepsAO7">#REF!</definedName>
    <definedName name="FAMERangeqepsAP7">#REF!</definedName>
    <definedName name="FAMERangeqepsAQ7">#REF!</definedName>
    <definedName name="FAMERangeqepsAR7">#REF!</definedName>
    <definedName name="FAMERangeqepsAS7">#REF!</definedName>
    <definedName name="FAMERangeqepsAT7">#REF!</definedName>
    <definedName name="FAMERangeqepsC7">#REF!</definedName>
    <definedName name="FAMERangeqepsD7">#REF!</definedName>
    <definedName name="FAMERangeqepsE7">#REF!</definedName>
    <definedName name="FAMERangeqepsF7">#REF!</definedName>
    <definedName name="FAMERangeqepsG7">#REF!</definedName>
    <definedName name="FAMERangeqepsH7">#REF!</definedName>
    <definedName name="FAMERangeqepsI7">#REF!</definedName>
    <definedName name="FAMERangeqepsJ7">#REF!</definedName>
    <definedName name="FAMERangeqepsK7">#REF!</definedName>
    <definedName name="FAMERangeqepsL7">#REF!</definedName>
    <definedName name="FAMERangeqepsM7">#REF!</definedName>
    <definedName name="FAMERangeqepsN7">#REF!</definedName>
    <definedName name="FAMERangeqepsO7">#REF!</definedName>
    <definedName name="FAMERangeqepsP7">#REF!</definedName>
    <definedName name="FAMERangeqepsQ7">#REF!</definedName>
    <definedName name="FAMERangeqepsR7">#REF!</definedName>
    <definedName name="FAMERangeqepsS7">#REF!</definedName>
    <definedName name="FAMERangeqepsT7">#REF!</definedName>
    <definedName name="FAMERangeqepsU7">#REF!</definedName>
    <definedName name="FAMERangeqepsV7">#REF!</definedName>
    <definedName name="FAMERangeqepsW7">#REF!</definedName>
    <definedName name="FAMERangeqepsX7">#REF!</definedName>
    <definedName name="FAMERangeqepsY7">#REF!</definedName>
    <definedName name="FAMERangeqepsZ7">#REF!</definedName>
    <definedName name="FAMERangeSheet1B1">#REF!</definedName>
    <definedName name="FAMERangeSheet1D2">#REF!</definedName>
    <definedName name="FAMERangeSheet1F1">#REF!</definedName>
    <definedName name="FAMERangeSheet1G1">#REF!</definedName>
    <definedName name="FAMERangeSheet1J1">#REF!</definedName>
    <definedName name="FAMERangeSheet1K2">#REF!</definedName>
    <definedName name="FAMERangeSheet3B2">#REF!</definedName>
    <definedName name="FAMERangeSheet3B3">#REF!</definedName>
    <definedName name="FAMERangeSheet3C2">#REF!</definedName>
    <definedName name="FAMERangeVolumeB6">#REF!</definedName>
    <definedName name="fcf">#REF!</definedName>
    <definedName name="fdas" hidden="1">{"IS",#N/A,FALSE,"IS";"RPTIS",#N/A,FALSE,"RPTIS";"STATS",#N/A,FALSE,"STATS";"CELL",#N/A,FALSE,"CELL";"BS",#N/A,FALSE,"BS"}</definedName>
    <definedName name="feb" hidden="1">{#N/A,#N/A,FALSE,"FAB VENDORS";"BUD SUM",#N/A,FALSE,"BUD SUM WO TEX"}</definedName>
    <definedName name="ff">#REF!</definedName>
    <definedName name="fff" hidden="1">{"IS",#N/A,FALSE,"IS";"RPTIS",#N/A,FALSE,"RPTIS";"STATS",#N/A,FALSE,"STATS";"CELL",#N/A,FALSE,"CELL";"BS",#N/A,FALSE,"BS"}</definedName>
    <definedName name="FINCopyDirection">1</definedName>
    <definedName name="FINCriteriaRange">#REF!</definedName>
    <definedName name="FINCriteriaType">1</definedName>
    <definedName name="FINExtractRange">#REF!</definedName>
    <definedName name="FINReplicationRange">#REF!</definedName>
    <definedName name="first">#REF!</definedName>
    <definedName name="FONT">#REF!</definedName>
    <definedName name="fplan1q03">#REF!</definedName>
    <definedName name="fplan2q03">#REF!</definedName>
    <definedName name="fplan3q03">#REF!</definedName>
    <definedName name="fplan4q03">#REF!</definedName>
    <definedName name="fplanfy01">#REF!</definedName>
    <definedName name="fplanfy02">#REF!</definedName>
    <definedName name="fplanfy03">#REF!</definedName>
    <definedName name="g">#REF!</definedName>
    <definedName name="gadg">#REF!</definedName>
    <definedName name="gaexp1q01">#REF!</definedName>
    <definedName name="gaexp1q02">#REF!</definedName>
    <definedName name="gaexp1q03">#REF!</definedName>
    <definedName name="gaexp1q04">#REF!</definedName>
    <definedName name="gaexp2q01">#REF!</definedName>
    <definedName name="gaexp2q02">#REF!</definedName>
    <definedName name="gaexp2q03">#REF!</definedName>
    <definedName name="gaexp2q04">#REF!</definedName>
    <definedName name="gaexp3q01">#REF!</definedName>
    <definedName name="gaexp3q02">#REF!</definedName>
    <definedName name="gaexp3q03">#REF!</definedName>
    <definedName name="gaexp3q04">#REF!</definedName>
    <definedName name="gaexp4q01">#REF!</definedName>
    <definedName name="gaexp4q02">#REF!</definedName>
    <definedName name="gaexp4q03">#REF!</definedName>
    <definedName name="gaexp4q04">#REF!</definedName>
    <definedName name="gaexpfy00">#REF!</definedName>
    <definedName name="gaexpfy01">#REF!</definedName>
    <definedName name="gaexpfy02">#REF!</definedName>
    <definedName name="gaexpfy03">#REF!</definedName>
    <definedName name="gaexpfy04">#REF!</definedName>
    <definedName name="gaexpfy05">#REF!</definedName>
    <definedName name="gaexpfy06">#REF!</definedName>
    <definedName name="gaexpfy07">#REF!</definedName>
    <definedName name="gm">#REF!</definedName>
    <definedName name="grosmarg93">#REF!</definedName>
    <definedName name="grossmarg93">#REF!</definedName>
    <definedName name="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hdavg1y">#REF!</definedName>
    <definedName name="hdavg2y">#REF!</definedName>
    <definedName name="hdavg3y">#REF!</definedName>
    <definedName name="hdavg5y">#REF!</definedName>
    <definedName name="hdmax">#REF!</definedName>
    <definedName name="hdmax1y">#REF!</definedName>
    <definedName name="hdmax2y">#REF!</definedName>
    <definedName name="hdmax3y">#REF!</definedName>
    <definedName name="hdmax5y">#REF!</definedName>
    <definedName name="hdmin">#REF!</definedName>
    <definedName name="hdmin1y">#REF!</definedName>
    <definedName name="hdmin2y">#REF!</definedName>
    <definedName name="hdmin3y">#REF!</definedName>
    <definedName name="hdmin5y">#REF!</definedName>
    <definedName name="hdrelavg1y">#REF!</definedName>
    <definedName name="hdrelavg2y">#REF!</definedName>
    <definedName name="hdrelavg3y">#REF!</definedName>
    <definedName name="hdrelavg5y">#REF!</definedName>
    <definedName name="hdrelmax">#REF!</definedName>
    <definedName name="hdrelmax1y">#REF!</definedName>
    <definedName name="hdrelmax2y">#REF!</definedName>
    <definedName name="hdrelmax3y">#REF!</definedName>
    <definedName name="hdrelmax5y">#REF!</definedName>
    <definedName name="hdrelmin">#REF!</definedName>
    <definedName name="hdrelmin1y">#REF!</definedName>
    <definedName name="hdrelmin2y">#REF!</definedName>
    <definedName name="hdrelmin3y">#REF!</definedName>
    <definedName name="hdrelmin5y">#REF!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inctax1q03">#REF!</definedName>
    <definedName name="inctax1q04">#REF!</definedName>
    <definedName name="inctax2q02">#REF!</definedName>
    <definedName name="inctax2q03">#REF!</definedName>
    <definedName name="inctax2q04">#REF!</definedName>
    <definedName name="inctax3q02">#REF!</definedName>
    <definedName name="inctax3q03">#REF!</definedName>
    <definedName name="inctax3q04">#REF!</definedName>
    <definedName name="inctax4q02">#REF!</definedName>
    <definedName name="inctax4q03">#REF!</definedName>
    <definedName name="inctax4q04">#REF!</definedName>
    <definedName name="inctaxfy02">#REF!</definedName>
    <definedName name="inctaxfy03">#REF!</definedName>
    <definedName name="input_method">#REF!</definedName>
    <definedName name="INT">#REF!</definedName>
    <definedName name="interest90">#REF!</definedName>
    <definedName name="interest91">#REF!</definedName>
    <definedName name="interest92">#REF!</definedName>
    <definedName name="intexp1q00">#REF!</definedName>
    <definedName name="intexp1q01">#REF!</definedName>
    <definedName name="intexp1q02">#REF!</definedName>
    <definedName name="intexp1q03">#REF!</definedName>
    <definedName name="intexp1q04">#REF!</definedName>
    <definedName name="intexp1q99">#REF!</definedName>
    <definedName name="intexp2q00">#REF!</definedName>
    <definedName name="intexp2q01">#REF!</definedName>
    <definedName name="intexp2q02">#REF!</definedName>
    <definedName name="intexp2q03">#REF!</definedName>
    <definedName name="intexp2q04">#REF!</definedName>
    <definedName name="intexp2q99">#REF!</definedName>
    <definedName name="intexp3q00">#REF!</definedName>
    <definedName name="intexp3q01">#REF!</definedName>
    <definedName name="intexp3q02">#REF!</definedName>
    <definedName name="intexp3q03">#REF!</definedName>
    <definedName name="intexp3q04">#REF!</definedName>
    <definedName name="intexp3q99">#REF!</definedName>
    <definedName name="intexp4q00">#REF!</definedName>
    <definedName name="intexp4q01">#REF!</definedName>
    <definedName name="intexp4q02">#REF!</definedName>
    <definedName name="intexp4q03">#REF!</definedName>
    <definedName name="intexp4q04">#REF!</definedName>
    <definedName name="intexp4q99">#REF!</definedName>
    <definedName name="intexpFY00">#REF!</definedName>
    <definedName name="intexpFY01">#REF!</definedName>
    <definedName name="intexpfy02">#REF!</definedName>
    <definedName name="intexpfy03">#REF!</definedName>
    <definedName name="intexpfy97">#REF!</definedName>
    <definedName name="intexpfy98">#REF!</definedName>
    <definedName name="intexpFY99">#REF!</definedName>
    <definedName name="inv">#REF!</definedName>
    <definedName name="inv1q00">#REF!</definedName>
    <definedName name="inv1q01">#REF!</definedName>
    <definedName name="inv1q02">#REF!</definedName>
    <definedName name="inv1q98">#REF!</definedName>
    <definedName name="inv1q99">#REF!</definedName>
    <definedName name="inv2q00">#REF!</definedName>
    <definedName name="inv2q01">#REF!</definedName>
    <definedName name="inv2q02">#REF!</definedName>
    <definedName name="inv2q98">#REF!</definedName>
    <definedName name="inv2q99">#REF!</definedName>
    <definedName name="inv3q00">#REF!</definedName>
    <definedName name="inv3q01">#REF!</definedName>
    <definedName name="inv3q02">#REF!</definedName>
    <definedName name="inv3q98">#REF!</definedName>
    <definedName name="inv3q99">#REF!</definedName>
    <definedName name="inv4q00">#REF!</definedName>
    <definedName name="inv4q01">#REF!</definedName>
    <definedName name="inv4q02">#REF!</definedName>
    <definedName name="inv4q98">#REF!</definedName>
    <definedName name="inv4q99">#REF!</definedName>
    <definedName name="INVEST">#REF!</definedName>
    <definedName name="invfy00">#REF!</definedName>
    <definedName name="invfy01">#REF!</definedName>
    <definedName name="invfy02">#REF!</definedName>
    <definedName name="invfy97">#REF!</definedName>
    <definedName name="invfy98">#REF!</definedName>
    <definedName name="invfy99">#REF!</definedName>
    <definedName name="io" hidden="1">{#N/A,#N/A,FALSE,"FAB VENDORS";"BUD SUM",#N/A,FALSE,"BUD SUM WO TEX"}</definedName>
    <definedName name="IQ_ADDIN" hidden="1">"AUTO"</definedName>
    <definedName name="iss">#REF!</definedName>
    <definedName name="iunv">#REF!</definedName>
    <definedName name="k">#REF!</definedName>
    <definedName name="Ka">#REF!</definedName>
    <definedName name="L_ALL_AAP">#REF!</definedName>
    <definedName name="L_ALL_AAP_">#REF!</definedName>
    <definedName name="L_ALL_ASO">#REF!</definedName>
    <definedName name="L_ALL_ATM.NZ">#REF!</definedName>
    <definedName name="L_ALL_BBBY">#REF!</definedName>
    <definedName name="L_ALL_COLM">#REF!</definedName>
    <definedName name="L_ALL_DKS">#REF!</definedName>
    <definedName name="L_ALL_DKS_">#REF!</definedName>
    <definedName name="L_ALL_DRVN">#REF!</definedName>
    <definedName name="L_ALL_FL">#REF!</definedName>
    <definedName name="L_ALL_GPS">#REF!</definedName>
    <definedName name="L_ALL_JWN">#REF!</definedName>
    <definedName name="L_ALL_KEYWORDS_TYPE_ScalarContributed_EQTY_200001089">#REF!,#REF!,#REF!,#REF!</definedName>
    <definedName name="L_ALL_KEYWORDS_TYPE_ScalarContributed_EQTY_200001343">#REF!,#REF!,#REF!,#REF!</definedName>
    <definedName name="L_ALL_KEYWORDS_TYPE_ScalarContributed_EQTY_200001864">#REF!,#REF!,#REF!,#REF!,#REF!</definedName>
    <definedName name="L_ALL_KEYWORDS_TYPE_ScalarContributed_EQTY_200002237">#REF!,#REF!,#REF!,#REF!</definedName>
    <definedName name="L_ALL_KEYWORDS_TYPE_ScalarContributed_EQTY_200002364">#REF!,#REF!,#REF!,#REF!</definedName>
    <definedName name="L_ALL_KEYWORDS_TYPE_ScalarContributed_EQTY_200010773">#REF!,#REF!,#REF!,#REF!</definedName>
    <definedName name="L_ALL_KEYWORDS_TYPE_ScalarContributed_EQTY_200015048">#REF!,#REF!,#REF!,#REF!</definedName>
    <definedName name="L_ALL_KEYWORDS_TYPE_ScalarContributed_ISSR_208000322">#REF!,#REF!</definedName>
    <definedName name="L_ALL_KEYWORDS_TYPE_ScalarContributed_ISSR_208000443">#REF!,#REF!</definedName>
    <definedName name="L_ALL_KEYWORDS_TYPE_ScalarContributed_ISSR_208000856">#REF!,#REF!</definedName>
    <definedName name="L_ALL_KEYWORDS_TYPE_Vector_EQTY_200001089">#REF!,#REF!,#REF!,#REF!,#REF!,#REF!,#REF!,#REF!</definedName>
    <definedName name="L_ALL_KEYWORDS_TYPE_Vector_EQTY_200001343">#REF!,#REF!,#REF!,#REF!,#REF!,#REF!,#REF!,#REF!</definedName>
    <definedName name="L_ALL_KEYWORDS_TYPE_Vector_EQTY_200002237">#REF!,#REF!,#REF!,#REF!,#REF!,#REF!,#REF!,#REF!</definedName>
    <definedName name="L_ALL_KEYWORDS_TYPE_Vector_EQTY_200002364">#REF!,#REF!,#REF!,#REF!,#REF!,#REF!,#REF!</definedName>
    <definedName name="L_ALL_KEYWORDS_TYPE_Vector_EQTY_200010773">#REF!,#REF!,#REF!,#REF!,#REF!,#REF!,#REF!,#REF!</definedName>
    <definedName name="L_ALL_KEYWORDS_TYPE_Vector_EQTY_200015048">#REF!,#REF!,#REF!,#REF!,#REF!,#REF!,#REF!</definedName>
    <definedName name="L_ALL_KEYWORDS_TYPE_Vector_ISSR_208000322">#REF!,#REF!,#REF!,#REF!,#REF!,#REF!,#REF!,#REF!,#REF!,#REF!,#REF!,#REF!,#REF!,#REF!,#REF!</definedName>
    <definedName name="L_ALL_KEYWORDS_TYPE_Vector_ISSR_208000443">#REF!,#REF!,#REF!,#REF!,#REF!,#REF!,#REF!,#REF!,#REF!,#REF!,#REF!</definedName>
    <definedName name="L_ALL_KEYWORDS_TYPE_Vector_ISSR_208000814">#REF!,#REF!,#REF!,#REF!,#REF!,#REF!,#REF!,#REF!,#REF!,#REF!,#REF!,#REF!,#REF!,#REF!,#REF!,#REF!,#REF!</definedName>
    <definedName name="L_ALL_KEYWORDS_TYPE_Vector_ISSR_208000856">#REF!,#REF!,#REF!,#REF!,#REF!,#REF!,#REF!,#REF!,#REF!,#REF!,#REF!,#REF!</definedName>
    <definedName name="L_ALL_KEYWORDS_TYPE_Vector_ISSR_208001763">#REF!,#REF!,#REF!,#REF!,#REF!,#REF!,#REF!,#REF!,#REF!,#REF!,#REF!,#REF!,#REF!,#REF!,#REF!</definedName>
    <definedName name="L_ALL_KEYWORDS_TYPE_Vector_ISSR_208002808">#REF!,#REF!,#REF!,#REF!,#REF!,#REF!,#REF!,#REF!,#REF!,#REF!,#REF!,#REF!,#REF!,#REF!,#REF!</definedName>
    <definedName name="L_ALL_KEYWORDS_TYPE_Vector_ISSR_208008254">#REF!,#REF!,#REF!,#REF!,#REF!,#REF!,#REF!,#REF!,#REF!,#REF!,#REF!,#REF!,#REF!,#REF!</definedName>
    <definedName name="L_ALL_KEYWORDS_TYPE_Vector_ISSR_208011805">#REF!,#REF!,#REF!,#REF!,#REF!,#REF!,#REF!,#REF!,#REF!,#REF!,#REF!</definedName>
    <definedName name="L_ALL_KORS">#REF!</definedName>
    <definedName name="L_ALL_M">#REF!</definedName>
    <definedName name="L_ALL_NKE">#REF!</definedName>
    <definedName name="L_ALL_NKE_">#REF!</definedName>
    <definedName name="L_ALL_PVH">#REF!</definedName>
    <definedName name="L_ALL_RL">#REF!</definedName>
    <definedName name="L_ALL_SECTION_KEYWORDS_EQTY_200001089_13A">#REF!</definedName>
    <definedName name="L_ALL_SECTION_KEYWORDS_EQTY_200001089_13K">#REF!</definedName>
    <definedName name="L_ALL_SECTION_KEYWORDS_EQTY_200001864_13A">#REF!</definedName>
    <definedName name="L_ALL_SECTION_KEYWORDS_EQTY_200001864_13K">#REF!</definedName>
    <definedName name="L_ALL_SECTION_KEYWORDS_ISSR_208000322_1314">#REF!</definedName>
    <definedName name="L_ALL_SECTION_KEYWORDS_ISSR_208000322_1319">#REF!</definedName>
    <definedName name="L_ALL_SECTION_KEYWORDS_ISSR_208000322_131E">#REF!</definedName>
    <definedName name="L_ALL_SECTION_KEYWORDS_ISSR_208000322_136J">#REF!</definedName>
    <definedName name="L_ALL_SECTION_KEYWORDS_ISSR_208000322_13V">#REF!,#REF!</definedName>
    <definedName name="L_ALL_SECTION_KEYWORDS_ISSR_208000443_136E">#REF!,#REF!</definedName>
    <definedName name="L_ALL_SECTION_KEYWORDS_ISSR_208000443_136J">#REF!,#REF!</definedName>
    <definedName name="L_ALL_SECTION_KEYWORDS_ISSR_208000694_1314">#REF!</definedName>
    <definedName name="L_ALL_SECTION_KEYWORDS_ISSR_208000694_1319">#REF!</definedName>
    <definedName name="L_ALL_SECTION_KEYWORDS_ISSR_208000694_131E">#REF!</definedName>
    <definedName name="L_ALL_SECTION_KEYWORDS_ISSR_208000694_131O">#REF!,#REF!</definedName>
    <definedName name="L_ALL_SECTION_KEYWORDS_ISSR_208000694_136J">#REF!,#REF!</definedName>
    <definedName name="L_ALL_SECTION_KEYWORDS_ISSR_208000694_13V">#REF!,#REF!</definedName>
    <definedName name="L_ALL_SECTION_KEYWORDS_ISSR_208001763_131O">#REF!,#REF!</definedName>
    <definedName name="L_ALL_SECTION_KEYWORDS_ISSR_208002808_131O">#REF!,#REF!</definedName>
    <definedName name="L_ALL_SECTION_KEYWORDS_ISSR_208002808_136J">#REF!,#REF!</definedName>
    <definedName name="L_ALL_SECTION_KEYWORDS_ISSR_208008254_136E">#REF!,#REF!</definedName>
    <definedName name="L_ALL_SECTION_KEYWORDS_ISSR_208008254_136J">#REF!,#REF!</definedName>
    <definedName name="L_ALL_SECTIONS_EQTY_200001089">#REF!,#REF!,#REF!,#REF!,#REF!,#REF!,#REF!,#REF!,#REF!,#REF!</definedName>
    <definedName name="L_ALL_SECTIONS_EQTY_200001343">#REF!,#REF!,#REF!,#REF!,#REF!,#REF!,#REF!,#REF!,#REF!,#REF!</definedName>
    <definedName name="L_ALL_SECTIONS_EQTY_200002237">#REF!,#REF!,#REF!,#REF!,#REF!,#REF!,#REF!,#REF!,#REF!,#REF!</definedName>
    <definedName name="L_ALL_SECTIONS_EQTY_200002364">#REF!,#REF!,#REF!,#REF!,#REF!,#REF!,#REF!,#REF!,#REF!,#REF!</definedName>
    <definedName name="L_ALL_SECTIONS_EQTY_200010773">#REF!,#REF!,#REF!,#REF!,#REF!,#REF!,#REF!,#REF!,#REF!,#REF!</definedName>
    <definedName name="L_ALL_SECTIONS_EQTY_200015048">#REF!,#REF!,#REF!,#REF!,#REF!,#REF!,#REF!,#REF!,#REF!,#REF!</definedName>
    <definedName name="L_ALL_SECTIONS_ISSR_208000322">#REF!,#REF!,#REF!,#REF!,#REF!,#REF!,#REF!,#REF!,#REF!,#REF!,#REF!,#REF!</definedName>
    <definedName name="L_ALL_SECTIONS_ISSR_208000814">#REF!,#REF!,#REF!,#REF!,#REF!,#REF!,#REF!,#REF!,#REF!,#REF!,#REF!,#REF!</definedName>
    <definedName name="L_ALL_SECTIONS_ISSR_208000856">#REF!,#REF!,#REF!,#REF!,#REF!,#REF!,#REF!,#REF!,#REF!,#REF!,#REF!,#REF!</definedName>
    <definedName name="L_ALL_SECTIONS_ISSR_208011805">#REF!,#REF!,#REF!,#REF!,#REF!,#REF!,#REF!,#REF!,#REF!,#REF!,#REF!,#REF!</definedName>
    <definedName name="L_ALL_TSN">#REF!</definedName>
    <definedName name="L_ALL_TUMI">#REF!</definedName>
    <definedName name="L_CURRENCY_EQTY_200001089_PRI">#REF!</definedName>
    <definedName name="L_CURRENCY_EQTY_200001089_PUB">#REF!</definedName>
    <definedName name="L_CURRENCY_EQTY_200001089_REP">#REF!</definedName>
    <definedName name="L_CURRENCY_EQTY_200001343_PRI">#REF!</definedName>
    <definedName name="L_CURRENCY_EQTY_200001343_PUB">#REF!</definedName>
    <definedName name="L_CURRENCY_EQTY_200001343_REP">#REF!</definedName>
    <definedName name="L_CURRENCY_EQTY_200002237_PRI">#REF!</definedName>
    <definedName name="L_CURRENCY_EQTY_200002237_PUB">#REF!</definedName>
    <definedName name="L_CURRENCY_EQTY_200002237_REP">#REF!</definedName>
    <definedName name="L_CURRENCY_EQTY_200002364_PRI">#REF!</definedName>
    <definedName name="L_CURRENCY_EQTY_200002364_PUB">#REF!</definedName>
    <definedName name="L_CURRENCY_EQTY_200002364_REP">#REF!</definedName>
    <definedName name="L_CURRENCY_EQTY_200010773_PRI">#REF!</definedName>
    <definedName name="L_CURRENCY_EQTY_200010773_PUB">#REF!</definedName>
    <definedName name="L_CURRENCY_EQTY_200010773_REP">#REF!</definedName>
    <definedName name="L_CURRENCY_EQTY_200015048_PRI">#REF!</definedName>
    <definedName name="L_CURRENCY_EQTY_200015048_PUB">#REF!</definedName>
    <definedName name="L_CURRENCY_EQTY_200015048_REP">#REF!</definedName>
    <definedName name="L_CURRENCY_ISSR_208000322_REP">#REF!</definedName>
    <definedName name="L_CURRENCY_ISSR_208000443_REP">#REF!</definedName>
    <definedName name="L_CURRENCY_ISSR_208000814_REP">#REF!</definedName>
    <definedName name="L_CURRENCY_ISSR_208000856_REP">#REF!</definedName>
    <definedName name="L_CURRENCY_ISSR_208008254_REP">#REF!</definedName>
    <definedName name="L_CURRENCY_ISSR_208011805_REP">#REF!</definedName>
    <definedName name="L_PERIOD_2002">#REF!</definedName>
    <definedName name="L_PERIOD_2003">#REF!</definedName>
    <definedName name="L_PERIOD_2004">#REF!</definedName>
    <definedName name="L_PERIOD_2004_Q1">#REF!</definedName>
    <definedName name="L_PERIOD_2004_Q2">#REF!</definedName>
    <definedName name="L_PERIOD_2004_Q3">#REF!</definedName>
    <definedName name="L_PERIOD_2004_Q4">#REF!</definedName>
    <definedName name="LABEL">#REF!</definedName>
    <definedName name="ListOffset" hidden="1">1</definedName>
    <definedName name="ll9y" hidden="1">{#N/A,#N/A,FALSE,"FAB VENDORS";"BUD SUM",#N/A,FALSE,"BUD SUM WO TEX"}</definedName>
    <definedName name="lowavg1y">#REF!</definedName>
    <definedName name="lowavg2y">#REF!</definedName>
    <definedName name="lowavg3y">#REF!</definedName>
    <definedName name="lowavg5y">#REF!</definedName>
    <definedName name="lowmax">#REF!</definedName>
    <definedName name="lowmax1y">#REF!</definedName>
    <definedName name="lowmax2y">#REF!</definedName>
    <definedName name="lowmax3y">#REF!</definedName>
    <definedName name="lowmax5y">#REF!</definedName>
    <definedName name="lowmin">#REF!</definedName>
    <definedName name="lowmin1y">#REF!</definedName>
    <definedName name="lowmin2y">#REF!</definedName>
    <definedName name="lowmin3y">#REF!</definedName>
    <definedName name="lowmin5y">#REF!</definedName>
    <definedName name="lowrelavg1y">#REF!</definedName>
    <definedName name="lowrelavg2y">#REF!</definedName>
    <definedName name="lowrelavg3y">#REF!</definedName>
    <definedName name="lowrelavg5y">#REF!</definedName>
    <definedName name="lowrelmax1y">#REF!</definedName>
    <definedName name="lowrelmax2y">#REF!</definedName>
    <definedName name="lowrelmax3y">#REF!</definedName>
    <definedName name="lowrelmax5y">#REF!</definedName>
    <definedName name="lowrelmin1y">#REF!</definedName>
    <definedName name="lowrelmin2y">#REF!</definedName>
    <definedName name="lowrelmin3y">#REF!</definedName>
    <definedName name="lowrelmin5y">#REF!</definedName>
    <definedName name="Ltdcomp.xls">#REF!</definedName>
    <definedName name="M_PlaceofPath" hidden="1">"\\SNYCEQT0300\HOME\DBEGLEIT\excel\FULL\FULL_VDF.XLS"</definedName>
    <definedName name="mkmk" hidden="1">{"IS",#N/A,FALSE,"IS";"RPTIS",#N/A,FALSE,"RPTIS";"STATS",#N/A,FALSE,"STATS";"CELL",#N/A,FALSE,"CELL";"BS",#N/A,FALSE,"BS"}</definedName>
    <definedName name="model_5yr">#REF!</definedName>
    <definedName name="model_type">#REF!</definedName>
    <definedName name="MV">#REF!</definedName>
    <definedName name="myDialog">"dial"</definedName>
    <definedName name="NetDebtPerShare">#REF!</definedName>
    <definedName name="netinc1q00">#REF!</definedName>
    <definedName name="netinc1q01">#REF!</definedName>
    <definedName name="netinc1q02">#REF!</definedName>
    <definedName name="netinc1q03">#REF!</definedName>
    <definedName name="netinc1q99">#REF!</definedName>
    <definedName name="netinc2q00">#REF!</definedName>
    <definedName name="netinc2q01">#REF!</definedName>
    <definedName name="netinc2q02">#REF!</definedName>
    <definedName name="netinc2q03">#REF!</definedName>
    <definedName name="netinc2q99">#REF!</definedName>
    <definedName name="netinc3q00">#REF!</definedName>
    <definedName name="netinc3q01">#REF!</definedName>
    <definedName name="netinc3q02">#REF!</definedName>
    <definedName name="netinc3q03">#REF!</definedName>
    <definedName name="netinc3q99">#REF!</definedName>
    <definedName name="netinc4q00">#REF!</definedName>
    <definedName name="netinc4q01">#REF!</definedName>
    <definedName name="netinc4q02">#REF!</definedName>
    <definedName name="netinc4q03">#REF!</definedName>
    <definedName name="netinc4q99">#REF!</definedName>
    <definedName name="netincfy00">#REF!</definedName>
    <definedName name="netincfy01">#REF!</definedName>
    <definedName name="netincfy02">#REF!</definedName>
    <definedName name="netincfy03">#REF!</definedName>
    <definedName name="netincfy04">#REF!</definedName>
    <definedName name="netincfy98">#REF!</definedName>
    <definedName name="netincfy99">#REF!</definedName>
    <definedName name="newbel" hidden="1">{"IS",#N/A,FALSE,"IS";"RPTIS",#N/A,FALSE,"RPTIS";"STATS",#N/A,FALSE,"STATS";"CELL",#N/A,FALSE,"CELL";"BS",#N/A,FALSE,"BS"}</definedName>
    <definedName name="NEWDEBT">#REF!</definedName>
    <definedName name="newprint">#REF!</definedName>
    <definedName name="NEWSPAPERS">#REF!</definedName>
    <definedName name="ni1q03">#REF!</definedName>
    <definedName name="ni2q03">#REF!</definedName>
    <definedName name="ni3q03">#REF!</definedName>
    <definedName name="ni4q03">#REF!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FY00">#REF!</definedName>
    <definedName name="niFY01">#REF!</definedName>
    <definedName name="nify02">#REF!</definedName>
    <definedName name="nify03">#REF!</definedName>
    <definedName name="nify97">#REF!</definedName>
    <definedName name="nify98">#REF!</definedName>
    <definedName name="niFY99">#REF!</definedName>
    <definedName name="nn" hidden="1">{#N/A,#N/A,FALSE,"Sheet1";#N/A,#N/A,FALSE,"Sheet2";#N/A,#N/A,FALSE,"Sheet3";#N/A,#N/A,FALSE,"Sheet4";#N/A,#N/A,FALSE,"Sheet5";#N/A,#N/A,FALSE,"Sheet6"}</definedName>
    <definedName name="NOPAT">#REF!</definedName>
    <definedName name="normal">#REF!</definedName>
    <definedName name="Note" hidden="1">#REF!</definedName>
    <definedName name="opexp1q03">#REF!</definedName>
    <definedName name="opexp1q04">#REF!</definedName>
    <definedName name="opexp2q03">#REF!</definedName>
    <definedName name="opexp2q04">#REF!</definedName>
    <definedName name="opexp3q03">#REF!</definedName>
    <definedName name="opexp3q04">#REF!</definedName>
    <definedName name="opexp4q03">#REF!</definedName>
    <definedName name="opexp4q04">#REF!</definedName>
    <definedName name="opinc1q00">#REF!</definedName>
    <definedName name="opinc1q01">#REF!</definedName>
    <definedName name="opinc1q02">#REF!</definedName>
    <definedName name="opinc1q03">#REF!</definedName>
    <definedName name="opinc1q04">#REF!</definedName>
    <definedName name="opinc1q05">#REF!</definedName>
    <definedName name="opinc1q98">#REF!</definedName>
    <definedName name="opinc1q99">#REF!</definedName>
    <definedName name="opinc2q00">#REF!</definedName>
    <definedName name="opinc2q01">#REF!</definedName>
    <definedName name="opinc2q02">#REF!</definedName>
    <definedName name="opinc2q03">#REF!</definedName>
    <definedName name="opinc2q04">#REF!</definedName>
    <definedName name="opinc2q05">#REF!</definedName>
    <definedName name="opinc2q98">#REF!</definedName>
    <definedName name="opinc2q99">#REF!</definedName>
    <definedName name="opinc3q00">#REF!</definedName>
    <definedName name="opinc3q01">#REF!</definedName>
    <definedName name="opinc3q02">#REF!</definedName>
    <definedName name="opinc3q03">#REF!</definedName>
    <definedName name="opinc3q04">#REF!</definedName>
    <definedName name="opinc3q05">#REF!</definedName>
    <definedName name="opinc3q98">#REF!</definedName>
    <definedName name="opinc3q99">#REF!</definedName>
    <definedName name="opinc4q00">#REF!</definedName>
    <definedName name="opinc4q01">#REF!</definedName>
    <definedName name="opinc4q02">#REF!</definedName>
    <definedName name="opinc4q03">#REF!</definedName>
    <definedName name="opinc4q04">#REF!</definedName>
    <definedName name="opinc4q05">#REF!</definedName>
    <definedName name="opinc4q98">#REF!</definedName>
    <definedName name="opinc4q99">#REF!</definedName>
    <definedName name="opincFY00">#REF!</definedName>
    <definedName name="opincFY01">#REF!</definedName>
    <definedName name="opincfy02">#REF!</definedName>
    <definedName name="opincfy03">#REF!</definedName>
    <definedName name="opincfy97">#REF!</definedName>
    <definedName name="opincfy98">#REF!</definedName>
    <definedName name="opincFY99">#REF!</definedName>
    <definedName name="OpIncome_2000">#REF!</definedName>
    <definedName name="OpIncome_2001">#REF!</definedName>
    <definedName name="OpIncome_2002">#REF!</definedName>
    <definedName name="OpIncome_2003">#REF!</definedName>
    <definedName name="opmarg91">#REF!</definedName>
    <definedName name="opmarg92">#REF!</definedName>
    <definedName name="opmarg93">#REF!</definedName>
    <definedName name="OTHER">#REF!</definedName>
    <definedName name="otherexp1q03">#REF!</definedName>
    <definedName name="otherexp2q03">#REF!</definedName>
    <definedName name="otherexp3q03">#REF!</definedName>
    <definedName name="otherexp4q03">#REF!</definedName>
    <definedName name="otherexpfy00">#REF!</definedName>
    <definedName name="otherexpfy01">#REF!</definedName>
    <definedName name="otherexpfy02">#REF!</definedName>
    <definedName name="otherexpfy03">#REF!</definedName>
    <definedName name="OtherRevenue_2000">#REF!</definedName>
    <definedName name="Payout_ratio_on_underlying">#REF!</definedName>
    <definedName name="PBV">#REF!</definedName>
    <definedName name="PE">#REF!</definedName>
    <definedName name="percenttotal">#REF!</definedName>
    <definedName name="pj" hidden="1">{#N/A,#N/A,FALSE,"Sheet1";#N/A,#N/A,FALSE,"Sheet2";#N/A,#N/A,FALSE,"Sheet3";#N/A,#N/A,FALSE,"Sheet4";#N/A,#N/A,FALSE,"Sheet5";#N/A,#N/A,FALSE,"Sheet6"}</definedName>
    <definedName name="Post_tax_stock_gains_losses">#REF!</definedName>
    <definedName name="ppp" hidden="1">{#N/A,#N/A,FALSE,"FAB VENDORS";"BUD SUM",#N/A,FALSE,"BUD SUM WO TEX"}</definedName>
    <definedName name="preop1q03">#REF!</definedName>
    <definedName name="preop1q04">#REF!</definedName>
    <definedName name="preop2q03">#REF!</definedName>
    <definedName name="preop2q04">#REF!</definedName>
    <definedName name="preop3q03">#REF!</definedName>
    <definedName name="preop3q04">#REF!</definedName>
    <definedName name="preop3q05">#REF!</definedName>
    <definedName name="preop4q03">#REF!</definedName>
    <definedName name="preop4q04">#REF!</definedName>
    <definedName name="preop4q05">#REF!</definedName>
    <definedName name="preopn1q01">#REF!</definedName>
    <definedName name="preopn1q02">#REF!</definedName>
    <definedName name="preopn1q03">#REF!</definedName>
    <definedName name="preopn1q04">#REF!</definedName>
    <definedName name="preopn2q01">#REF!</definedName>
    <definedName name="preopn2q02">#REF!</definedName>
    <definedName name="preopn2q03">#REF!</definedName>
    <definedName name="preopn2q04">#REF!</definedName>
    <definedName name="preopn3q01">#REF!</definedName>
    <definedName name="preopn3q02">#REF!</definedName>
    <definedName name="preopn3q03">#REF!</definedName>
    <definedName name="preopn3q04">#REF!</definedName>
    <definedName name="preopn4q01">#REF!</definedName>
    <definedName name="preopn4q02">#REF!</definedName>
    <definedName name="preopn4q03">#REF!</definedName>
    <definedName name="preopn4q04">#REF!</definedName>
    <definedName name="preopnfy00">#REF!</definedName>
    <definedName name="preopnfy01">#REF!</definedName>
    <definedName name="preopnfy02">#REF!</definedName>
    <definedName name="preopnfy03">#REF!</definedName>
    <definedName name="preopnfy04">#REF!</definedName>
    <definedName name="preopnfy05">#REF!</definedName>
    <definedName name="preopnfy06">#REF!</definedName>
    <definedName name="preopnfy07">#REF!</definedName>
    <definedName name="pretax1q00">#REF!</definedName>
    <definedName name="pretax1q01">#REF!</definedName>
    <definedName name="pretax1q03">#REF!</definedName>
    <definedName name="pretax1q98">#REF!</definedName>
    <definedName name="pretax1q99">#REF!</definedName>
    <definedName name="pretax2q00">#REF!</definedName>
    <definedName name="pretax2q01">#REF!</definedName>
    <definedName name="pretax2q03">#REF!</definedName>
    <definedName name="pretax2q98">#REF!</definedName>
    <definedName name="pretax2q99">#REF!</definedName>
    <definedName name="pretax3q00">#REF!</definedName>
    <definedName name="pretax3q01">#REF!</definedName>
    <definedName name="pretax3q03">#REF!</definedName>
    <definedName name="pretax3q98">#REF!</definedName>
    <definedName name="pretax3q99">#REF!</definedName>
    <definedName name="pretax4q00">#REF!</definedName>
    <definedName name="pretax4q01">#REF!</definedName>
    <definedName name="pretax4q03">#REF!</definedName>
    <definedName name="pretax4q98">#REF!</definedName>
    <definedName name="pretax4q99">#REF!</definedName>
    <definedName name="pretax87">#REF!</definedName>
    <definedName name="pretax88">#REF!</definedName>
    <definedName name="pretax89">#REF!</definedName>
    <definedName name="pretax90">#REF!</definedName>
    <definedName name="pretaxFY00">#REF!</definedName>
    <definedName name="pretaxFY01">#REF!</definedName>
    <definedName name="pretaxfy02">#REF!</definedName>
    <definedName name="pretaxfy03">#REF!</definedName>
    <definedName name="pretaxfy97">#REF!</definedName>
    <definedName name="pretaxfy98">#REF!</definedName>
    <definedName name="pretaxFY99">#REF!</definedName>
    <definedName name="pretaxinc91">#REF!</definedName>
    <definedName name="pretaxmarg93">#REF!</definedName>
    <definedName name="pretaxmgn92">#REF!</definedName>
    <definedName name="_xlnm.Print_Area" localSheetId="1">'2. Consolidated'!$BL$1:$CJ$103,'2. Consolidated'!#REF!</definedName>
    <definedName name="_xlnm.Print_Area">#REF!</definedName>
    <definedName name="Print_Area_MI">#REF!</definedName>
    <definedName name="print_page">#REF!</definedName>
    <definedName name="prod">#REF!</definedName>
    <definedName name="PVVA">#REF!</definedName>
    <definedName name="q2we" hidden="1">{#N/A,#N/A,FALSE,"SUMMARY";#N/A,#N/A,FALSE,"DETAIL";#N/A,#N/A,FALSE,"VARIANCE"}</definedName>
    <definedName name="qstore">#REF!</definedName>
    <definedName name="QUARTERS">#REF!</definedName>
    <definedName name="quartstore">#REF!</definedName>
    <definedName name="quartstorinv">#REF!</definedName>
    <definedName name="qwe" hidden="1">{#N/A,#N/A,FALSE,"FAB VENDORS";"BUD SUM",#N/A,FALSE,"BUD SUM WO TEX"}</definedName>
    <definedName name="qwer" hidden="1">{#N/A,#N/A,FALSE,"Barranca"}</definedName>
    <definedName name="ra">#REF!</definedName>
    <definedName name="rate">#REF!</definedName>
    <definedName name="recap_dividend">"Picture 69"</definedName>
    <definedName name="recap_repurchase">"Picture 64"</definedName>
    <definedName name="redo">#REF!</definedName>
    <definedName name="Reported_net_income">#REF!</definedName>
    <definedName name="ReportGroup" hidden="1">0</definedName>
    <definedName name="residualgrowthrate">#REF!</definedName>
    <definedName name="retpric3">#REF!</definedName>
    <definedName name="returns">#REF!</definedName>
    <definedName name="ROC">#REF!</definedName>
    <definedName name="ROE">#REF!</definedName>
    <definedName name="roic">#REF!</definedName>
    <definedName name="roic2">#REF!</definedName>
    <definedName name="s">{#N/A,#N/A,FALSE,"Title";#N/A,#N/A,FALSE,"Inputs";#N/A,#N/A,FALSE,"Impact";#N/A,#N/A,FALSE,"Sources &amp; Uses";#N/A,#N/A,FALSE,"Capitalization Impact";#N/A,#N/A,FALSE,"NEWCO Projections"}</definedName>
    <definedName name="Sales_2002">#REF!</definedName>
    <definedName name="Schroder_exceptionals">#REF!</definedName>
    <definedName name="sdf" hidden="1">{#N/A,#N/A,FALSE,"FAB VENDORS";"BUD SUM",#N/A,FALSE,"BUD SUM WO TEX"}</definedName>
    <definedName name="selectInput">#REF!</definedName>
    <definedName name="SelectLBO">#REF!</definedName>
    <definedName name="SelectRECAP">#REF!</definedName>
    <definedName name="sencount" hidden="1">1</definedName>
    <definedName name="serase">#REF!</definedName>
    <definedName name="sga1q00">#REF!</definedName>
    <definedName name="sga1q01">#REF!</definedName>
    <definedName name="sga1q02">#REF!</definedName>
    <definedName name="sga1q03">#REF!</definedName>
    <definedName name="sga1q04">#REF!</definedName>
    <definedName name="sga1q98">#REF!</definedName>
    <definedName name="sga1q99">#REF!</definedName>
    <definedName name="sga2q00">#REF!</definedName>
    <definedName name="sga2q01">#REF!</definedName>
    <definedName name="sga2q02">#REF!</definedName>
    <definedName name="sga2q03">#REF!</definedName>
    <definedName name="sga2q04">#REF!</definedName>
    <definedName name="sga2q98">#REF!</definedName>
    <definedName name="sga2q99">#REF!</definedName>
    <definedName name="sga3q00">#REF!</definedName>
    <definedName name="sga3q01">#REF!</definedName>
    <definedName name="sga3q02">#REF!</definedName>
    <definedName name="sga3q03">#REF!</definedName>
    <definedName name="sga3q04">#REF!</definedName>
    <definedName name="sga3q05">#REF!</definedName>
    <definedName name="sga3q98">#REF!</definedName>
    <definedName name="sga3q99">#REF!</definedName>
    <definedName name="sga4q00">#REF!</definedName>
    <definedName name="sga4q01">#REF!</definedName>
    <definedName name="sga4q02">#REF!</definedName>
    <definedName name="sga4q03">#REF!</definedName>
    <definedName name="sga4q04">#REF!</definedName>
    <definedName name="sga4Q05">#REF!</definedName>
    <definedName name="sga4q98">#REF!</definedName>
    <definedName name="sga4q99">#REF!</definedName>
    <definedName name="sgaFY00">#REF!</definedName>
    <definedName name="sgaFY01">#REF!</definedName>
    <definedName name="sgafy02">#REF!</definedName>
    <definedName name="sgafy03">#REF!</definedName>
    <definedName name="sgafy97">#REF!</definedName>
    <definedName name="sgafy98">#REF!</definedName>
    <definedName name="sgaFY99">#REF!</definedName>
    <definedName name="SHEETMOVE1" hidden="1">#REF!</definedName>
    <definedName name="SHEETMOVE2" hidden="1">{"IS",#N/A,FALSE,"IS";"RPTIS",#N/A,FALSE,"RPTIS";"STATS",#N/A,FALSE,"STATS";"CELL",#N/A,FALSE,"CELL";"BS",#N/A,FALSE,"BS"}</definedName>
    <definedName name="SHEETMOVE3" hidden="1">{"IS",#N/A,FALSE,"IS";"RPTIS",#N/A,FALSE,"RPTIS";"STATS",#N/A,FALSE,"STATS";"CELL",#N/A,FALSE,"CELL";"BS",#N/A,FALSE,"BS"}</definedName>
    <definedName name="SHEETMOVE4" hidden="1">{"IS",#N/A,FALSE,"IS";"RPTIS",#N/A,FALSE,"RPTIS";"STATS",#N/A,FALSE,"STATS";"CELL",#N/A,FALSE,"CELL";"BS",#N/A,FALSE,"BS"}</definedName>
    <definedName name="SHEETMOVE5" hidden="1">{"IS",#N/A,FALSE,"IS";"RPTIS",#N/A,FALSE,"RPTIS";"STATS",#N/A,FALSE,"STATS";"CELL",#N/A,FALSE,"CELL";"BS",#N/A,FALSE,"BS"}</definedName>
    <definedName name="SHEETMOVE6" hidden="1">#REF!</definedName>
    <definedName name="SHEETMOVE7" hidden="1">#REF!</definedName>
    <definedName name="SHEETMOVE8" hidden="1">{"IS",#N/A,FALSE,"IS";"RPTIS",#N/A,FALSE,"RPTIS";"STATS",#N/A,FALSE,"STATS";"CELL",#N/A,FALSE,"CELL";"BS",#N/A,FALSE,"BS"}</definedName>
    <definedName name="SHEETMOVE9" hidden="1">{"IS",#N/A,FALSE,"IS";"RPTIS",#N/A,FALSE,"RPTIS";"STATS",#N/A,FALSE,"STATS";"BS",#N/A,FALSE,"BS"}</definedName>
    <definedName name="shout1q94">#REF!</definedName>
    <definedName name="shout2q92">#REF!</definedName>
    <definedName name="shout4q">#REF!</definedName>
    <definedName name="shout4q92">#REF!</definedName>
    <definedName name="shout4q93">#REF!</definedName>
    <definedName name="shs1q00">#REF!</definedName>
    <definedName name="shs1q01">#REF!</definedName>
    <definedName name="shs1q02">#REF!</definedName>
    <definedName name="shs1q05">#REF!</definedName>
    <definedName name="shs2q00">#REF!</definedName>
    <definedName name="shs2q01">#REF!</definedName>
    <definedName name="shs2q02">#REF!</definedName>
    <definedName name="shs2q05">#REF!</definedName>
    <definedName name="shs3q00">#REF!</definedName>
    <definedName name="shs3q01">#REF!</definedName>
    <definedName name="shs3q05">#REF!</definedName>
    <definedName name="shs4q00">#REF!</definedName>
    <definedName name="shs4q01">#REF!</definedName>
    <definedName name="shs4q02">#REF!</definedName>
    <definedName name="shs4q03">#REF!</definedName>
    <definedName name="shs4q05">#REF!</definedName>
    <definedName name="sls1q00">#REF!</definedName>
    <definedName name="sls1q01">#REF!</definedName>
    <definedName name="sls1q02">#REF!</definedName>
    <definedName name="sls1q03">#REF!</definedName>
    <definedName name="sls1q04">#REF!</definedName>
    <definedName name="sls1q05">#REF!</definedName>
    <definedName name="sls1q06">#REF!</definedName>
    <definedName name="sls1q07">#REF!</definedName>
    <definedName name="sls1q08">#REF!</definedName>
    <definedName name="sls1q09">#REF!</definedName>
    <definedName name="sls1q92">#REF!</definedName>
    <definedName name="sls1q93">#REF!</definedName>
    <definedName name="sls1q94">#REF!</definedName>
    <definedName name="sls1q95">#REF!</definedName>
    <definedName name="sls1q96">#REF!</definedName>
    <definedName name="sls1q98">#REF!</definedName>
    <definedName name="sls1q99">#REF!</definedName>
    <definedName name="sls2q00">#REF!</definedName>
    <definedName name="sls2q01">#REF!</definedName>
    <definedName name="sls2q02">#REF!</definedName>
    <definedName name="sls2q03">#REF!</definedName>
    <definedName name="sls2q04">#REF!</definedName>
    <definedName name="sls2q05">#REF!</definedName>
    <definedName name="sls2q06">#REF!</definedName>
    <definedName name="sls2q07">#REF!</definedName>
    <definedName name="sls2q08">#REF!</definedName>
    <definedName name="sls2q09">#REF!</definedName>
    <definedName name="sls2q92">#REF!</definedName>
    <definedName name="sls2q93">#REF!</definedName>
    <definedName name="sls2q94">#REF!</definedName>
    <definedName name="sls2q95">#REF!</definedName>
    <definedName name="sls2q96">#REF!</definedName>
    <definedName name="sls2q98">#REF!</definedName>
    <definedName name="sls2q99">#REF!</definedName>
    <definedName name="sls3q00">#REF!</definedName>
    <definedName name="sls3q01">#REF!</definedName>
    <definedName name="sls3q02">#REF!</definedName>
    <definedName name="sls3q03">#REF!</definedName>
    <definedName name="sls3q04">#REF!</definedName>
    <definedName name="sls3q05">#REF!</definedName>
    <definedName name="sls3q06">#REF!</definedName>
    <definedName name="sls3q07">#REF!</definedName>
    <definedName name="sls3q08">#REF!</definedName>
    <definedName name="sls3q09">#REF!</definedName>
    <definedName name="sls3q92">#REF!</definedName>
    <definedName name="sls3q93">#REF!</definedName>
    <definedName name="sls3q94">#REF!</definedName>
    <definedName name="sls3q95">#REF!</definedName>
    <definedName name="sls3q96">#REF!</definedName>
    <definedName name="sls3q98">#REF!</definedName>
    <definedName name="sls3q99">#REF!</definedName>
    <definedName name="sls4q00">#REF!</definedName>
    <definedName name="sls4q01">#REF!</definedName>
    <definedName name="sls4q02">#REF!</definedName>
    <definedName name="sls4q03">#REF!</definedName>
    <definedName name="sls4q04">#REF!</definedName>
    <definedName name="sls4q05">#REF!</definedName>
    <definedName name="sls4q06">#REF!</definedName>
    <definedName name="sls4q07">#REF!</definedName>
    <definedName name="sls4q08">#REF!</definedName>
    <definedName name="sls4q09">#REF!</definedName>
    <definedName name="sls4q92">#REF!</definedName>
    <definedName name="sls4q93">#REF!</definedName>
    <definedName name="sls4q94">#REF!</definedName>
    <definedName name="sls4q95">#REF!</definedName>
    <definedName name="sls4q96">#REF!</definedName>
    <definedName name="sls4q98">#REF!</definedName>
    <definedName name="sls4q99">#REF!</definedName>
    <definedName name="slsFY00">#REF!</definedName>
    <definedName name="slsFY01">#REF!</definedName>
    <definedName name="slsfy02">#REF!</definedName>
    <definedName name="slsfy03">#REF!</definedName>
    <definedName name="slsfy04">#REF!</definedName>
    <definedName name="slsfy05">#REF!</definedName>
    <definedName name="slsfy06">#REF!</definedName>
    <definedName name="slsfy07">#REF!</definedName>
    <definedName name="slsfy89">#REF!</definedName>
    <definedName name="slsfy90">#REF!</definedName>
    <definedName name="slsfy91">#REF!</definedName>
    <definedName name="slsfy92">#REF!</definedName>
    <definedName name="slsfy93">#REF!</definedName>
    <definedName name="slsfy94">#REF!</definedName>
    <definedName name="slsfy95">#REF!</definedName>
    <definedName name="slsfy96">#REF!</definedName>
    <definedName name="slsfy97">#REF!</definedName>
    <definedName name="slsfy98">#REF!</definedName>
    <definedName name="slsFY99">#REF!</definedName>
    <definedName name="slspersqft94">#REF!</definedName>
    <definedName name="sp">#REF!</definedName>
    <definedName name="spxavg1y">#REF!</definedName>
    <definedName name="spxavg2y">#REF!</definedName>
    <definedName name="spxavg3y">#REF!</definedName>
    <definedName name="spxavg5y">#REF!</definedName>
    <definedName name="spxmax">#REF!</definedName>
    <definedName name="spxmax1y">#REF!</definedName>
    <definedName name="spxmax2y">#REF!</definedName>
    <definedName name="spxmax3y">#REF!</definedName>
    <definedName name="spxmax5y">#REF!</definedName>
    <definedName name="spxmin">#REF!</definedName>
    <definedName name="spxmin1y">#REF!</definedName>
    <definedName name="spxmin2y">#REF!</definedName>
    <definedName name="spxmin3y">#REF!</definedName>
    <definedName name="spxmin5y">#REF!</definedName>
    <definedName name="storexp1q03">#REF!</definedName>
    <definedName name="storexp1q04">#REF!</definedName>
    <definedName name="storexp2q03">#REF!</definedName>
    <definedName name="storexp2q04">#REF!</definedName>
    <definedName name="storexp3q03">#REF!</definedName>
    <definedName name="storexp3q04">#REF!</definedName>
    <definedName name="storexp4q03">#REF!</definedName>
    <definedName name="storexp4q04">#REF!</definedName>
    <definedName name="storexpfy02">#REF!</definedName>
    <definedName name="storprof1q01">#REF!</definedName>
    <definedName name="storprof1q02">#REF!</definedName>
    <definedName name="storprof1q03">#REF!</definedName>
    <definedName name="storprof1q04">#REF!</definedName>
    <definedName name="storprof2q01">#REF!</definedName>
    <definedName name="storprof2q02">#REF!</definedName>
    <definedName name="storprof2q03">#REF!</definedName>
    <definedName name="storprof2q04">#REF!</definedName>
    <definedName name="storprof3q01">#REF!</definedName>
    <definedName name="storprof3q02">#REF!</definedName>
    <definedName name="storprof3q03">#REF!</definedName>
    <definedName name="storprof3q04">#REF!</definedName>
    <definedName name="storprof4q01">#REF!</definedName>
    <definedName name="storprof4q02">#REF!</definedName>
    <definedName name="storprof4q03">#REF!</definedName>
    <definedName name="storprof4q04">#REF!</definedName>
    <definedName name="t">#REF!</definedName>
    <definedName name="table2">#REF!</definedName>
    <definedName name="tax1q03">#REF!</definedName>
    <definedName name="tax1q04">#REF!</definedName>
    <definedName name="tax1q05">#REF!</definedName>
    <definedName name="tax1q06">#REF!</definedName>
    <definedName name="tax1q07">#REF!</definedName>
    <definedName name="tax2q03">#REF!</definedName>
    <definedName name="tax2q04">#REF!</definedName>
    <definedName name="tax2q05">#REF!</definedName>
    <definedName name="tax2q06">#REF!</definedName>
    <definedName name="tax2q07">#REF!</definedName>
    <definedName name="tax3q03">#REF!</definedName>
    <definedName name="tax3q04">#REF!</definedName>
    <definedName name="tax3q05">#REF!</definedName>
    <definedName name="tax3q06">#REF!</definedName>
    <definedName name="tax3q07">#REF!</definedName>
    <definedName name="tax4q03">#REF!</definedName>
    <definedName name="tax4q04">#REF!</definedName>
    <definedName name="tax4q05">#REF!</definedName>
    <definedName name="tax4q06">#REF!</definedName>
    <definedName name="tax4q07">#REF!</definedName>
    <definedName name="taxFY00">#REF!</definedName>
    <definedName name="taxFY01">#REF!</definedName>
    <definedName name="taxfy02">#REF!</definedName>
    <definedName name="taxfy03">#REF!</definedName>
    <definedName name="taxfy97">#REF!</definedName>
    <definedName name="taxfy98">#REF!</definedName>
    <definedName name="taxFY99">#REF!</definedName>
    <definedName name="temp">#REF!</definedName>
    <definedName name="test" hidden="1">{"IS",#N/A,FALSE,"IS";"RPTIS",#N/A,FALSE,"RPTIS";"STATS",#N/A,FALSE,"STATS";"CELL",#N/A,FALSE,"CELL";"BS",#N/A,FALSE,"BS"}</definedName>
    <definedName name="TestAdd">"Test RefersTo1"</definedName>
    <definedName name="third">#REF!</definedName>
    <definedName name="Tigr_Exhibit016f82d8_9e2a_4d5e_9143_13fe63c3502c" hidden="1">#REF!</definedName>
    <definedName name="Tigr_Exhibit04966400_82d3_43d9_bd30_a124987bfae3" hidden="1">#REF!</definedName>
    <definedName name="Tigr_Exhibit08fc1872_4d60_4acc_8a1e_aaa9761db5a6" hidden="1">#REF!</definedName>
    <definedName name="Tigr_Exhibit120eed87_0a3e_4154_a2fb_1a5efc135638" hidden="1">#REF!</definedName>
    <definedName name="Tigr_Exhibit12339089_df47_4ae5_ad36_71b0cd15d041" hidden="1">#REF!</definedName>
    <definedName name="Tigr_Exhibit199cc401_1abc_4f78_a177_10779b48268a" hidden="1">#REF!</definedName>
    <definedName name="Tigr_Exhibit19b58b0a_4a55_4f87_8908_17f868eacfee" hidden="1">#REF!</definedName>
    <definedName name="Tigr_Exhibit1b9e5422_cd37_4235_9e22_885ff3af6045" hidden="1">#REF!</definedName>
    <definedName name="Tigr_Exhibit1bb5f3cc_701b_4640_a43e_12db6ba572f2" hidden="1">'2. Consolidated'!$B$104:$BF$104</definedName>
    <definedName name="Tigr_Exhibit1bf1a913_a7c0_4a0a_b3ff_4f1f0a606749" hidden="1">#REF!</definedName>
    <definedName name="Tigr_Exhibit1d5a9d00_353d_4270_98f7_7ce3fb5a7a48" hidden="1">#REF!</definedName>
    <definedName name="Tigr_Exhibit1f2a9c08_4138_47d7_9d56_d64b2388abcd" hidden="1">#REF!</definedName>
    <definedName name="Tigr_Exhibit20327a92_9285_4169_9049_7d7bca4ce53b" hidden="1">#REF!</definedName>
    <definedName name="Tigr_Exhibit228c6a6c_3fe3_4b06_976f_415adbbd88fd" hidden="1">#REF!</definedName>
    <definedName name="Tigr_Exhibit24747583_4433_4644_9586_ddcf3000e0b1" hidden="1">#REF!</definedName>
    <definedName name="Tigr_Exhibit24e7c369_dad6_4028_a3f7_518aac04a638" hidden="1">#REF!</definedName>
    <definedName name="Tigr_Exhibit2595e7e1_10fe_433a_b9d6_493f2cdb27c5" hidden="1">#REF!</definedName>
    <definedName name="Tigr_Exhibit27182acf_0104_4c3a_a01d_820a1b2dc1d1" hidden="1">#REF!</definedName>
    <definedName name="Tigr_Exhibit29450a54_025d_4b38_b3bd_204f4413e701" hidden="1">#REF!</definedName>
    <definedName name="Tigr_Exhibit32cc2be8_c3f5_437e_a141_32dc78c77fec" hidden="1">#REF!</definedName>
    <definedName name="Tigr_Exhibit39a8847e_1f56_4709_b813_dd011a2b9878" hidden="1">#REF!</definedName>
    <definedName name="Tigr_Exhibit39b45f84_c3ad_4c82_91bf_e33c85ac2faa" hidden="1">#REF!</definedName>
    <definedName name="Tigr_Exhibit39f9177a_565c_44ea_ae93_ae9286ebbf35" hidden="1">#REF!</definedName>
    <definedName name="Tigr_Exhibit3ca6c159_2427_481e_8154_81411bfe4110" hidden="1">#REF!</definedName>
    <definedName name="Tigr_Exhibit3db04c23_42f0_4cbb_8480_f6773c187281" hidden="1">#REF!</definedName>
    <definedName name="Tigr_Exhibit3ec63d97_38ed_4af5_b022_f12c9d77c1a2" hidden="1">#REF!</definedName>
    <definedName name="Tigr_Exhibit3f2a44c6_7cd2_46f8_a11a_2d89f452f274" hidden="1">#REF!</definedName>
    <definedName name="Tigr_Exhibit3faf9253_dd03_48f2_a7ae_660c826111c6" hidden="1">#REF!</definedName>
    <definedName name="Tigr_Exhibit416cc185_100f_455c_aeba_d8f7408dbdef" hidden="1">#REF!</definedName>
    <definedName name="Tigr_Exhibit43f17311_a5dc_4b92_b03f_26b9845672fb" hidden="1">#REF!</definedName>
    <definedName name="Tigr_Exhibit44e2dfa6_57ad_4101_860b_608107cdd302" hidden="1">#REF!</definedName>
    <definedName name="Tigr_Exhibit451a9fec_b017_4df7_9088_2328f6603ca7" hidden="1">#REF!</definedName>
    <definedName name="Tigr_Exhibit47547a76_f3a5_4422_a090_6034c2585598" hidden="1">#REF!</definedName>
    <definedName name="Tigr_Exhibit477918bb_7818_44d7_a4a9_d9416ab39e4e" hidden="1">#REF!</definedName>
    <definedName name="Tigr_Exhibit4792b601_73c4_453d_be2d_f758983d83cf" hidden="1">#REF!</definedName>
    <definedName name="Tigr_Exhibit491ac652_a537_45e9_bb01_2ea5b2ecfec4" hidden="1">#REF!</definedName>
    <definedName name="Tigr_Exhibit4b488756_b708_4435_9754_207563c0f0e5" hidden="1">#REF!</definedName>
    <definedName name="Tigr_Exhibit4dd08582_be4f_4d8b_9d28_11616333faab" hidden="1">#REF!</definedName>
    <definedName name="Tigr_Exhibit4f248c95_a057_4698_8cc8_ecbcd81d834f" hidden="1">#REF!</definedName>
    <definedName name="Tigr_Exhibit4f9532e0_96ad_4feb_baed_effcdbead29c" hidden="1">#REF!</definedName>
    <definedName name="Tigr_Exhibit548feb11_217f_4c3e_8e71_1f79d2b98b0e" hidden="1">#REF!</definedName>
    <definedName name="Tigr_Exhibit57a32b52_ca01_4622_8982_57981f5a81ba" hidden="1">#REF!</definedName>
    <definedName name="Tigr_Exhibit58587dbb_b4f3_4b84_83ad_653c69e21061" hidden="1">#REF!</definedName>
    <definedName name="Tigr_Exhibit5bfd0347_6e86_4411_9724_caa4bdb451a8" hidden="1">#REF!</definedName>
    <definedName name="Tigr_Exhibit5df989c4_968d_45d5_91fe_e5e920940834" hidden="1">#REF!</definedName>
    <definedName name="Tigr_Exhibit5e16dac8_463a_4353_91c1_408e5344dd6a" hidden="1">'2. Consolidated'!$B$5:$BQ$103</definedName>
    <definedName name="Tigr_Exhibit5ebf2e9b_82f4_45b1_b3fb_ae69a11608ce" hidden="1">#REF!</definedName>
    <definedName name="Tigr_Exhibit605ddf19_eeca_405b_acdc_0df120ab614b" hidden="1">#REF!</definedName>
    <definedName name="Tigr_Exhibit61935467_b357_4c8f_af28_126e19b2f21a" hidden="1">#REF!</definedName>
    <definedName name="Tigr_Exhibit61d683b3_ee5e_4ddf_8c55_028dc8c7f833" hidden="1">#REF!</definedName>
    <definedName name="Tigr_Exhibit625169f5_6832_46c8_b8ed_cd24301ed783" hidden="1">#REF!</definedName>
    <definedName name="Tigr_Exhibit661c3a6f_f6c4_4eb2_8c54_d685c1a0449a" hidden="1">#REF!</definedName>
    <definedName name="Tigr_Exhibit6655c3b4_4bbb_4f36_aab2_981c62c9dfea" hidden="1">#REF!</definedName>
    <definedName name="Tigr_Exhibit6756d0be_bb7a_4cab_9a75_b2e0a805f330" hidden="1">#REF!</definedName>
    <definedName name="Tigr_Exhibit68cbbf78_6972_4c08_b61a_c1a5add0271a" hidden="1">#REF!</definedName>
    <definedName name="Tigr_Exhibit695bc8e7_94db_4948_bfc0_481dde8f6b92" hidden="1">#REF!</definedName>
    <definedName name="Tigr_Exhibit6db0fe9c_723e_40aa_a123_69b8d366b5b6" hidden="1">#REF!</definedName>
    <definedName name="Tigr_Exhibit6f80e8cc_acd5_4b5c_8534_544f6fcf2e34" hidden="1">#REF!</definedName>
    <definedName name="Tigr_Exhibit6f862e7c_623e_44f2_b0f9_66175034bd0f" hidden="1">#REF!</definedName>
    <definedName name="Tigr_Exhibit7073ffdd_7ca1_4920_9c79_440e08ed4474" hidden="1">#REF!</definedName>
    <definedName name="Tigr_Exhibit726cf166_d321_49e3_bf84_2c52c03f4238" hidden="1">#REF!</definedName>
    <definedName name="Tigr_Exhibit76bc6778_3ca1_4a8f_80d9_c5c3375db343" hidden="1">#REF!</definedName>
    <definedName name="Tigr_Exhibit7c70a5d9_0446_41e7_81d6_e6e67d8fc5a3" hidden="1">#REF!</definedName>
    <definedName name="Tigr_Exhibit7cced467_a2c6_4500_8aa7_49b68a1af4dd" hidden="1">#REF!</definedName>
    <definedName name="Tigr_Exhibit807292e3_0709_48dd_a372_91dc0cee5ef0" hidden="1">#REF!</definedName>
    <definedName name="Tigr_Exhibit810c5f6e_1b72_48ee_8cb6_9ed1fd0ebba3" hidden="1">#REF!</definedName>
    <definedName name="Tigr_Exhibit844761bd_dacc_4ea7_b91f_5a8a83438cbe" hidden="1">#REF!</definedName>
    <definedName name="Tigr_Exhibit850fed87_b368_482f_8aae_fafc9a3efd35" hidden="1">#REF!</definedName>
    <definedName name="Tigr_Exhibit888d5066_563c_4e66_8584_882bf710c18b" hidden="1">#REF!</definedName>
    <definedName name="Tigr_Exhibit8ab11a09_e46d_4c00_9392_d3fdd13ec0c3" hidden="1">#REF!</definedName>
    <definedName name="Tigr_Exhibit8ac18098_5fe9_4c24_9d7f_d6ed4bc1d68c" hidden="1">'2. Consolidated'!#REF!</definedName>
    <definedName name="Tigr_Exhibit8ca0cff4_7c43_494d_a565_9cc1357d5852" hidden="1">#REF!</definedName>
    <definedName name="Tigr_Exhibit8d34b8b5_a2a4_42c1_b71e_3e7da8622728" hidden="1">#REF!</definedName>
    <definedName name="Tigr_Exhibit90f41741_e845_4ad7_ad95_9352acd61546" hidden="1">#REF!</definedName>
    <definedName name="Tigr_Exhibit9614c9e7_90a0_4115_9b44_9a50f75aef83" hidden="1">#REF!</definedName>
    <definedName name="Tigr_Exhibit96cfd6d0_9d44_48c2_a2b3_c8e5a25b9d65" hidden="1">#REF!</definedName>
    <definedName name="Tigr_Exhibit9930ab3c_4837_4440_9a52_b583a0c15446" hidden="1">#REF!</definedName>
    <definedName name="Tigr_Exhibit99ea696c_ddb2_4e19_9f26_8bffe50b0700" hidden="1">#REF!</definedName>
    <definedName name="Tigr_Exhibit9bea677d_1bba_4a58_9090_3aa56a6b14d3" hidden="1">#REF!</definedName>
    <definedName name="Tigr_Exhibit9cfdc23d_3c98_4f43_b017_8859e530ebae" hidden="1">#REF!</definedName>
    <definedName name="Tigr_Exhibit9e33c29b_8967_49b3_8134_492f18b577bf" hidden="1">#REF!</definedName>
    <definedName name="Tigr_Exhibit9ea7ed6c_c1cd_4147_a00d_97ddea0dfbca" hidden="1">#REF!</definedName>
    <definedName name="Tigr_Exhibit9f829aa3_4922_48e9_b27f_e19ea91c2150" hidden="1">#REF!</definedName>
    <definedName name="Tigr_Exhibita1cb43ea_c3d5_4c6e_bd5d_73c56cc81050" hidden="1">#REF!</definedName>
    <definedName name="Tigr_Exhibita57d230f_e7a0_4f1c_b5c5_dcd44719e752" hidden="1">#REF!</definedName>
    <definedName name="Tigr_Exhibita591a007_e245_4ddc_bea5_b9a9ee2e4950" hidden="1">#REF!</definedName>
    <definedName name="Tigr_Exhibita77f7777_3bae_4f11_8583_44c0eb8501ef" hidden="1">'4. Summary model'!$B$5:$BG$63</definedName>
    <definedName name="Tigr_Exhibita7aad741_47d7_48e0_907d_d010d5d993b0" hidden="1">#REF!</definedName>
    <definedName name="Tigr_Exhibitac1469ce_6860_4d05_90d3_12283d6c535a" hidden="1">#REF!</definedName>
    <definedName name="Tigr_Exhibitae931635_13e0_418c_a2c4_4555a9cf01ab" hidden="1">#REF!</definedName>
    <definedName name="Tigr_Exhibitb116e81a_9a01_43f4_be55_70a5621bd97f" hidden="1">#REF!</definedName>
    <definedName name="Tigr_Exhibitb178dedf_372a_4ac9_b032_dcf7ffd2a76c" hidden="1">#REF!</definedName>
    <definedName name="Tigr_Exhibitb3b85ea6_5cc2_4abe_93f1_e08b64aabd43" hidden="1">#REF!</definedName>
    <definedName name="Tigr_Exhibitba86a650_fa62_427c_a14e_983835844d1c" hidden="1">#REF!</definedName>
    <definedName name="Tigr_Exhibitbb08ca0b_dbc4_478c_b61f_fac8e821f39f" hidden="1">#REF!</definedName>
    <definedName name="Tigr_Exhibitbb3dfb87_aead_4cb2_a7ee_778b1cc04332" hidden="1">#REF!</definedName>
    <definedName name="Tigr_Exhibitbb8bca3b_c101_4b39_be66_6b949023b9ae" hidden="1">#REF!</definedName>
    <definedName name="Tigr_Exhibitbe44a536_1df3_4238_b182_72f09ce823b9" hidden="1">#REF!</definedName>
    <definedName name="Tigr_Exhibitc06ed2e7_d596_4188_a2c5_e2e8b6adc389" hidden="1">#REF!</definedName>
    <definedName name="Tigr_Exhibitc2276e22_e897_43f7_a980_737126a9f0da" hidden="1">#REF!</definedName>
    <definedName name="Tigr_Exhibitc3920ce3_9d1c_4bd1_8be5_e05ceec88124" hidden="1">#REF!</definedName>
    <definedName name="Tigr_Exhibitc49fc087_1c40_4c1f_96df_5301dafa8d36" hidden="1">'2. Consolidated'!$B$5:$BQ$103</definedName>
    <definedName name="Tigr_Exhibitc5c1b108_dc6c_46b1_9896_1bf77a030c8a" hidden="1">#REF!</definedName>
    <definedName name="Tigr_Exhibitc6dfc9e3_6978_4e77_94b5_9355a82b421f" hidden="1">#REF!</definedName>
    <definedName name="Tigr_Exhibitcae4e076_a137_473b_94c7_f816d317a49e" hidden="1">#REF!</definedName>
    <definedName name="Tigr_Exhibitcaff20d0_a99c_4574_8ac7_256c5b01f711" hidden="1">#REF!</definedName>
    <definedName name="Tigr_Exhibitcb3cf29b_6070_46fd_801b_d8a88e591d1c" hidden="1">#REF!</definedName>
    <definedName name="Tigr_Exhibitcc10ff1e_1d1a_403c_af9a_35dd0b6e0f52" hidden="1">#REF!</definedName>
    <definedName name="Tigr_Exhibitd010127e_15df_45c6_bdf4_ff029102baf5" hidden="1">#REF!</definedName>
    <definedName name="Tigr_Exhibitd10919ac_2549_4405_afad_9bfe99dc6b6d" hidden="1">'2. Consolidated'!$B$1:$BQ$103</definedName>
    <definedName name="Tigr_Exhibitd169a212_f988_47a8_baf2_ad45f3a23779" hidden="1">#REF!</definedName>
    <definedName name="Tigr_Exhibitd950966f_8ef1_4dfe_8159_0a34e8037bc9" hidden="1">#REF!</definedName>
    <definedName name="Tigr_Exhibitdb326541_42b9_4c26_86a7_c1306e2afba7" hidden="1">#REF!</definedName>
    <definedName name="Tigr_Exhibitdd3bc11d_def8_4c04_9ff5_b6f17bef5be0" hidden="1">#REF!</definedName>
    <definedName name="Tigr_Exhibitdda57520_51b5_4007_82bf_37fe67c5baf9" hidden="1">#REF!</definedName>
    <definedName name="Tigr_Exhibitdde0f457_3af3_4716_a70a_ca3cc71a50eb" hidden="1">#REF!</definedName>
    <definedName name="Tigr_Exhibite0bc27e3_af54_4029_a0e1_97032809cfdc" hidden="1">#REF!</definedName>
    <definedName name="Tigr_Exhibite1933c89_24d6_478f_8138_f917aa37dc23" hidden="1">#REF!</definedName>
    <definedName name="Tigr_Exhibite261c7f3_d92d_49e3_99fa_aa41bcb046ac" hidden="1">#REF!</definedName>
    <definedName name="Tigr_Exhibite54519e7_ca1e_42ad_b3ba_f02ff0425131" hidden="1">#REF!</definedName>
    <definedName name="Tigr_Exhibite700fd71_b6fe_4ba0_ab97_04bd7d5ecd0f" hidden="1">#REF!</definedName>
    <definedName name="Tigr_Exhibite7733a25_7fbe_4d15_8ee4_e763cc9b9891" hidden="1">#REF!</definedName>
    <definedName name="Tigr_Exhibite7dec0c3_3053_4ee9_b60e_036138d8fde4" hidden="1">#REF!</definedName>
    <definedName name="Tigr_Exhibitea0807a6_b4d2_42c7_a6e3_3f8a42e280de" hidden="1">#REF!</definedName>
    <definedName name="Tigr_Exhibiteb042849_4b75_4f2a_b77f_a772bf075576" hidden="1">#REF!</definedName>
    <definedName name="Tigr_Exhibitec0c2eef_5075_4cd0_b272_fb8033468ade" hidden="1">#REF!</definedName>
    <definedName name="Tigr_Exhibited1debb2_a45e_4656_8287_b73593e47ee0" hidden="1">#REF!</definedName>
    <definedName name="Tigr_Exhibitf1b118f1_15d1_4ed6_b0d4_418e8c5c5942" hidden="1">#REF!</definedName>
    <definedName name="Tigr_Exhibitf51ff8c6_e8fc_4964_b7b6_fcf6ef3c16fc" hidden="1">#REF!</definedName>
    <definedName name="Tigr_Exhibitf835f2e9_ba41_4ada_abc8_543c17f6af5b" hidden="1">#REF!</definedName>
    <definedName name="Tigr_Exhibitf868b879_d9aa_43e7_acd0_1954ed3148b8" hidden="1">#REF!</definedName>
    <definedName name="Tigr_Exhibitf95ed0b4_22db_40df_af76_8920c582e90d" hidden="1">#REF!</definedName>
    <definedName name="Tigr_Exhibitfba43679_0930_43da_9bba_2ab06ffff26b" hidden="1">#REF!</definedName>
    <definedName name="Tigr_Exhibitfc7a6535_ac40_4d9f_811b_ab25f9f550e7" hidden="1">#REF!</definedName>
    <definedName name="Tigr_Exhibitfd32e8a8_5e7d_419b_b04b_3636d25ec5e1" hidden="1">#REF!</definedName>
    <definedName name="totrtlsls3q04">#REF!</definedName>
    <definedName name="tt" hidden="1">{#N/A,#N/A,FALSE,"Sheet1";#N/A,#N/A,FALSE,"Sheet2";#N/A,#N/A,FALSE,"Sheet3";#N/A,#N/A,FALSE,"Sheet4";#N/A,#N/A,FALSE,"Sheet5";#N/A,#N/A,FALSE,"Sheet6"}</definedName>
    <definedName name="ttt" hidden="1">{#N/A,#N/A,FALSE,"Sheet1";#N/A,#N/A,FALSE,"Sheet2";#N/A,#N/A,FALSE,"Sheet3";#N/A,#N/A,FALSE,"Sheet4";#N/A,#N/A,FALSE,"Sheet5";#N/A,#N/A,FALSE,"Sheet6"}</definedName>
    <definedName name="tttt" hidden="1">{#N/A,#N/A,FALSE,"Sheet8";#N/A,#N/A,FALSE,"Sheet7"}</definedName>
    <definedName name="ttttt" hidden="1">{#N/A,#N/A,FALSE,"Sheet1";#N/A,#N/A,FALSE,"Sheet2";#N/A,#N/A,FALSE,"Sheet3";#N/A,#N/A,FALSE,"Sheet4";#N/A,#N/A,FALSE,"Sheet5";#N/A,#N/A,FALSE,"Sheet6"}</definedName>
    <definedName name="txrate1q00">#REF!</definedName>
    <definedName name="txrate1q01">#REF!</definedName>
    <definedName name="txrate1q02">#REF!</definedName>
    <definedName name="txrate1q99">#REF!</definedName>
    <definedName name="txrate2q00">#REF!</definedName>
    <definedName name="txrate2q01">#REF!</definedName>
    <definedName name="txrate2q02">#REF!</definedName>
    <definedName name="txrate2q99">#REF!</definedName>
    <definedName name="txrate3q00">#REF!</definedName>
    <definedName name="txrate3q01">#REF!</definedName>
    <definedName name="txrate3q02">#REF!</definedName>
    <definedName name="txrate3q99">#REF!</definedName>
    <definedName name="txrate4q00">#REF!</definedName>
    <definedName name="txrate4q01">#REF!</definedName>
    <definedName name="txrate4q02">#REF!</definedName>
    <definedName name="txrate4q99">#REF!</definedName>
    <definedName name="txratefy00">#REF!</definedName>
    <definedName name="txratefy01">#REF!</definedName>
    <definedName name="txratefy02">#REF!</definedName>
    <definedName name="txratefy98">#REF!</definedName>
    <definedName name="txratefy99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3">#REF!</definedName>
    <definedName name="UniqueRange_14">#REF!</definedName>
    <definedName name="UniqueRange_15">#REF!</definedName>
    <definedName name="UniqueRange_16">#REF!</definedName>
    <definedName name="UniqueRange_17">#REF!</definedName>
    <definedName name="UniqueRange_18">#REF!</definedName>
    <definedName name="UniqueRange_19">#REF!</definedName>
    <definedName name="UniqueRange_2">#REF!</definedName>
    <definedName name="UniqueRange_20">#REF!</definedName>
    <definedName name="UniqueRange_21">#REF!</definedName>
    <definedName name="UniqueRange_22">#REF!</definedName>
    <definedName name="UniqueRange_23">#REF!</definedName>
    <definedName name="UniqueRange_24">#REF!</definedName>
    <definedName name="UniqueRange_25">#REF!</definedName>
    <definedName name="UniqueRange_26">#REF!</definedName>
    <definedName name="UniqueRange_27">#REF!</definedName>
    <definedName name="UniqueRange_28">#REF!</definedName>
    <definedName name="UniqueRange_29">#REF!</definedName>
    <definedName name="UniqueRange_3">#REF!</definedName>
    <definedName name="UniqueRange_30">#REF!</definedName>
    <definedName name="UniqueRange_31">#REF!</definedName>
    <definedName name="UniqueRange_32">#REF!</definedName>
    <definedName name="UniqueRange_33">#REF!</definedName>
    <definedName name="UniqueRange_34">#REF!</definedName>
    <definedName name="UniqueRange_35">#REF!</definedName>
    <definedName name="UniqueRange_36">#REF!</definedName>
    <definedName name="UniqueRange_37">#REF!</definedName>
    <definedName name="UniqueRange_38">#REF!</definedName>
    <definedName name="UniqueRange_39">#REF!</definedName>
    <definedName name="UniqueRange_4">#REF!</definedName>
    <definedName name="UniqueRange_40">#REF!</definedName>
    <definedName name="UniqueRange_41">#REF!</definedName>
    <definedName name="UniqueRange_42">#REF!</definedName>
    <definedName name="UniqueRange_43">#REF!</definedName>
    <definedName name="UniqueRange_44">#REF!</definedName>
    <definedName name="UniqueRange_45">#REF!</definedName>
    <definedName name="UniqueRange_46">#REF!</definedName>
    <definedName name="UniqueRange_5">#REF!</definedName>
    <definedName name="UniqueRange_6">#REF!</definedName>
    <definedName name="UniqueRange_61">#REF!</definedName>
    <definedName name="UniqueRange_7">#REF!</definedName>
    <definedName name="UniqueRange_8">#REF!</definedName>
    <definedName name="UniqueRange_9">#REF!</definedName>
    <definedName name="uuuu" hidden="1">{#N/A,#N/A,FALSE,"Barranca"}</definedName>
    <definedName name="uuuuu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V_ALL_AAP">#REF!</definedName>
    <definedName name="V_ALL_AAP_">#REF!</definedName>
    <definedName name="V_ALL_ASO">#REF!</definedName>
    <definedName name="V_ALL_ATM.NZ">#REF!</definedName>
    <definedName name="V_ALL_BBBY">#REF!</definedName>
    <definedName name="V_ALL_COLM">#REF!</definedName>
    <definedName name="V_ALL_DKS">#REF!</definedName>
    <definedName name="V_ALL_DKS_">#REF!</definedName>
    <definedName name="V_ALL_DRVN">#REF!</definedName>
    <definedName name="V_ALL_FL">#REF!</definedName>
    <definedName name="V_ALL_GPS">#REF!</definedName>
    <definedName name="V_ALL_JWN">#REF!</definedName>
    <definedName name="V_ALL_KEYWORDS_TYPE_ScalarContributed_EQTY_200001089">#REF!,#REF!,#REF!,#REF!</definedName>
    <definedName name="V_ALL_KEYWORDS_TYPE_ScalarContributed_EQTY_200001343">#REF!,#REF!,#REF!,#REF!</definedName>
    <definedName name="V_ALL_KEYWORDS_TYPE_ScalarContributed_EQTY_200001864">#REF!,#REF!,#REF!,#REF!,#REF!</definedName>
    <definedName name="V_ALL_KEYWORDS_TYPE_ScalarContributed_EQTY_200002237">#REF!,#REF!,#REF!,#REF!</definedName>
    <definedName name="V_ALL_KEYWORDS_TYPE_ScalarContributed_EQTY_200002364">#REF!,#REF!,#REF!,#REF!</definedName>
    <definedName name="V_ALL_KEYWORDS_TYPE_ScalarContributed_EQTY_200010773">#REF!,#REF!,#REF!,#REF!</definedName>
    <definedName name="V_ALL_KEYWORDS_TYPE_ScalarContributed_EQTY_200015048">#REF!,#REF!,#REF!,#REF!</definedName>
    <definedName name="V_ALL_KEYWORDS_TYPE_ScalarContributed_ISSR_208000322">#REF!,#REF!</definedName>
    <definedName name="V_ALL_KEYWORDS_TYPE_ScalarContributed_ISSR_208000443">#REF!,#REF!</definedName>
    <definedName name="V_ALL_KEYWORDS_TYPE_ScalarContributed_ISSR_208000856">#REF!,#REF!</definedName>
    <definedName name="V_ALL_KEYWORDS_TYPE_Vector_EQTY_200001089">#REF!,#REF!,#REF!,#REF!,#REF!,#REF!,#REF!,#REF!</definedName>
    <definedName name="V_ALL_KEYWORDS_TYPE_Vector_EQTY_200001343">#REF!,#REF!,#REF!,#REF!,#REF!,#REF!,#REF!,#REF!</definedName>
    <definedName name="V_ALL_KEYWORDS_TYPE_Vector_EQTY_200002237">#REF!,#REF!,#REF!,#REF!,#REF!,#REF!,#REF!,#REF!</definedName>
    <definedName name="V_ALL_KEYWORDS_TYPE_Vector_EQTY_200002364">#REF!,#REF!,#REF!,#REF!,#REF!,#REF!,#REF!</definedName>
    <definedName name="V_ALL_KEYWORDS_TYPE_Vector_EQTY_200010773">#REF!,#REF!,#REF!,#REF!,#REF!,#REF!,#REF!,#REF!</definedName>
    <definedName name="V_ALL_KEYWORDS_TYPE_Vector_EQTY_200015048">#REF!,#REF!,#REF!,#REF!,#REF!,#REF!,#REF!</definedName>
    <definedName name="V_ALL_KEYWORDS_TYPE_Vector_ISSR_208000322">#REF!,#REF!,#REF!,#REF!,#REF!,#REF!,#REF!,#REF!,#REF!,#REF!,#REF!,#REF!,#REF!,#REF!,#REF!</definedName>
    <definedName name="V_ALL_KEYWORDS_TYPE_Vector_ISSR_208000443">#REF!,#REF!,#REF!,#REF!,#REF!,#REF!,#REF!,#REF!,#REF!,#REF!,#REF!</definedName>
    <definedName name="V_ALL_KEYWORDS_TYPE_Vector_ISSR_208000814">#REF!,#REF!,#REF!,#REF!,#REF!,#REF!,#REF!,#REF!,#REF!,#REF!,#REF!,#REF!,#REF!,#REF!,#REF!,#REF!,#REF!</definedName>
    <definedName name="V_ALL_KEYWORDS_TYPE_Vector_ISSR_208000856">#REF!,#REF!,#REF!,#REF!,#REF!,#REF!,#REF!,#REF!,#REF!,#REF!,#REF!,#REF!</definedName>
    <definedName name="V_ALL_KEYWORDS_TYPE_Vector_ISSR_208001763">#REF!,#REF!,#REF!,#REF!,#REF!,#REF!,#REF!,#REF!,#REF!,#REF!,#REF!,#REF!,#REF!,#REF!,#REF!</definedName>
    <definedName name="V_ALL_KEYWORDS_TYPE_Vector_ISSR_208002808">#REF!,#REF!,#REF!,#REF!,#REF!,#REF!,#REF!,#REF!,#REF!,#REF!,#REF!,#REF!,#REF!,#REF!,#REF!</definedName>
    <definedName name="V_ALL_KEYWORDS_TYPE_Vector_ISSR_208008254">#REF!,#REF!,#REF!,#REF!,#REF!,#REF!,#REF!,#REF!,#REF!,#REF!,#REF!,#REF!,#REF!,#REF!</definedName>
    <definedName name="V_ALL_KEYWORDS_TYPE_Vector_ISSR_208011805">#REF!,#REF!,#REF!,#REF!,#REF!,#REF!,#REF!,#REF!,#REF!,#REF!,#REF!</definedName>
    <definedName name="V_ALL_KORS">#REF!</definedName>
    <definedName name="V_ALL_M">#REF!</definedName>
    <definedName name="V_ALL_NKE">#REF!</definedName>
    <definedName name="V_ALL_NKE_">#REF!</definedName>
    <definedName name="V_ALL_PVH">#REF!</definedName>
    <definedName name="V_ALL_RL">#REF!</definedName>
    <definedName name="V_ALL_SECTION_KEYWORDS_EQTY_200001089_13A">#REF!</definedName>
    <definedName name="V_ALL_SECTION_KEYWORDS_EQTY_200001089_13K">#REF!</definedName>
    <definedName name="V_ALL_SECTION_KEYWORDS_EQTY_200001864_13A">#REF!</definedName>
    <definedName name="V_ALL_SECTION_KEYWORDS_EQTY_200001864_13K">#REF!</definedName>
    <definedName name="V_ALL_SECTION_KEYWORDS_ISSR_208000322_1314">#REF!</definedName>
    <definedName name="V_ALL_SECTION_KEYWORDS_ISSR_208000322_1319">#REF!</definedName>
    <definedName name="V_ALL_SECTION_KEYWORDS_ISSR_208000322_131E">#REF!</definedName>
    <definedName name="V_ALL_SECTION_KEYWORDS_ISSR_208000322_136J">#REF!</definedName>
    <definedName name="V_ALL_SECTION_KEYWORDS_ISSR_208000322_13V">#REF!,#REF!</definedName>
    <definedName name="V_ALL_SECTION_KEYWORDS_ISSR_208000443_136E">#REF!,#REF!</definedName>
    <definedName name="V_ALL_SECTION_KEYWORDS_ISSR_208000443_136J">#REF!,#REF!</definedName>
    <definedName name="V_ALL_SECTION_KEYWORDS_ISSR_208000694_1314">#REF!</definedName>
    <definedName name="V_ALL_SECTION_KEYWORDS_ISSR_208000694_1319">#REF!</definedName>
    <definedName name="V_ALL_SECTION_KEYWORDS_ISSR_208000694_131E">#REF!</definedName>
    <definedName name="V_ALL_SECTION_KEYWORDS_ISSR_208000694_131O">#REF!,#REF!</definedName>
    <definedName name="V_ALL_SECTION_KEYWORDS_ISSR_208000694_136J">#REF!,#REF!</definedName>
    <definedName name="V_ALL_SECTION_KEYWORDS_ISSR_208000694_13V">#REF!,#REF!</definedName>
    <definedName name="V_ALL_SECTION_KEYWORDS_ISSR_208001763_131O">#REF!,#REF!</definedName>
    <definedName name="V_ALL_SECTION_KEYWORDS_ISSR_208002808_131O">#REF!,#REF!</definedName>
    <definedName name="V_ALL_SECTION_KEYWORDS_ISSR_208002808_136J">#REF!,#REF!</definedName>
    <definedName name="V_ALL_SECTION_KEYWORDS_ISSR_208008254_136E">#REF!,#REF!</definedName>
    <definedName name="V_ALL_SECTION_KEYWORDS_ISSR_208008254_136J">#REF!,#REF!</definedName>
    <definedName name="V_ALL_SECTIONS_EQTY_200001089">#REF!,#REF!,#REF!,#REF!,#REF!,#REF!,#REF!,#REF!,#REF!,#REF!</definedName>
    <definedName name="V_ALL_SECTIONS_EQTY_200001343">#REF!,#REF!,#REF!,#REF!,#REF!,#REF!,#REF!,#REF!,#REF!,#REF!</definedName>
    <definedName name="V_ALL_SECTIONS_EQTY_200002237">#REF!,#REF!,#REF!,#REF!,#REF!,#REF!,#REF!,#REF!,#REF!,#REF!</definedName>
    <definedName name="V_ALL_SECTIONS_EQTY_200002364">#REF!,#REF!,#REF!,#REF!,#REF!,#REF!,#REF!,#REF!,#REF!,#REF!</definedName>
    <definedName name="V_ALL_SECTIONS_EQTY_200010773">#REF!,#REF!,#REF!,#REF!,#REF!,#REF!,#REF!,#REF!,#REF!,#REF!</definedName>
    <definedName name="V_ALL_SECTIONS_EQTY_200015048">#REF!,#REF!,#REF!,#REF!,#REF!,#REF!,#REF!,#REF!,#REF!,#REF!</definedName>
    <definedName name="V_ALL_SECTIONS_ISSR_208000322">#REF!,#REF!,#REF!,#REF!,#REF!,#REF!,#REF!,#REF!,#REF!,#REF!,#REF!,#REF!</definedName>
    <definedName name="V_ALL_SECTIONS_ISSR_208000814">#REF!,#REF!,#REF!,#REF!,#REF!,#REF!,#REF!,#REF!,#REF!,#REF!,#REF!,#REF!</definedName>
    <definedName name="V_ALL_SECTIONS_ISSR_208000856">#REF!,#REF!,#REF!,#REF!,#REF!,#REF!,#REF!,#REF!,#REF!,#REF!,#REF!,#REF!</definedName>
    <definedName name="V_ALL_SECTIONS_ISSR_208011805">#REF!,#REF!,#REF!,#REF!,#REF!,#REF!,#REF!,#REF!,#REF!,#REF!,#REF!,#REF!</definedName>
    <definedName name="V_ALL_TSN">#REF!</definedName>
    <definedName name="V_ALL_TUMI">#REF!</definedName>
    <definedName name="V_PERIOD_2002">#REF!</definedName>
    <definedName name="V_PERIOD_2003">#REF!</definedName>
    <definedName name="V_PERIOD_2004">#REF!</definedName>
    <definedName name="V_PERIOD_2004_Q1">#REF!</definedName>
    <definedName name="V_PERIOD_2004_Q2">#REF!</definedName>
    <definedName name="V_PERIOD_2004_Q3">#REF!</definedName>
    <definedName name="V_PERIOD_2004_Q4">#REF!</definedName>
    <definedName name="VA">#REF!</definedName>
    <definedName name="vgbh" hidden="1">{#N/A,#N/A,FALSE,"SUMMARY";#N/A,#N/A,FALSE,"DETAIL";#N/A,#N/A,FALSE,"VARIANCE"}</definedName>
    <definedName name="vvvv" hidden="1">{#N/A,#N/A,FALSE,"FAB VENDORS";"BUD SUM",#N/A,FALSE,"BUD SUM WO TEX"}</definedName>
    <definedName name="w3e" hidden="1">{#N/A,#N/A,FALSE,"Carterco"}</definedName>
    <definedName name="wacc">#REF!</definedName>
    <definedName name="WHO" hidden="1">{#N/A,#N/A,FALSE,"SUMMARY";#N/A,#N/A,FALSE,"DETAIL";#N/A,#N/A,FALSE,"VARIANCE"}</definedName>
    <definedName name="work">#REF!</definedName>
    <definedName name="wrn.Accretion." hidden="1">{"Accretion",#N/A,FALSE,"Assum"}</definedName>
    <definedName name="wrn.all." hidden="1">{#N/A,#N/A,FALSE,"Time Warner";#N/A,#N/A,FALSE,"Entertainment Group";#N/A,#N/A,FALSE,"EBITDA";#N/A,#N/A,FALSE,"Notes"}</definedName>
    <definedName name="wrn.Assumptions." hidden="1">{"Assumptions",#N/A,FALSE,"Assum"}</definedName>
    <definedName name="wrn.Barranca." hidden="1">{#N/A,#N/A,FALSE,"Barranca"}</definedName>
    <definedName name="wrn.BEL." hidden="1">{"IS",#N/A,FALSE,"IS";"RPTIS",#N/A,FALSE,"RPTIS";"STATS",#N/A,FALSE,"STATS";"CELL",#N/A,FALSE,"CELL";"BS",#N/A,FALSE,"BS"}</definedName>
    <definedName name="wrn.Book._.Output." hidden="1">{#N/A,#N/A,FALSE,"Title";#N/A,#N/A,FALSE,"Inputs";#N/A,#N/A,FALSE,"Impact";#N/A,#N/A,FALSE,"Sources &amp; Uses";#N/A,#N/A,FALSE,"Capitalization Impact";#N/A,#N/A,FALSE,"NEWCO Projections"}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Carterco." hidden="1">{#N/A,#N/A,FALSE,"Carterco"}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W." hidden="1">{#N/A,#N/A,FALSE,"FAB VENDORS";"BUD SUM",#N/A,FALSE,"BUD SUM WO TEX"}</definedName>
    <definedName name="wrn.database." hidden="1">{"subs",#N/A,FALSE,"database ";"proportional",#N/A,FALSE,"database 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CB." hidden="1">{"FCB_ALL",#N/A,FALSE,"FCB"}</definedName>
    <definedName name="wrn.fcb2" hidden="1">{"FCB_ALL",#N/A,FALSE,"FCB"}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MONTH_END." hidden="1">{#N/A,#N/A,FALSE,"SUMMARY";#N/A,#N/A,FALSE,"DETAIL";#N/A,#N/A,FALSE,"VARIANCE"}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Output." hidden="1">{#N/A,#N/A,TRUE,"Title";#N/A,#N/A,TRUE,"Inputs";#N/A,#N/A,TRUE,"Impact";#N/A,#N/A,TRUE,"Sources &amp; Uses";#N/A,#N/A,TRUE,"Capitalization Impact";#N/A,#N/A,TRUE,"NEWCO Projections";#N/A,#N/A,TRUE,"Summary - ITT";#N/A,#N/A,TRUE,"Summary - Forte";#N/A,#N/A,TRUE,"Balance Sheet Adj.";#N/A,#N/A,TRUE,"Calculation Verification"}</definedName>
    <definedName name="wrn.PrimeCo." hidden="1">{"print 1",#N/A,FALSE,"PrimeCo PCS";"print 2",#N/A,FALSE,"PrimeCo PCS";"valuation",#N/A,FALSE,"PrimeCo PCS"}</definedName>
    <definedName name="wrn.print._.graphs.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{"output","fiftysix",FALSE,"mergerplans";"inputs",#N/A,FALSE,"mergerplans";"output","sixtyfive",FALSE,"mergerplans";"output","seventy",FALSE,"mergerplans"}</definedName>
    <definedName name="wrn.RESERVE._.SCHEDULE." hidden="1">{#N/A,#N/A,FALSE,"Sheet8";#N/A,#N/A,FALSE,"Sheet7"}</definedName>
    <definedName name="wrn.Revenue._.Details." hidden="1">{"Revenue by Industry Chart",#N/A,FALSE,"Mix";"Annual Revenue Detail",#N/A,FALSE,"Mix";"Quarterly Revenue Detail",#N/A,FALSE,"Mix"}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n._.Pedro." hidden="1">{#N/A,#N/A,FALSE,"San Pedro"}</definedName>
    <definedName name="wrn.STAND_ALONE_BOTH." hidden="1">{"FCB_ALL",#N/A,FALSE,"FCB";"GREY_ALL",#N/A,FALSE,"GREY"}</definedName>
    <definedName name="wrn.Summary._.Output." hidden="1">{#N/A,#N/A,FALSE,"Title";#N/A,#N/A,FALSE,"Inputs";#N/A,#N/A,FALSE,"Impact"}</definedName>
    <definedName name="wrn.Summary._.Projections." hidden="1">{#N/A,#N/A,FALSE,"Summary - Forte";#N/A,#N/A,FALSE,"Summary - ITT"}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USW." hidden="1">{"IS",#N/A,FALSE,"IS";"RPTIS",#N/A,FALSE,"RPTIS";"STATS",#N/A,FALSE,"STATS";"BS",#N/A,FALSE,"BS"}</definedName>
    <definedName name="wsed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sedr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x" hidden="1">{#N/A,#N/A,FALSE,"Title";#N/A,#N/A,FALSE,"Inputs";#N/A,#N/A,FALSE,"Impact";#N/A,#N/A,FALSE,"Sources &amp; Uses";#N/A,#N/A,FALSE,"Capitalization Impact";#N/A,#N/A,FALSE,"NEWCO Projections"}</definedName>
    <definedName name="xxxx" hidden="1">{#N/A,#N/A,FALSE,"Sheet1";#N/A,#N/A,FALSE,"Sheet2";#N/A,#N/A,FALSE,"Sheet3";#N/A,#N/A,FALSE,"Sheet4";#N/A,#N/A,FALSE,"Sheet5";#N/A,#N/A,FALSE,"Sheet6"}</definedName>
    <definedName name="YTD">#REF!</definedName>
    <definedName name="YTDbp">#REF!</definedName>
    <definedName name="YTDpercentBps">#REF!</definedName>
    <definedName name="YTDPL">#REF!</definedName>
    <definedName name="yyyy" hidden="1">{#N/A,#N/A,FALSE,"Sheet1";#N/A,#N/A,FALSE,"Sheet2";#N/A,#N/A,FALSE,"Sheet3";#N/A,#N/A,FALSE,"Sheet4";#N/A,#N/A,FALSE,"Sheet5";#N/A,#N/A,FALSE,"Sheet6"}</definedName>
    <definedName name="z" hidden="1">{#N/A,#N/A,FALSE,"Sheet1";#N/A,#N/A,FALSE,"Sheet2";#N/A,#N/A,FALSE,"Sheet3";#N/A,#N/A,FALSE,"Sheet4";#N/A,#N/A,FALSE,"Sheet5";#N/A,#N/A,FALSE,"Sheet6"}</definedName>
    <definedName name="zb" hidden="1">{#N/A,#N/A,FALSE,"Sheet1";#N/A,#N/A,FALSE,"Sheet2";#N/A,#N/A,FALSE,"Sheet3";#N/A,#N/A,FALSE,"Sheet4";#N/A,#N/A,FALSE,"Sheet5";#N/A,#N/A,FALSE,"Sheet6"}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116" i="1" l="1"/>
  <c r="CX340" i="1" l="1"/>
  <c r="CW340" i="1"/>
  <c r="CV340" i="1"/>
  <c r="CX93" i="1"/>
  <c r="CW93" i="1"/>
  <c r="CV93" i="1"/>
  <c r="CX244" i="42"/>
  <c r="CX341" i="42"/>
  <c r="CW341" i="42"/>
  <c r="CV272" i="42"/>
  <c r="CV265" i="42"/>
  <c r="CV258" i="42"/>
  <c r="CV203" i="42"/>
  <c r="CV196" i="42"/>
  <c r="CV189" i="42"/>
  <c r="CU223" i="1" l="1"/>
  <c r="CU230" i="1" s="1"/>
  <c r="CU222" i="1"/>
  <c r="CU228" i="1" s="1"/>
  <c r="CU229" i="1" l="1"/>
  <c r="CU199" i="1" l="1"/>
  <c r="CU350" i="1"/>
  <c r="CU349" i="1"/>
  <c r="CU348" i="1"/>
  <c r="CU295" i="1"/>
  <c r="CU351" i="1" l="1"/>
  <c r="CU69" i="1"/>
  <c r="CU65" i="1"/>
  <c r="CU60" i="1"/>
  <c r="CU61" i="1" s="1"/>
  <c r="CU555" i="42"/>
  <c r="CU554" i="42"/>
  <c r="CU352" i="42"/>
  <c r="CU354" i="42" s="1"/>
  <c r="CU345" i="42"/>
  <c r="CU347" i="42" s="1"/>
  <c r="CU476" i="42"/>
  <c r="CU459" i="42"/>
  <c r="CU450" i="42"/>
  <c r="CU449" i="42"/>
  <c r="CU421" i="42"/>
  <c r="CU423" i="42" s="1"/>
  <c r="CU414" i="42"/>
  <c r="CU416" i="42" s="1"/>
  <c r="CU381" i="42"/>
  <c r="CU380" i="42"/>
  <c r="CU312" i="42"/>
  <c r="CU311" i="42"/>
  <c r="CU276" i="42"/>
  <c r="CU278" i="42" s="1"/>
  <c r="CU283" i="42"/>
  <c r="CU285" i="42" s="1"/>
  <c r="CU243" i="42"/>
  <c r="CU242" i="42"/>
  <c r="CU212" i="42"/>
  <c r="CU214" i="42" s="1"/>
  <c r="CU207" i="42"/>
  <c r="CU209" i="42" s="1"/>
  <c r="CU52" i="42"/>
  <c r="CU54" i="42" s="1"/>
  <c r="CU46" i="42"/>
  <c r="CU48" i="42" s="1"/>
  <c r="CT100" i="1" l="1"/>
  <c r="CS88" i="1"/>
  <c r="CO128" i="42"/>
  <c r="CT317" i="42"/>
  <c r="CN315" i="42"/>
  <c r="CS316" i="42"/>
  <c r="CS315" i="42"/>
  <c r="CN384" i="42"/>
  <c r="CS385" i="42"/>
  <c r="CS384" i="42"/>
  <c r="CN453" i="42"/>
  <c r="CS454" i="42"/>
  <c r="CS453" i="42"/>
  <c r="CT480" i="42"/>
  <c r="CS479" i="42"/>
  <c r="CS478" i="42"/>
  <c r="CN478" i="42"/>
  <c r="CS559" i="42"/>
  <c r="CS558" i="42"/>
  <c r="CT560" i="42"/>
  <c r="CS586" i="42"/>
  <c r="CN585" i="42"/>
  <c r="CS585" i="42"/>
  <c r="CS580" i="42"/>
  <c r="CN580" i="42"/>
  <c r="CN575" i="42"/>
  <c r="CN573" i="42"/>
  <c r="CT574" i="42"/>
  <c r="CT577" i="42"/>
  <c r="CT576" i="42"/>
  <c r="CS575" i="42"/>
  <c r="CS573" i="42"/>
  <c r="CN570" i="42"/>
  <c r="CT571" i="42"/>
  <c r="CS570" i="42"/>
  <c r="CN558" i="42"/>
  <c r="CN577" i="42" l="1"/>
  <c r="CS576" i="42"/>
  <c r="CS574" i="42"/>
  <c r="CS577" i="42"/>
  <c r="CS578" i="42" s="1"/>
  <c r="CS571" i="42"/>
  <c r="CT546" i="42"/>
  <c r="CT543" i="42"/>
  <c r="CT539" i="42"/>
  <c r="CS551" i="42"/>
  <c r="CS542" i="42"/>
  <c r="CS538" i="42"/>
  <c r="CS533" i="42"/>
  <c r="CS535" i="42" s="1"/>
  <c r="CT534" i="42"/>
  <c r="CN551" i="42"/>
  <c r="CN542" i="42"/>
  <c r="CN538" i="42"/>
  <c r="CN540" i="42" s="1"/>
  <c r="CN533" i="42"/>
  <c r="CN535" i="42" s="1"/>
  <c r="CT529" i="42"/>
  <c r="CT531" i="42" s="1"/>
  <c r="CT524" i="42"/>
  <c r="CT526" i="42" s="1"/>
  <c r="CT519" i="42"/>
  <c r="CT521" i="42" s="1"/>
  <c r="CT514" i="42"/>
  <c r="CT516" i="42" s="1"/>
  <c r="CT509" i="42"/>
  <c r="CT511" i="42" s="1"/>
  <c r="CT504" i="42"/>
  <c r="CT506" i="42" s="1"/>
  <c r="CT499" i="42"/>
  <c r="CT501" i="42" s="1"/>
  <c r="CS528" i="42"/>
  <c r="CS523" i="42"/>
  <c r="CS518" i="42"/>
  <c r="CS513" i="42"/>
  <c r="CS508" i="42"/>
  <c r="CS503" i="42"/>
  <c r="CS498" i="42"/>
  <c r="CN471" i="42"/>
  <c r="CS471" i="42"/>
  <c r="CT468" i="42"/>
  <c r="CT467" i="42"/>
  <c r="CT465" i="42"/>
  <c r="CT462" i="42"/>
  <c r="CN466" i="42"/>
  <c r="CN464" i="42"/>
  <c r="CS466" i="42"/>
  <c r="CS464" i="42"/>
  <c r="CS461" i="42"/>
  <c r="CN461" i="42"/>
  <c r="CT441" i="42"/>
  <c r="CT438" i="42"/>
  <c r="CT434" i="42"/>
  <c r="CT429" i="42"/>
  <c r="CS446" i="42"/>
  <c r="CS437" i="42"/>
  <c r="CS439" i="42" s="1"/>
  <c r="CS433" i="42"/>
  <c r="CS435" i="42" s="1"/>
  <c r="CS428" i="42"/>
  <c r="CN446" i="42"/>
  <c r="CN437" i="42"/>
  <c r="CN433" i="42"/>
  <c r="CN435" i="42" s="1"/>
  <c r="CN428" i="42"/>
  <c r="CN430" i="42" s="1"/>
  <c r="CS405" i="42"/>
  <c r="CS404" i="42"/>
  <c r="CS398" i="42"/>
  <c r="CS397" i="42"/>
  <c r="CT372" i="42"/>
  <c r="CT369" i="42"/>
  <c r="CT365" i="42"/>
  <c r="CT360" i="42"/>
  <c r="CS377" i="42"/>
  <c r="CS368" i="42"/>
  <c r="CS364" i="42"/>
  <c r="CS366" i="42" s="1"/>
  <c r="CS359" i="42"/>
  <c r="CS361" i="42" s="1"/>
  <c r="CN377" i="42"/>
  <c r="CN368" i="42"/>
  <c r="CN364" i="42"/>
  <c r="CN366" i="42" s="1"/>
  <c r="CN359" i="42"/>
  <c r="CN361" i="42" s="1"/>
  <c r="CS308" i="42"/>
  <c r="CS299" i="42"/>
  <c r="CS301" i="42" s="1"/>
  <c r="CS295" i="42"/>
  <c r="CS303" i="42" s="1"/>
  <c r="CS305" i="42" s="1"/>
  <c r="CS290" i="42"/>
  <c r="CS292" i="42" s="1"/>
  <c r="CN308" i="42"/>
  <c r="CN299" i="42"/>
  <c r="CN301" i="42" s="1"/>
  <c r="CN295" i="42"/>
  <c r="CN290" i="42"/>
  <c r="CN292" i="42" s="1"/>
  <c r="CT303" i="42"/>
  <c r="CT300" i="42"/>
  <c r="CT296" i="42"/>
  <c r="CT291" i="42"/>
  <c r="CS413" i="42"/>
  <c r="CS420" i="42"/>
  <c r="CT352" i="42"/>
  <c r="CT354" i="42" s="1"/>
  <c r="CS351" i="42"/>
  <c r="CS344" i="42"/>
  <c r="CS336" i="42"/>
  <c r="CS335" i="42"/>
  <c r="CS329" i="42"/>
  <c r="CS328" i="42"/>
  <c r="CS282" i="42"/>
  <c r="CS275" i="42"/>
  <c r="CS267" i="42"/>
  <c r="CS266" i="42"/>
  <c r="CS260" i="42"/>
  <c r="CS259" i="42"/>
  <c r="CS246" i="42"/>
  <c r="CN246" i="42"/>
  <c r="CT248" i="42"/>
  <c r="CS239" i="42"/>
  <c r="CS230" i="42"/>
  <c r="CS226" i="42"/>
  <c r="CT234" i="42"/>
  <c r="CT231" i="42"/>
  <c r="CT227" i="42"/>
  <c r="CS221" i="42"/>
  <c r="CT222" i="42"/>
  <c r="CS468" i="42" l="1"/>
  <c r="CS546" i="42"/>
  <c r="CS548" i="42" s="1"/>
  <c r="CS462" i="42"/>
  <c r="CN303" i="42"/>
  <c r="CN305" i="42" s="1"/>
  <c r="CS306" i="42" s="1"/>
  <c r="CS293" i="42"/>
  <c r="CS302" i="42"/>
  <c r="CS362" i="42"/>
  <c r="CS536" i="42"/>
  <c r="CN372" i="42"/>
  <c r="CN374" i="42" s="1"/>
  <c r="CS436" i="42"/>
  <c r="CN441" i="42"/>
  <c r="CN443" i="42" s="1"/>
  <c r="CS429" i="42"/>
  <c r="CS297" i="42"/>
  <c r="CN546" i="42"/>
  <c r="CN548" i="42" s="1"/>
  <c r="CS549" i="42" s="1"/>
  <c r="CS223" i="42"/>
  <c r="CS145" i="42"/>
  <c r="CN297" i="42"/>
  <c r="CS539" i="42"/>
  <c r="CS234" i="42"/>
  <c r="CS236" i="42" s="1"/>
  <c r="CS150" i="42"/>
  <c r="CS232" i="42"/>
  <c r="CS154" i="42"/>
  <c r="CS367" i="42"/>
  <c r="CS534" i="42"/>
  <c r="CS370" i="42"/>
  <c r="CS369" i="42"/>
  <c r="CN544" i="42"/>
  <c r="CS543" i="42"/>
  <c r="CS540" i="42"/>
  <c r="CS541" i="42" s="1"/>
  <c r="CS544" i="42"/>
  <c r="CS467" i="42"/>
  <c r="CS465" i="42"/>
  <c r="CN468" i="42"/>
  <c r="CS441" i="42"/>
  <c r="CS443" i="42" s="1"/>
  <c r="CS430" i="42"/>
  <c r="CS431" i="42" s="1"/>
  <c r="CN439" i="42"/>
  <c r="CS440" i="42" s="1"/>
  <c r="CS372" i="42"/>
  <c r="CN370" i="42"/>
  <c r="CS228" i="42"/>
  <c r="CS298" i="42" l="1"/>
  <c r="CS444" i="42"/>
  <c r="CS545" i="42"/>
  <c r="CS371" i="42"/>
  <c r="CS374" i="42"/>
  <c r="CS375" i="42" s="1"/>
  <c r="CS373" i="42"/>
  <c r="CS158" i="42"/>
  <c r="CS547" i="42"/>
  <c r="CS469" i="42"/>
  <c r="CN239" i="42" l="1"/>
  <c r="CN230" i="42"/>
  <c r="CN154" i="42" s="1"/>
  <c r="CS155" i="42" s="1"/>
  <c r="CN226" i="42"/>
  <c r="CN150" i="42" s="1"/>
  <c r="CN221" i="42"/>
  <c r="CN145" i="42" s="1"/>
  <c r="CS146" i="42" s="1"/>
  <c r="CT212" i="42"/>
  <c r="CS206" i="42"/>
  <c r="CS211" i="42"/>
  <c r="CS198" i="42"/>
  <c r="CS197" i="42"/>
  <c r="CS191" i="42"/>
  <c r="CS190" i="42"/>
  <c r="CT145" i="42"/>
  <c r="CT154" i="42"/>
  <c r="CT150" i="42"/>
  <c r="CS140" i="42"/>
  <c r="CS139" i="42"/>
  <c r="CS137" i="42"/>
  <c r="CT141" i="42"/>
  <c r="CT125" i="42"/>
  <c r="CS58" i="42"/>
  <c r="CS51" i="42"/>
  <c r="CS45" i="42"/>
  <c r="CS37" i="42"/>
  <c r="CS36" i="42"/>
  <c r="CS30" i="42"/>
  <c r="CS29" i="42"/>
  <c r="CS292" i="1"/>
  <c r="CS137" i="1"/>
  <c r="CS133" i="1"/>
  <c r="CS132" i="1"/>
  <c r="CS131" i="1"/>
  <c r="CS130" i="1"/>
  <c r="CS125" i="1"/>
  <c r="CS124" i="1"/>
  <c r="CS117" i="1"/>
  <c r="CS116" i="1"/>
  <c r="CS115" i="1"/>
  <c r="CS114" i="1"/>
  <c r="CS112" i="1"/>
  <c r="CS111" i="1"/>
  <c r="CS110" i="1"/>
  <c r="CS108" i="1"/>
  <c r="CS176" i="1"/>
  <c r="CS165" i="1"/>
  <c r="CS167" i="1"/>
  <c r="CS159" i="1"/>
  <c r="CS158" i="1"/>
  <c r="CT158" i="42" l="1"/>
  <c r="CS119" i="1"/>
  <c r="CN234" i="42"/>
  <c r="CN236" i="42" s="1"/>
  <c r="CN232" i="42"/>
  <c r="CN223" i="42"/>
  <c r="CS224" i="42" s="1"/>
  <c r="CN158" i="42"/>
  <c r="CS159" i="42" s="1"/>
  <c r="CS151" i="42"/>
  <c r="CN228" i="42"/>
  <c r="CS231" i="1"/>
  <c r="CS199" i="1"/>
  <c r="CT57" i="53" l="1"/>
  <c r="CS57" i="53"/>
  <c r="CR57" i="53"/>
  <c r="CQ57" i="53"/>
  <c r="CR56" i="53"/>
  <c r="CT48" i="53"/>
  <c r="CS48" i="53"/>
  <c r="CR48" i="53"/>
  <c r="CQ48" i="53"/>
  <c r="CT32" i="53"/>
  <c r="CS32" i="53"/>
  <c r="CR32" i="53"/>
  <c r="CQ32" i="53"/>
  <c r="CT26" i="53"/>
  <c r="CS26" i="53"/>
  <c r="CR26" i="53"/>
  <c r="CQ26" i="53"/>
  <c r="CT19" i="53"/>
  <c r="CS19" i="53"/>
  <c r="CR19" i="53"/>
  <c r="CQ19" i="53"/>
  <c r="CU6" i="53"/>
  <c r="CT6" i="53"/>
  <c r="CS6" i="53"/>
  <c r="CR6" i="53"/>
  <c r="CQ6" i="53"/>
  <c r="CU5" i="53"/>
  <c r="DE5" i="1"/>
  <c r="DF5" i="1" s="1"/>
  <c r="DH564" i="42"/>
  <c r="DG564" i="42"/>
  <c r="DF564" i="42"/>
  <c r="DE564" i="42"/>
  <c r="DI563" i="42"/>
  <c r="DH411" i="42"/>
  <c r="DG411" i="42"/>
  <c r="DF411" i="42"/>
  <c r="DE411" i="42"/>
  <c r="DH406" i="42"/>
  <c r="DG406" i="42"/>
  <c r="DF406" i="42"/>
  <c r="DE406" i="42"/>
  <c r="DH399" i="42"/>
  <c r="DG399" i="42"/>
  <c r="DF399" i="42"/>
  <c r="DE399" i="42"/>
  <c r="DH342" i="42"/>
  <c r="DG342" i="42"/>
  <c r="DF342" i="42"/>
  <c r="DE342" i="42"/>
  <c r="DH337" i="42"/>
  <c r="DG337" i="42"/>
  <c r="DF337" i="42"/>
  <c r="DE337" i="42"/>
  <c r="DH330" i="42"/>
  <c r="DG330" i="42"/>
  <c r="DF330" i="42"/>
  <c r="DE330" i="42"/>
  <c r="DH273" i="42"/>
  <c r="DG273" i="42"/>
  <c r="DF273" i="42"/>
  <c r="DE273" i="42"/>
  <c r="DH268" i="42"/>
  <c r="DG268" i="42"/>
  <c r="DF268" i="42"/>
  <c r="DE268" i="42"/>
  <c r="DH261" i="42"/>
  <c r="DG261" i="42"/>
  <c r="DF261" i="42"/>
  <c r="DE261" i="42"/>
  <c r="DH204" i="42"/>
  <c r="DG204" i="42"/>
  <c r="DF204" i="42"/>
  <c r="DE204" i="42"/>
  <c r="DH199" i="42"/>
  <c r="DG199" i="42"/>
  <c r="DF199" i="42"/>
  <c r="DE199" i="42"/>
  <c r="DH192" i="42"/>
  <c r="DG192" i="42"/>
  <c r="DF192" i="42"/>
  <c r="DE192" i="42"/>
  <c r="DH19" i="42"/>
  <c r="DG19" i="42"/>
  <c r="DG16" i="1" s="1"/>
  <c r="CS20" i="53" s="1"/>
  <c r="DF19" i="42"/>
  <c r="DF16" i="1" s="1"/>
  <c r="CR20" i="53" s="1"/>
  <c r="DE19" i="42"/>
  <c r="DE16" i="1" s="1"/>
  <c r="CQ20" i="53" s="1"/>
  <c r="DI6" i="42"/>
  <c r="DH6" i="42"/>
  <c r="DG6" i="42"/>
  <c r="DF6" i="42"/>
  <c r="DE6" i="42"/>
  <c r="DI5" i="42"/>
  <c r="DH357" i="1"/>
  <c r="DG357" i="1"/>
  <c r="DF357" i="1"/>
  <c r="DE357" i="1"/>
  <c r="DI251" i="1"/>
  <c r="DI137" i="1"/>
  <c r="DI134" i="1"/>
  <c r="DI132" i="1"/>
  <c r="DI131" i="1"/>
  <c r="DI357" i="1" s="1"/>
  <c r="DI130" i="1"/>
  <c r="DF128" i="1"/>
  <c r="DI126" i="1"/>
  <c r="DI125" i="1"/>
  <c r="DI120" i="1"/>
  <c r="DH112" i="1"/>
  <c r="DG112" i="1"/>
  <c r="DF112" i="1"/>
  <c r="DE112" i="1"/>
  <c r="DI75" i="1"/>
  <c r="CU32" i="53" s="1"/>
  <c r="DH16" i="1"/>
  <c r="CT20" i="53" s="1"/>
  <c r="CS350" i="1"/>
  <c r="CS349" i="1"/>
  <c r="CS348" i="1"/>
  <c r="CS295" i="1"/>
  <c r="CS71" i="1"/>
  <c r="CS73" i="1" s="1"/>
  <c r="CS69" i="1"/>
  <c r="CS68" i="1"/>
  <c r="CS65" i="1"/>
  <c r="CS64" i="1"/>
  <c r="CS60" i="1"/>
  <c r="CS61" i="1" s="1"/>
  <c r="CS476" i="42"/>
  <c r="CS459" i="42"/>
  <c r="CT455" i="42"/>
  <c r="CT421" i="42"/>
  <c r="CT423" i="42" s="1"/>
  <c r="CT414" i="42"/>
  <c r="CT416" i="42" s="1"/>
  <c r="CS390" i="42"/>
  <c r="CS392" i="42" s="1"/>
  <c r="CT386" i="42"/>
  <c r="CT345" i="42"/>
  <c r="CT347" i="42" s="1"/>
  <c r="CS326" i="42"/>
  <c r="CS330" i="42" s="1"/>
  <c r="CT214" i="42"/>
  <c r="CS59" i="42"/>
  <c r="CQ5" i="53" l="1"/>
  <c r="DE251" i="1"/>
  <c r="DE5" i="42"/>
  <c r="DG5" i="1"/>
  <c r="CS5" i="53" s="1"/>
  <c r="DF251" i="1"/>
  <c r="CR5" i="53"/>
  <c r="DF5" i="42"/>
  <c r="DI19" i="42"/>
  <c r="DI16" i="1" s="1"/>
  <c r="CU20" i="53" s="1"/>
  <c r="DI112" i="1"/>
  <c r="CU57" i="53"/>
  <c r="CS351" i="1"/>
  <c r="DH5" i="1"/>
  <c r="CT5" i="53" s="1"/>
  <c r="DG251" i="1"/>
  <c r="DG5" i="42" l="1"/>
  <c r="DH5" i="42"/>
  <c r="DH251" i="1"/>
  <c r="CM145" i="42"/>
  <c r="CM150" i="42"/>
  <c r="CM154" i="42"/>
  <c r="CR155" i="42" s="1"/>
  <c r="CR145" i="42"/>
  <c r="CR150" i="42"/>
  <c r="CR154" i="42"/>
  <c r="CR141" i="42"/>
  <c r="CR574" i="42"/>
  <c r="CR576" i="42"/>
  <c r="CR577" i="42"/>
  <c r="CM577" i="42"/>
  <c r="CR571" i="42"/>
  <c r="CM540" i="42"/>
  <c r="CM544" i="42"/>
  <c r="CM546" i="42"/>
  <c r="CM548" i="42" s="1"/>
  <c r="CR539" i="42"/>
  <c r="CR540" i="42"/>
  <c r="CR543" i="42"/>
  <c r="CR544" i="42"/>
  <c r="CR546" i="42"/>
  <c r="CM535" i="42"/>
  <c r="CR534" i="42"/>
  <c r="CR535" i="42"/>
  <c r="CR529" i="42"/>
  <c r="CR531" i="42" s="1"/>
  <c r="CR524" i="42"/>
  <c r="CR526" i="42" s="1"/>
  <c r="CR519" i="42"/>
  <c r="CR521" i="42" s="1"/>
  <c r="CR514" i="42"/>
  <c r="CR516" i="42" s="1"/>
  <c r="CR509" i="42"/>
  <c r="CR511" i="42" s="1"/>
  <c r="CR504" i="42"/>
  <c r="CR506" i="42" s="1"/>
  <c r="CR499" i="42"/>
  <c r="CR501" i="42" s="1"/>
  <c r="CM468" i="42"/>
  <c r="CR462" i="42"/>
  <c r="CR465" i="42"/>
  <c r="CR467" i="42"/>
  <c r="CR468" i="42"/>
  <c r="CM430" i="42"/>
  <c r="CM435" i="42"/>
  <c r="CM439" i="42"/>
  <c r="CM441" i="42"/>
  <c r="CR434" i="42"/>
  <c r="CR435" i="42"/>
  <c r="CR438" i="42"/>
  <c r="CR439" i="42"/>
  <c r="CR441" i="42"/>
  <c r="CR443" i="42" s="1"/>
  <c r="CR429" i="42"/>
  <c r="CR430" i="42"/>
  <c r="CR421" i="42"/>
  <c r="CR423" i="42" s="1"/>
  <c r="CR414" i="42"/>
  <c r="CR416" i="42" s="1"/>
  <c r="CR365" i="42"/>
  <c r="CR366" i="42"/>
  <c r="CR369" i="42"/>
  <c r="CR370" i="42"/>
  <c r="CR372" i="42"/>
  <c r="CR374" i="42" s="1"/>
  <c r="CM366" i="42"/>
  <c r="CM370" i="42"/>
  <c r="CM372" i="42"/>
  <c r="CM374" i="42" s="1"/>
  <c r="CM361" i="42"/>
  <c r="CR360" i="42"/>
  <c r="CR361" i="42"/>
  <c r="CR352" i="42"/>
  <c r="CR354" i="42" s="1"/>
  <c r="CR345" i="42"/>
  <c r="CR347" i="42" s="1"/>
  <c r="CM297" i="42"/>
  <c r="CM301" i="42"/>
  <c r="CM303" i="42"/>
  <c r="CM305" i="42" s="1"/>
  <c r="CR296" i="42"/>
  <c r="CR297" i="42"/>
  <c r="CR300" i="42"/>
  <c r="CR301" i="42"/>
  <c r="CR303" i="42"/>
  <c r="CM292" i="42"/>
  <c r="CR291" i="42"/>
  <c r="CR292" i="42"/>
  <c r="CR283" i="42"/>
  <c r="CR285" i="42" s="1"/>
  <c r="CR276" i="42"/>
  <c r="CR278" i="42" s="1"/>
  <c r="CR231" i="42"/>
  <c r="CR232" i="42"/>
  <c r="CR234" i="42"/>
  <c r="CM232" i="42"/>
  <c r="CM234" i="42"/>
  <c r="CM236" i="42" s="1"/>
  <c r="CR227" i="42"/>
  <c r="CR228" i="42"/>
  <c r="CM228" i="42"/>
  <c r="CR222" i="42"/>
  <c r="CR223" i="42"/>
  <c r="CM223" i="42"/>
  <c r="CR545" i="42" l="1"/>
  <c r="CR436" i="42"/>
  <c r="CR431" i="42"/>
  <c r="CR146" i="42"/>
  <c r="CR293" i="42"/>
  <c r="CR362" i="42"/>
  <c r="CR229" i="42"/>
  <c r="CR235" i="42"/>
  <c r="CR224" i="42"/>
  <c r="CR469" i="42"/>
  <c r="CR236" i="42"/>
  <c r="CR237" i="42" s="1"/>
  <c r="CR536" i="42"/>
  <c r="CR367" i="42"/>
  <c r="CR371" i="42"/>
  <c r="CM158" i="42"/>
  <c r="CR151" i="42"/>
  <c r="CR158" i="42"/>
  <c r="CR578" i="42"/>
  <c r="CR547" i="42"/>
  <c r="CR541" i="42"/>
  <c r="CR548" i="42"/>
  <c r="CR549" i="42" s="1"/>
  <c r="CR442" i="42"/>
  <c r="CM443" i="42"/>
  <c r="CR444" i="42" s="1"/>
  <c r="CR440" i="42"/>
  <c r="CR375" i="42"/>
  <c r="CR373" i="42"/>
  <c r="CR302" i="42"/>
  <c r="CR304" i="42"/>
  <c r="CR298" i="42"/>
  <c r="CR305" i="42"/>
  <c r="CR306" i="42" s="1"/>
  <c r="CR233" i="42"/>
  <c r="CR59" i="42"/>
  <c r="CR88" i="1"/>
  <c r="CR174" i="1"/>
  <c r="CR165" i="1"/>
  <c r="CS126" i="1" s="1"/>
  <c r="CS128" i="1" s="1"/>
  <c r="CR159" i="1"/>
  <c r="CS120" i="1" s="1"/>
  <c r="CR158" i="1"/>
  <c r="CR176" i="1" l="1"/>
  <c r="CS134" i="1"/>
  <c r="CS136" i="1" s="1"/>
  <c r="CR167" i="1"/>
  <c r="CR159" i="42"/>
  <c r="CR207" i="42" l="1"/>
  <c r="CR209" i="42" s="1"/>
  <c r="CR212" i="42"/>
  <c r="CR214" i="42" s="1"/>
  <c r="CR223" i="1" l="1"/>
  <c r="CR230" i="1" s="1"/>
  <c r="CR222" i="1"/>
  <c r="CR228" i="1" s="1"/>
  <c r="CR199" i="1"/>
  <c r="CR229" i="1" l="1"/>
  <c r="CR311" i="42" l="1"/>
  <c r="CR312" i="42"/>
  <c r="CR348" i="1" l="1"/>
  <c r="CR349" i="1"/>
  <c r="CR350" i="1"/>
  <c r="CR351" i="1" s="1"/>
  <c r="CR295" i="1"/>
  <c r="CR68" i="1"/>
  <c r="CR69" i="1"/>
  <c r="CR71" i="1"/>
  <c r="CR73" i="1" s="1"/>
  <c r="CR64" i="1"/>
  <c r="CR65" i="1"/>
  <c r="CR60" i="1"/>
  <c r="CR61" i="1" s="1"/>
  <c r="CR554" i="42"/>
  <c r="CR555" i="42"/>
  <c r="CR484" i="42"/>
  <c r="CR486" i="42" s="1"/>
  <c r="CR476" i="42"/>
  <c r="CR459" i="42"/>
  <c r="CR449" i="42"/>
  <c r="CR450" i="42"/>
  <c r="CR409" i="42"/>
  <c r="CR402" i="42"/>
  <c r="CR395" i="42"/>
  <c r="CR390" i="42"/>
  <c r="CR392" i="42" s="1"/>
  <c r="CR411" i="42" s="1"/>
  <c r="CR380" i="42"/>
  <c r="CR381" i="42"/>
  <c r="CR340" i="42"/>
  <c r="CR342" i="42" s="1"/>
  <c r="CR271" i="42"/>
  <c r="CR273" i="42" s="1"/>
  <c r="CR243" i="42"/>
  <c r="CR242" i="42"/>
  <c r="CR202" i="42"/>
  <c r="CR204" i="42" s="1"/>
  <c r="CR195" i="42"/>
  <c r="CR199" i="42" s="1"/>
  <c r="CR52" i="42"/>
  <c r="CR54" i="42" s="1"/>
  <c r="CR46" i="42"/>
  <c r="CR48" i="42" s="1"/>
  <c r="CR399" i="42" l="1"/>
  <c r="CQ154" i="42"/>
  <c r="CQ150" i="42"/>
  <c r="CQ145" i="42"/>
  <c r="CL154" i="42"/>
  <c r="CL150" i="42"/>
  <c r="CL145" i="42"/>
  <c r="CL577" i="42"/>
  <c r="CQ577" i="42"/>
  <c r="CQ576" i="42"/>
  <c r="CQ574" i="42"/>
  <c r="CQ571" i="42"/>
  <c r="CL546" i="42"/>
  <c r="CL548" i="42" s="1"/>
  <c r="CL544" i="42"/>
  <c r="CL540" i="42"/>
  <c r="CL535" i="42"/>
  <c r="CQ546" i="42"/>
  <c r="CQ548" i="42" s="1"/>
  <c r="CQ544" i="42"/>
  <c r="CQ543" i="42"/>
  <c r="CQ540" i="42"/>
  <c r="CQ539" i="42"/>
  <c r="CQ535" i="42"/>
  <c r="CQ534" i="42"/>
  <c r="CQ529" i="42"/>
  <c r="CQ531" i="42" s="1"/>
  <c r="CQ524" i="42"/>
  <c r="CQ526" i="42" s="1"/>
  <c r="CQ519" i="42"/>
  <c r="CQ521" i="42" s="1"/>
  <c r="CQ514" i="42"/>
  <c r="CQ516" i="42" s="1"/>
  <c r="CQ509" i="42"/>
  <c r="CQ511" i="42" s="1"/>
  <c r="CQ504" i="42"/>
  <c r="CQ506" i="42" s="1"/>
  <c r="CQ499" i="42"/>
  <c r="CQ501" i="42" s="1"/>
  <c r="CL468" i="42"/>
  <c r="CQ468" i="42"/>
  <c r="CQ467" i="42"/>
  <c r="CQ465" i="42"/>
  <c r="CQ462" i="42"/>
  <c r="CQ441" i="42"/>
  <c r="CQ443" i="42" s="1"/>
  <c r="CQ439" i="42"/>
  <c r="CQ438" i="42"/>
  <c r="CQ435" i="42"/>
  <c r="CQ434" i="42"/>
  <c r="CQ430" i="42"/>
  <c r="CQ429" i="42"/>
  <c r="CL430" i="42"/>
  <c r="CL435" i="42"/>
  <c r="CL441" i="42"/>
  <c r="CL443" i="42" s="1"/>
  <c r="CL439" i="42"/>
  <c r="CL366" i="42"/>
  <c r="CL361" i="42"/>
  <c r="CQ361" i="42"/>
  <c r="CQ360" i="42"/>
  <c r="CQ366" i="42"/>
  <c r="CQ365" i="42"/>
  <c r="CQ372" i="42"/>
  <c r="CQ374" i="42" s="1"/>
  <c r="CQ370" i="42"/>
  <c r="CQ369" i="42"/>
  <c r="CL372" i="42"/>
  <c r="CL374" i="42" s="1"/>
  <c r="CL370" i="42"/>
  <c r="CQ303" i="42"/>
  <c r="CQ305" i="42" s="1"/>
  <c r="CQ301" i="42"/>
  <c r="CQ300" i="42"/>
  <c r="CQ297" i="42"/>
  <c r="CQ296" i="42"/>
  <c r="CQ292" i="42"/>
  <c r="CQ291" i="42"/>
  <c r="CL292" i="42"/>
  <c r="CL297" i="42"/>
  <c r="CL303" i="42"/>
  <c r="CL305" i="42" s="1"/>
  <c r="CL301" i="42"/>
  <c r="CL234" i="42"/>
  <c r="CL236" i="42" s="1"/>
  <c r="CL232" i="42"/>
  <c r="CL228" i="42"/>
  <c r="CQ228" i="42"/>
  <c r="CQ227" i="42"/>
  <c r="CQ234" i="42"/>
  <c r="CQ232" i="42"/>
  <c r="CQ231" i="42"/>
  <c r="CQ223" i="42"/>
  <c r="CQ222" i="42"/>
  <c r="CL223" i="42"/>
  <c r="CQ141" i="42"/>
  <c r="CQ137" i="1"/>
  <c r="CQ134" i="1"/>
  <c r="CQ133" i="1"/>
  <c r="CQ132" i="1"/>
  <c r="CQ131" i="1"/>
  <c r="CQ130" i="1"/>
  <c r="CQ125" i="1"/>
  <c r="CQ124" i="1"/>
  <c r="CQ117" i="1"/>
  <c r="CQ116" i="1"/>
  <c r="CQ115" i="1"/>
  <c r="CQ114" i="1"/>
  <c r="CQ112" i="1"/>
  <c r="CQ111" i="1"/>
  <c r="CQ110" i="1"/>
  <c r="CQ108" i="1"/>
  <c r="CQ165" i="1"/>
  <c r="CQ159" i="1"/>
  <c r="CQ176" i="1"/>
  <c r="CQ167" i="1"/>
  <c r="CQ158" i="1"/>
  <c r="CQ88" i="1"/>
  <c r="CX475" i="42"/>
  <c r="DC475" i="42" s="1"/>
  <c r="DH475" i="42" s="1"/>
  <c r="CW475" i="42"/>
  <c r="DB475" i="42" s="1"/>
  <c r="DG475" i="42" s="1"/>
  <c r="DG167" i="42" s="1"/>
  <c r="DG24" i="1" s="1"/>
  <c r="CS37" i="53" s="1"/>
  <c r="CV475" i="42"/>
  <c r="DA475" i="42" s="1"/>
  <c r="DF475" i="42" s="1"/>
  <c r="DF167" i="42" s="1"/>
  <c r="DF24" i="1" s="1"/>
  <c r="CR37" i="53" s="1"/>
  <c r="CP154" i="42"/>
  <c r="CQ469" i="42" l="1"/>
  <c r="CZ475" i="42"/>
  <c r="DE475" i="42" s="1"/>
  <c r="DE167" i="42" s="1"/>
  <c r="DE24" i="1" s="1"/>
  <c r="CQ37" i="53" s="1"/>
  <c r="DH167" i="42"/>
  <c r="CQ235" i="42"/>
  <c r="CQ436" i="42"/>
  <c r="CQ578" i="42"/>
  <c r="CL158" i="42"/>
  <c r="CQ233" i="42"/>
  <c r="CQ371" i="42"/>
  <c r="CQ155" i="42"/>
  <c r="CQ293" i="42"/>
  <c r="CQ298" i="42"/>
  <c r="CQ367" i="42"/>
  <c r="CQ431" i="42"/>
  <c r="CQ224" i="42"/>
  <c r="CQ146" i="42"/>
  <c r="CQ136" i="1"/>
  <c r="CQ119" i="1"/>
  <c r="CQ231" i="1"/>
  <c r="CQ158" i="42"/>
  <c r="CQ151" i="42"/>
  <c r="CQ545" i="42"/>
  <c r="CQ541" i="42"/>
  <c r="CQ549" i="42"/>
  <c r="CQ536" i="42"/>
  <c r="CQ547" i="42"/>
  <c r="CQ440" i="42"/>
  <c r="CQ444" i="42"/>
  <c r="CQ442" i="42"/>
  <c r="CQ373" i="42"/>
  <c r="CQ362" i="42"/>
  <c r="CQ375" i="42"/>
  <c r="CQ302" i="42"/>
  <c r="CQ306" i="42"/>
  <c r="CQ304" i="42"/>
  <c r="CQ229" i="42"/>
  <c r="CQ236" i="42"/>
  <c r="CQ237" i="42" s="1"/>
  <c r="DI475" i="42" l="1"/>
  <c r="DH24" i="1"/>
  <c r="CT37" i="53" s="1"/>
  <c r="DI167" i="42"/>
  <c r="DI24" i="1" s="1"/>
  <c r="CU37" i="53" s="1"/>
  <c r="CQ159" i="42"/>
  <c r="CQ199" i="1"/>
  <c r="CQ350" i="1" l="1"/>
  <c r="CQ349" i="1"/>
  <c r="CQ348" i="1"/>
  <c r="CQ343" i="1"/>
  <c r="CQ344" i="1" s="1"/>
  <c r="CQ342" i="1"/>
  <c r="CQ341" i="1"/>
  <c r="CQ291" i="1"/>
  <c r="CQ282" i="1"/>
  <c r="CQ281" i="1"/>
  <c r="CQ283" i="1" s="1"/>
  <c r="CQ295" i="1"/>
  <c r="CQ288" i="1" s="1"/>
  <c r="CQ293" i="1"/>
  <c r="CQ71" i="1"/>
  <c r="CQ69" i="1"/>
  <c r="CQ68" i="1"/>
  <c r="CQ65" i="1"/>
  <c r="CQ64" i="1"/>
  <c r="CQ60" i="1"/>
  <c r="CQ58" i="1"/>
  <c r="CQ555" i="42"/>
  <c r="CQ554" i="42"/>
  <c r="CQ484" i="42"/>
  <c r="CQ486" i="42" s="1"/>
  <c r="CQ459" i="42"/>
  <c r="CQ421" i="42"/>
  <c r="CQ423" i="42" s="1"/>
  <c r="CQ414" i="42"/>
  <c r="CQ416" i="42" s="1"/>
  <c r="CQ381" i="42"/>
  <c r="CQ380" i="42"/>
  <c r="CQ340" i="42"/>
  <c r="CQ342" i="42" s="1"/>
  <c r="CQ333" i="42"/>
  <c r="CQ337" i="42" s="1"/>
  <c r="CQ352" i="42"/>
  <c r="CQ354" i="42" s="1"/>
  <c r="CQ345" i="42"/>
  <c r="CQ347" i="42" s="1"/>
  <c r="CQ312" i="42"/>
  <c r="CQ311" i="42"/>
  <c r="CQ283" i="42"/>
  <c r="CQ285" i="42" s="1"/>
  <c r="CQ276" i="42"/>
  <c r="CQ278" i="42" s="1"/>
  <c r="CQ271" i="42"/>
  <c r="CQ273" i="42" s="1"/>
  <c r="CQ264" i="42"/>
  <c r="CQ268" i="42" s="1"/>
  <c r="CQ257" i="42"/>
  <c r="CQ261" i="42" s="1"/>
  <c r="CQ243" i="42"/>
  <c r="CQ242" i="42"/>
  <c r="CQ212" i="42"/>
  <c r="CQ214" i="42" s="1"/>
  <c r="CQ474" i="42" l="1"/>
  <c r="CQ289" i="1"/>
  <c r="CQ351" i="1"/>
  <c r="CQ73" i="1"/>
  <c r="CQ76" i="1"/>
  <c r="CQ61" i="1"/>
  <c r="CQ207" i="42"/>
  <c r="CQ209" i="42" s="1"/>
  <c r="CQ202" i="42"/>
  <c r="CQ204" i="42" s="1"/>
  <c r="CQ195" i="42"/>
  <c r="CQ199" i="42" s="1"/>
  <c r="CQ188" i="42"/>
  <c r="CQ192" i="42" s="1"/>
  <c r="CQ183" i="42"/>
  <c r="CQ46" i="42"/>
  <c r="CQ48" i="42" s="1"/>
  <c r="CQ41" i="42"/>
  <c r="CQ43" i="42" s="1"/>
  <c r="CQ34" i="42"/>
  <c r="CQ38" i="42" s="1"/>
  <c r="CQ27" i="42"/>
  <c r="CQ31" i="42" s="1"/>
  <c r="CQ19" i="42"/>
  <c r="CQ16" i="1" s="1"/>
  <c r="CQ18" i="42"/>
  <c r="CQ15" i="1" s="1"/>
  <c r="CQ13" i="42"/>
  <c r="CQ13" i="1" s="1"/>
  <c r="CQ12" i="42"/>
  <c r="CQ12" i="1" s="1"/>
  <c r="CQ11" i="42"/>
  <c r="CQ11" i="1" s="1"/>
  <c r="CQ10" i="42"/>
  <c r="CQ10" i="1" s="1"/>
  <c r="CQ9" i="42"/>
  <c r="CQ9" i="1" s="1"/>
  <c r="CP145" i="42"/>
  <c r="CO145" i="42"/>
  <c r="CT146" i="42" s="1"/>
  <c r="CK145" i="42"/>
  <c r="CJ145" i="42"/>
  <c r="CE145" i="42"/>
  <c r="CP150" i="42"/>
  <c r="CK154" i="42"/>
  <c r="CK150" i="42"/>
  <c r="CE154" i="42"/>
  <c r="CJ154" i="42"/>
  <c r="CO154" i="42"/>
  <c r="CT155" i="42" s="1"/>
  <c r="CE150" i="42"/>
  <c r="CJ150" i="42"/>
  <c r="CO150" i="42"/>
  <c r="CT151" i="42" s="1"/>
  <c r="CO480" i="42"/>
  <c r="CJ480" i="42"/>
  <c r="CP468" i="42"/>
  <c r="CO468" i="42"/>
  <c r="CT469" i="42" s="1"/>
  <c r="CK468" i="42"/>
  <c r="CJ468" i="42"/>
  <c r="CE468" i="42"/>
  <c r="CP467" i="42"/>
  <c r="CO467" i="42"/>
  <c r="CJ467" i="42"/>
  <c r="CP465" i="42"/>
  <c r="CO465" i="42"/>
  <c r="CJ465" i="42"/>
  <c r="CP462" i="42"/>
  <c r="CO462" i="42"/>
  <c r="CJ462" i="42"/>
  <c r="CK577" i="42"/>
  <c r="CP577" i="42"/>
  <c r="CP576" i="42"/>
  <c r="CP574" i="42"/>
  <c r="CP571" i="42"/>
  <c r="CK546" i="42"/>
  <c r="CK548" i="42" s="1"/>
  <c r="CK544" i="42"/>
  <c r="CK540" i="42"/>
  <c r="CK535" i="42"/>
  <c r="CP546" i="42"/>
  <c r="CP544" i="42"/>
  <c r="CP543" i="42"/>
  <c r="CP540" i="42"/>
  <c r="CP539" i="42"/>
  <c r="CP535" i="42"/>
  <c r="CP534" i="42"/>
  <c r="CP499" i="42"/>
  <c r="CP501" i="42" s="1"/>
  <c r="CP504" i="42"/>
  <c r="CP506" i="42" s="1"/>
  <c r="CP509" i="42"/>
  <c r="CP511" i="42" s="1"/>
  <c r="CP514" i="42"/>
  <c r="CP516" i="42" s="1"/>
  <c r="CP519" i="42"/>
  <c r="CP521" i="42" s="1"/>
  <c r="CP524" i="42"/>
  <c r="CP526" i="42" s="1"/>
  <c r="CP529" i="42"/>
  <c r="CP531" i="42" s="1"/>
  <c r="CK441" i="42"/>
  <c r="CK443" i="42" s="1"/>
  <c r="CK430" i="42"/>
  <c r="CK435" i="42"/>
  <c r="CK439" i="42"/>
  <c r="CP441" i="42"/>
  <c r="CP439" i="42"/>
  <c r="CP438" i="42"/>
  <c r="CP435" i="42"/>
  <c r="CP434" i="42"/>
  <c r="CP430" i="42"/>
  <c r="CP429" i="42"/>
  <c r="CK372" i="42"/>
  <c r="CK374" i="42" s="1"/>
  <c r="CK370" i="42"/>
  <c r="CK361" i="42"/>
  <c r="CK366" i="42"/>
  <c r="CP361" i="42"/>
  <c r="CP360" i="42"/>
  <c r="CP366" i="42"/>
  <c r="CP365" i="42"/>
  <c r="CP372" i="42"/>
  <c r="CP370" i="42"/>
  <c r="CP369" i="42"/>
  <c r="CP345" i="42"/>
  <c r="CP347" i="42" s="1"/>
  <c r="CP352" i="42"/>
  <c r="CP354" i="42" s="1"/>
  <c r="CK301" i="42"/>
  <c r="CK297" i="42"/>
  <c r="CK292" i="42"/>
  <c r="CK303" i="42"/>
  <c r="CK305" i="42" s="1"/>
  <c r="CP292" i="42"/>
  <c r="CP291" i="42"/>
  <c r="CP297" i="42"/>
  <c r="CP296" i="42"/>
  <c r="CP303" i="42"/>
  <c r="CP301" i="42"/>
  <c r="CP300" i="42"/>
  <c r="CO291" i="42"/>
  <c r="CO296" i="42"/>
  <c r="CO300" i="42"/>
  <c r="CO303" i="42"/>
  <c r="CT304" i="42" s="1"/>
  <c r="CK228" i="42"/>
  <c r="CK232" i="42"/>
  <c r="CK234" i="42"/>
  <c r="CK236" i="42" s="1"/>
  <c r="CP228" i="42"/>
  <c r="CP227" i="42"/>
  <c r="CP234" i="42"/>
  <c r="CP232" i="42"/>
  <c r="CP231" i="42"/>
  <c r="CK223" i="42"/>
  <c r="CP223" i="42"/>
  <c r="CP222" i="42"/>
  <c r="CP141" i="42"/>
  <c r="CS141" i="42" s="1"/>
  <c r="CP137" i="1"/>
  <c r="CP134" i="1"/>
  <c r="CP133" i="1"/>
  <c r="CP132" i="1"/>
  <c r="CP131" i="1"/>
  <c r="CP130" i="1"/>
  <c r="CP125" i="1"/>
  <c r="CP124" i="1"/>
  <c r="CP117" i="1"/>
  <c r="CP116" i="1"/>
  <c r="CP115" i="1"/>
  <c r="CP114" i="1"/>
  <c r="CP112" i="1"/>
  <c r="CP111" i="1"/>
  <c r="CP110" i="1"/>
  <c r="CP108" i="1"/>
  <c r="CP165" i="1"/>
  <c r="CQ126" i="1" s="1"/>
  <c r="CQ128" i="1" s="1"/>
  <c r="CP159" i="1"/>
  <c r="CQ120" i="1" s="1"/>
  <c r="CP176" i="1"/>
  <c r="CP158" i="1"/>
  <c r="CP146" i="1"/>
  <c r="CQ146" i="1" s="1"/>
  <c r="CR146" i="1" s="1"/>
  <c r="CS146" i="1" s="1"/>
  <c r="CP88" i="1"/>
  <c r="CK158" i="42" l="1"/>
  <c r="CP374" i="42"/>
  <c r="CP548" i="42"/>
  <c r="CP443" i="42"/>
  <c r="CP236" i="42"/>
  <c r="CP237" i="42" s="1"/>
  <c r="CP167" i="1"/>
  <c r="CP120" i="1"/>
  <c r="CP136" i="1"/>
  <c r="CQ78" i="1"/>
  <c r="CP126" i="1"/>
  <c r="CP128" i="1" s="1"/>
  <c r="CP119" i="1"/>
  <c r="CQ185" i="42"/>
  <c r="CQ82" i="1"/>
  <c r="CQ86" i="1" s="1"/>
  <c r="CQ14" i="1"/>
  <c r="CQ14" i="42"/>
  <c r="CP158" i="42"/>
  <c r="CP146" i="42"/>
  <c r="CP536" i="42"/>
  <c r="CP578" i="42"/>
  <c r="CP155" i="42"/>
  <c r="CP151" i="42"/>
  <c r="CP229" i="42"/>
  <c r="CP362" i="42"/>
  <c r="CJ469" i="42"/>
  <c r="CO469" i="42"/>
  <c r="CP469" i="42"/>
  <c r="CP304" i="42"/>
  <c r="CP224" i="42"/>
  <c r="CP298" i="42"/>
  <c r="CP233" i="42"/>
  <c r="CP293" i="42"/>
  <c r="CP371" i="42"/>
  <c r="CP302" i="42"/>
  <c r="CP431" i="42"/>
  <c r="CP375" i="42"/>
  <c r="CP545" i="42"/>
  <c r="CP436" i="42"/>
  <c r="CP367" i="42"/>
  <c r="CP541" i="42"/>
  <c r="CP547" i="42"/>
  <c r="CP440" i="42"/>
  <c r="CP442" i="42"/>
  <c r="CP373" i="42"/>
  <c r="CP305" i="42"/>
  <c r="CP235" i="42"/>
  <c r="CP421" i="42"/>
  <c r="CP423" i="42" s="1"/>
  <c r="CP283" i="42"/>
  <c r="CP285" i="42" s="1"/>
  <c r="CP276" i="42"/>
  <c r="CP278" i="42" s="1"/>
  <c r="CP212" i="42"/>
  <c r="CP214" i="42" s="1"/>
  <c r="CP207" i="42"/>
  <c r="CP209" i="42" s="1"/>
  <c r="CP444" i="42" l="1"/>
  <c r="CP549" i="42"/>
  <c r="CP306" i="42"/>
  <c r="CP159" i="42"/>
  <c r="CQ84" i="1"/>
  <c r="CQ107" i="1"/>
  <c r="CQ109" i="1" s="1"/>
  <c r="CQ122" i="1" s="1"/>
  <c r="CQ49" i="42"/>
  <c r="CQ156" i="42"/>
  <c r="CQ152" i="42"/>
  <c r="CQ147" i="42"/>
  <c r="CQ160" i="42"/>
  <c r="CQ20" i="42"/>
  <c r="CQ17" i="1"/>
  <c r="CP414" i="42"/>
  <c r="CP416" i="42" s="1"/>
  <c r="CP59" i="42"/>
  <c r="CP231" i="1"/>
  <c r="CP223" i="1"/>
  <c r="CP230" i="1" s="1"/>
  <c r="CP222" i="1"/>
  <c r="CP228" i="1" s="1"/>
  <c r="CZ228" i="1" s="1"/>
  <c r="DE228" i="1" s="1"/>
  <c r="CP199" i="1"/>
  <c r="CP357" i="1"/>
  <c r="CP359" i="1" s="1"/>
  <c r="CP350" i="1"/>
  <c r="CP349" i="1"/>
  <c r="CP348" i="1"/>
  <c r="CP343" i="1"/>
  <c r="CP344" i="1" s="1"/>
  <c r="CP342" i="1"/>
  <c r="CP341" i="1"/>
  <c r="CP295" i="1"/>
  <c r="CP291" i="1"/>
  <c r="CP293" i="1" s="1"/>
  <c r="CP282" i="1"/>
  <c r="CP281" i="1"/>
  <c r="CP71" i="1"/>
  <c r="CP69" i="1"/>
  <c r="CU70" i="1" s="1"/>
  <c r="CP68" i="1"/>
  <c r="CP65" i="1"/>
  <c r="CU66" i="1" s="1"/>
  <c r="CP64" i="1"/>
  <c r="CP474" i="42" s="1"/>
  <c r="CP60" i="1"/>
  <c r="CP61" i="1" s="1"/>
  <c r="CU62" i="1" s="1"/>
  <c r="CP58" i="1"/>
  <c r="CP564" i="42"/>
  <c r="CP555" i="42"/>
  <c r="CU556" i="42" s="1"/>
  <c r="CP554" i="42"/>
  <c r="CP484" i="42"/>
  <c r="CP476" i="42"/>
  <c r="CP459" i="42"/>
  <c r="CP450" i="42"/>
  <c r="CU451" i="42" s="1"/>
  <c r="CP449" i="42"/>
  <c r="CP409" i="42"/>
  <c r="CP411" i="42" s="1"/>
  <c r="CP402" i="42"/>
  <c r="CP406" i="42" s="1"/>
  <c r="CP395" i="42"/>
  <c r="CP399" i="42" s="1"/>
  <c r="CP381" i="42"/>
  <c r="CU382" i="42" s="1"/>
  <c r="CP380" i="42"/>
  <c r="CP321" i="42"/>
  <c r="CP340" i="42"/>
  <c r="CP342" i="42" s="1"/>
  <c r="CP333" i="42"/>
  <c r="CP337" i="42" s="1"/>
  <c r="CP312" i="42"/>
  <c r="CU313" i="42" s="1"/>
  <c r="CP311" i="42"/>
  <c r="CP271" i="42"/>
  <c r="CP273" i="42" s="1"/>
  <c r="CP264" i="42"/>
  <c r="CP268" i="42" s="1"/>
  <c r="CP243" i="42"/>
  <c r="CU244" i="42" s="1"/>
  <c r="CP242" i="42"/>
  <c r="CP202" i="42"/>
  <c r="CP204" i="42" s="1"/>
  <c r="CP188" i="42"/>
  <c r="CP192" i="42" s="1"/>
  <c r="CP183" i="42"/>
  <c r="CP19" i="42"/>
  <c r="CP18" i="42"/>
  <c r="CP13" i="42"/>
  <c r="CP12" i="42"/>
  <c r="CP10" i="42"/>
  <c r="CP9" i="42"/>
  <c r="CP52" i="42"/>
  <c r="CP54" i="42" s="1"/>
  <c r="CP46" i="42"/>
  <c r="CP48" i="42" s="1"/>
  <c r="A279" i="1"/>
  <c r="A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V281" i="1"/>
  <c r="Z281" i="1"/>
  <c r="AI281" i="1"/>
  <c r="AT281" i="1"/>
  <c r="BR281" i="1"/>
  <c r="BS281" i="1"/>
  <c r="BT281" i="1"/>
  <c r="BV281" i="1"/>
  <c r="BW281" i="1"/>
  <c r="BX281" i="1"/>
  <c r="CF281" i="1"/>
  <c r="CG281" i="1"/>
  <c r="CH281" i="1"/>
  <c r="CN281" i="1"/>
  <c r="A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G282" i="1"/>
  <c r="BH282" i="1"/>
  <c r="BI282" i="1"/>
  <c r="BJ282" i="1"/>
  <c r="BL282" i="1"/>
  <c r="BM282" i="1"/>
  <c r="BN282" i="1"/>
  <c r="BO282" i="1"/>
  <c r="BQ282" i="1"/>
  <c r="BR282" i="1"/>
  <c r="BS282" i="1"/>
  <c r="BT282" i="1"/>
  <c r="BV282" i="1"/>
  <c r="BW282" i="1"/>
  <c r="BX282" i="1"/>
  <c r="BY282" i="1"/>
  <c r="CA282" i="1"/>
  <c r="CB282" i="1"/>
  <c r="CC282" i="1"/>
  <c r="CD282" i="1"/>
  <c r="CF282" i="1"/>
  <c r="CG282" i="1"/>
  <c r="CH282" i="1"/>
  <c r="CI282" i="1"/>
  <c r="CK282" i="1"/>
  <c r="CL282" i="1"/>
  <c r="CM282" i="1"/>
  <c r="CN282" i="1"/>
  <c r="A283" i="1"/>
  <c r="C283" i="1"/>
  <c r="A285" i="1"/>
  <c r="BV291" i="1"/>
  <c r="BV293" i="1" s="1"/>
  <c r="BW291" i="1"/>
  <c r="BW293" i="1" s="1"/>
  <c r="BX291" i="1"/>
  <c r="BX293" i="1" s="1"/>
  <c r="BY291" i="1"/>
  <c r="CA291" i="1"/>
  <c r="CA293" i="1" s="1"/>
  <c r="CB291" i="1"/>
  <c r="CB293" i="1" s="1"/>
  <c r="CC291" i="1"/>
  <c r="CC293" i="1" s="1"/>
  <c r="CD291" i="1"/>
  <c r="CF291" i="1"/>
  <c r="CF293" i="1" s="1"/>
  <c r="CG291" i="1"/>
  <c r="CG293" i="1" s="1"/>
  <c r="CH291" i="1"/>
  <c r="CH293" i="1" s="1"/>
  <c r="CI291" i="1"/>
  <c r="CK291" i="1"/>
  <c r="CK293" i="1" s="1"/>
  <c r="CL291" i="1"/>
  <c r="CL293" i="1" s="1"/>
  <c r="CM291" i="1"/>
  <c r="CM293" i="1" s="1"/>
  <c r="CN291" i="1"/>
  <c r="BY292" i="1"/>
  <c r="BZ292" i="1" s="1"/>
  <c r="CD292" i="1"/>
  <c r="CE292" i="1" s="1"/>
  <c r="CI292" i="1"/>
  <c r="CJ292" i="1" s="1"/>
  <c r="CN292" i="1"/>
  <c r="CO292" i="1" s="1"/>
  <c r="A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W295" i="1"/>
  <c r="X295" i="1"/>
  <c r="Y295" i="1"/>
  <c r="Z295" i="1"/>
  <c r="AC295" i="1"/>
  <c r="AD295" i="1"/>
  <c r="AE295" i="1"/>
  <c r="AF295" i="1"/>
  <c r="AH295" i="1"/>
  <c r="AI295" i="1"/>
  <c r="AJ295" i="1"/>
  <c r="AK295" i="1"/>
  <c r="AM295" i="1"/>
  <c r="AN295" i="1"/>
  <c r="AO295" i="1"/>
  <c r="AP295" i="1"/>
  <c r="AR295" i="1"/>
  <c r="AS295" i="1"/>
  <c r="AT295" i="1"/>
  <c r="AU295" i="1"/>
  <c r="AW295" i="1"/>
  <c r="AX295" i="1"/>
  <c r="AY295" i="1"/>
  <c r="AZ295" i="1"/>
  <c r="BB295" i="1"/>
  <c r="BC295" i="1"/>
  <c r="BD295" i="1"/>
  <c r="BE295" i="1"/>
  <c r="BG295" i="1"/>
  <c r="BH295" i="1"/>
  <c r="BI295" i="1"/>
  <c r="BJ295" i="1"/>
  <c r="BL295" i="1"/>
  <c r="BM295" i="1"/>
  <c r="BN295" i="1"/>
  <c r="BO295" i="1"/>
  <c r="BQ295" i="1"/>
  <c r="BR295" i="1"/>
  <c r="BS295" i="1"/>
  <c r="BT295" i="1"/>
  <c r="BV295" i="1"/>
  <c r="BW295" i="1"/>
  <c r="BX295" i="1"/>
  <c r="BX288" i="1" s="1"/>
  <c r="BY295" i="1"/>
  <c r="CA295" i="1"/>
  <c r="CA288" i="1" s="1"/>
  <c r="CB295" i="1"/>
  <c r="CC295" i="1"/>
  <c r="CD295" i="1"/>
  <c r="CF295" i="1"/>
  <c r="CF288" i="1" s="1"/>
  <c r="CG295" i="1"/>
  <c r="CG288" i="1" s="1"/>
  <c r="CH295" i="1"/>
  <c r="CI295" i="1"/>
  <c r="CK295" i="1"/>
  <c r="CK288" i="1" s="1"/>
  <c r="CL295" i="1"/>
  <c r="CL288" i="1" s="1"/>
  <c r="CM295" i="1"/>
  <c r="CM288" i="1" s="1"/>
  <c r="CN295" i="1"/>
  <c r="A296" i="1"/>
  <c r="BF185" i="1"/>
  <c r="BK185" i="1"/>
  <c r="BP185" i="1"/>
  <c r="BU185" i="1"/>
  <c r="BZ185" i="1"/>
  <c r="CE185" i="1"/>
  <c r="CJ185" i="1"/>
  <c r="CO185" i="1"/>
  <c r="BF186" i="1"/>
  <c r="BK186" i="1"/>
  <c r="BP186" i="1"/>
  <c r="BU186" i="1"/>
  <c r="BZ186" i="1"/>
  <c r="CE186" i="1"/>
  <c r="CJ186" i="1"/>
  <c r="CO186" i="1"/>
  <c r="BF187" i="1"/>
  <c r="BK187" i="1"/>
  <c r="BP187" i="1"/>
  <c r="BQ254" i="1" s="1"/>
  <c r="BU187" i="1"/>
  <c r="BZ187" i="1"/>
  <c r="CE187" i="1"/>
  <c r="CF254" i="1" s="1"/>
  <c r="CJ187" i="1"/>
  <c r="CO187" i="1"/>
  <c r="BF188" i="1"/>
  <c r="BF259" i="1" s="1"/>
  <c r="BK188" i="1"/>
  <c r="BP188" i="1"/>
  <c r="BQ259" i="1" s="1"/>
  <c r="BU188" i="1"/>
  <c r="BZ188" i="1"/>
  <c r="CE188" i="1"/>
  <c r="CJ188" i="1"/>
  <c r="CO188" i="1"/>
  <c r="BF189" i="1"/>
  <c r="BK189" i="1"/>
  <c r="BN189" i="1"/>
  <c r="BN192" i="1" s="1"/>
  <c r="BP189" i="1"/>
  <c r="BU189" i="1"/>
  <c r="BZ189" i="1"/>
  <c r="CE189" i="1"/>
  <c r="CJ189" i="1"/>
  <c r="CO189" i="1"/>
  <c r="CR189" i="1" s="1"/>
  <c r="CT189" i="1" s="1"/>
  <c r="CV189" i="1" s="1"/>
  <c r="CW189" i="1" s="1"/>
  <c r="CX189" i="1" s="1"/>
  <c r="CY189" i="1" s="1"/>
  <c r="CZ189" i="1" s="1"/>
  <c r="DA189" i="1" s="1"/>
  <c r="DB189" i="1" s="1"/>
  <c r="DC189" i="1" s="1"/>
  <c r="DD189" i="1" s="1"/>
  <c r="DE189" i="1" s="1"/>
  <c r="AB190" i="1"/>
  <c r="AB192" i="1" s="1"/>
  <c r="AD190" i="1"/>
  <c r="AD192" i="1" s="1"/>
  <c r="AE190" i="1"/>
  <c r="AE192" i="1" s="1"/>
  <c r="BF190" i="1"/>
  <c r="BK190" i="1"/>
  <c r="BP190" i="1"/>
  <c r="BU190" i="1"/>
  <c r="BZ190" i="1"/>
  <c r="CE190" i="1"/>
  <c r="CJ190" i="1"/>
  <c r="CO190" i="1"/>
  <c r="C192" i="1"/>
  <c r="C203" i="1" s="1"/>
  <c r="D192" i="1"/>
  <c r="E192" i="1"/>
  <c r="F192" i="1"/>
  <c r="G192" i="1"/>
  <c r="H192" i="1"/>
  <c r="H305" i="1" s="1"/>
  <c r="H309" i="1" s="1"/>
  <c r="I192" i="1"/>
  <c r="I203" i="1" s="1"/>
  <c r="J192" i="1"/>
  <c r="K192" i="1"/>
  <c r="L192" i="1"/>
  <c r="M192" i="1"/>
  <c r="M203" i="1" s="1"/>
  <c r="N192" i="1"/>
  <c r="O192" i="1"/>
  <c r="P192" i="1"/>
  <c r="Q192" i="1"/>
  <c r="R192" i="1"/>
  <c r="S192" i="1"/>
  <c r="T192" i="1"/>
  <c r="T203" i="1" s="1"/>
  <c r="U192" i="1"/>
  <c r="V192" i="1"/>
  <c r="W192" i="1"/>
  <c r="X192" i="1"/>
  <c r="Y192" i="1"/>
  <c r="AA192" i="1"/>
  <c r="AC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G192" i="1"/>
  <c r="BH192" i="1"/>
  <c r="BI192" i="1"/>
  <c r="BJ192" i="1"/>
  <c r="BL192" i="1"/>
  <c r="BM192" i="1"/>
  <c r="BO192" i="1"/>
  <c r="BQ192" i="1"/>
  <c r="BR192" i="1"/>
  <c r="BS192" i="1"/>
  <c r="BT192" i="1"/>
  <c r="BV192" i="1"/>
  <c r="BW192" i="1"/>
  <c r="BX192" i="1"/>
  <c r="BY192" i="1"/>
  <c r="CA192" i="1"/>
  <c r="CB192" i="1"/>
  <c r="CC192" i="1"/>
  <c r="CD192" i="1"/>
  <c r="CF192" i="1"/>
  <c r="CG192" i="1"/>
  <c r="CH192" i="1"/>
  <c r="CI192" i="1"/>
  <c r="CK192" i="1"/>
  <c r="CL192" i="1"/>
  <c r="CM192" i="1"/>
  <c r="CN192" i="1"/>
  <c r="V194" i="1"/>
  <c r="U194" i="1" s="1"/>
  <c r="U195" i="1" s="1"/>
  <c r="AK194" i="1"/>
  <c r="AK195" i="1" s="1"/>
  <c r="AU194" i="1"/>
  <c r="AU195" i="1" s="1"/>
  <c r="AZ194" i="1"/>
  <c r="AZ195" i="1" s="1"/>
  <c r="BF194" i="1"/>
  <c r="BK194" i="1"/>
  <c r="BP194" i="1"/>
  <c r="AA195" i="1"/>
  <c r="AA194" i="1" s="1"/>
  <c r="Z194" i="1" s="1"/>
  <c r="Z195" i="1" s="1"/>
  <c r="AN195" i="1"/>
  <c r="AO195" i="1"/>
  <c r="AP195" i="1"/>
  <c r="AP196" i="1" s="1"/>
  <c r="BE195" i="1"/>
  <c r="BF195" i="1" s="1"/>
  <c r="BJ195" i="1"/>
  <c r="BK195" i="1" s="1"/>
  <c r="BO195" i="1"/>
  <c r="BP195" i="1" s="1"/>
  <c r="AF196" i="1"/>
  <c r="AG242" i="1" s="1"/>
  <c r="AJ196" i="1"/>
  <c r="AL196" i="1"/>
  <c r="AQ196" i="1"/>
  <c r="AV196" i="1"/>
  <c r="BA242" i="1" s="1"/>
  <c r="BF196" i="1"/>
  <c r="BK196" i="1"/>
  <c r="BP196" i="1"/>
  <c r="BU196" i="1"/>
  <c r="BZ196" i="1"/>
  <c r="CE196" i="1"/>
  <c r="CJ196" i="1"/>
  <c r="CO196" i="1"/>
  <c r="V197" i="1"/>
  <c r="AC197" i="1"/>
  <c r="AD197" i="1" s="1"/>
  <c r="AH197" i="1"/>
  <c r="AM197" i="1"/>
  <c r="AO197" i="1" s="1"/>
  <c r="AQ197" i="1"/>
  <c r="BA197" i="1"/>
  <c r="AZ197" i="1" s="1"/>
  <c r="BE197" i="1"/>
  <c r="BF197" i="1" s="1"/>
  <c r="N199" i="1"/>
  <c r="M197" i="1" s="1"/>
  <c r="O199" i="1"/>
  <c r="P199" i="1"/>
  <c r="Q199" i="1"/>
  <c r="R199" i="1"/>
  <c r="S199" i="1"/>
  <c r="T199" i="1"/>
  <c r="U199" i="1"/>
  <c r="W199" i="1"/>
  <c r="X199" i="1"/>
  <c r="Y199" i="1"/>
  <c r="AA199" i="1"/>
  <c r="AB199" i="1"/>
  <c r="AB203" i="1" s="1"/>
  <c r="AC199" i="1"/>
  <c r="AD199" i="1"/>
  <c r="AE199" i="1"/>
  <c r="AF199" i="1"/>
  <c r="AF198" i="1" s="1"/>
  <c r="AG199" i="1"/>
  <c r="AG198" i="1" s="1"/>
  <c r="AH199" i="1"/>
  <c r="AI199" i="1"/>
  <c r="AJ199" i="1"/>
  <c r="AK199" i="1"/>
  <c r="AL199" i="1"/>
  <c r="AL198" i="1" s="1"/>
  <c r="AM199" i="1"/>
  <c r="AN199" i="1"/>
  <c r="AO199" i="1"/>
  <c r="AO203" i="1" s="1"/>
  <c r="AP199" i="1"/>
  <c r="AQ199" i="1"/>
  <c r="AR199" i="1"/>
  <c r="AS199" i="1"/>
  <c r="AT199" i="1"/>
  <c r="AU199" i="1"/>
  <c r="AU203" i="1" s="1"/>
  <c r="AV199" i="1"/>
  <c r="AV198" i="1" s="1"/>
  <c r="AW199" i="1"/>
  <c r="AX199" i="1"/>
  <c r="AY199" i="1"/>
  <c r="AZ199" i="1"/>
  <c r="BA199" i="1"/>
  <c r="BB199" i="1"/>
  <c r="BC199" i="1"/>
  <c r="BD199" i="1"/>
  <c r="BE199" i="1"/>
  <c r="BG199" i="1"/>
  <c r="BH199" i="1"/>
  <c r="BI199" i="1"/>
  <c r="BJ199" i="1"/>
  <c r="BK199" i="1" s="1"/>
  <c r="BL199" i="1"/>
  <c r="BM199" i="1"/>
  <c r="BN199" i="1"/>
  <c r="BO199" i="1"/>
  <c r="BP199" i="1" s="1"/>
  <c r="BQ199" i="1"/>
  <c r="BR199" i="1"/>
  <c r="BS199" i="1"/>
  <c r="BT199" i="1"/>
  <c r="BU199" i="1" s="1"/>
  <c r="BV199" i="1"/>
  <c r="BW199" i="1"/>
  <c r="BX199" i="1"/>
  <c r="BY199" i="1"/>
  <c r="BZ199" i="1" s="1"/>
  <c r="CA199" i="1"/>
  <c r="CB199" i="1"/>
  <c r="CC199" i="1"/>
  <c r="CD199" i="1"/>
  <c r="CF199" i="1"/>
  <c r="CG199" i="1"/>
  <c r="CH199" i="1"/>
  <c r="CI199" i="1"/>
  <c r="CJ199" i="1" s="1"/>
  <c r="CK199" i="1"/>
  <c r="CL199" i="1"/>
  <c r="CM199" i="1"/>
  <c r="CN199" i="1"/>
  <c r="CO199" i="1" s="1"/>
  <c r="AA200" i="1"/>
  <c r="BF200" i="1"/>
  <c r="BK200" i="1"/>
  <c r="BP200" i="1"/>
  <c r="BU200" i="1"/>
  <c r="BZ200" i="1"/>
  <c r="CE200" i="1"/>
  <c r="CJ200" i="1"/>
  <c r="CO200" i="1"/>
  <c r="CT200" i="1" s="1"/>
  <c r="CV200" i="1" s="1"/>
  <c r="CW200" i="1" s="1"/>
  <c r="CX200" i="1" s="1"/>
  <c r="CY200" i="1" s="1"/>
  <c r="CZ200" i="1" s="1"/>
  <c r="DA200" i="1" s="1"/>
  <c r="DB200" i="1" s="1"/>
  <c r="DC200" i="1" s="1"/>
  <c r="DD200" i="1" s="1"/>
  <c r="DE200" i="1" s="1"/>
  <c r="BP201" i="1"/>
  <c r="BU201" i="1"/>
  <c r="BZ201" i="1"/>
  <c r="CE201" i="1"/>
  <c r="CJ201" i="1"/>
  <c r="CO201" i="1"/>
  <c r="CT201" i="1" s="1"/>
  <c r="CV201" i="1" s="1"/>
  <c r="CW201" i="1" s="1"/>
  <c r="CX201" i="1" s="1"/>
  <c r="CY201" i="1" s="1"/>
  <c r="CZ201" i="1" s="1"/>
  <c r="DA201" i="1" s="1"/>
  <c r="DB201" i="1" s="1"/>
  <c r="DC201" i="1" s="1"/>
  <c r="DD201" i="1" s="1"/>
  <c r="DE201" i="1" s="1"/>
  <c r="H203" i="1"/>
  <c r="AJ205" i="1"/>
  <c r="AK264" i="1" s="1"/>
  <c r="BF205" i="1"/>
  <c r="BG264" i="1" s="1"/>
  <c r="BK205" i="1"/>
  <c r="BP205" i="1"/>
  <c r="BU205" i="1"/>
  <c r="BZ205" i="1"/>
  <c r="CA264" i="1" s="1"/>
  <c r="CE205" i="1"/>
  <c r="CF264" i="1" s="1"/>
  <c r="CJ205" i="1"/>
  <c r="CO205" i="1"/>
  <c r="AJ206" i="1"/>
  <c r="BF206" i="1"/>
  <c r="BK206" i="1"/>
  <c r="BP206" i="1"/>
  <c r="BU206" i="1"/>
  <c r="BZ206" i="1"/>
  <c r="CE206" i="1"/>
  <c r="CJ206" i="1"/>
  <c r="CO206" i="1"/>
  <c r="CT206" i="1" s="1"/>
  <c r="CV206" i="1" s="1"/>
  <c r="CW206" i="1" s="1"/>
  <c r="CX206" i="1" s="1"/>
  <c r="CY206" i="1" s="1"/>
  <c r="CZ206" i="1" s="1"/>
  <c r="DA206" i="1" s="1"/>
  <c r="DB206" i="1" s="1"/>
  <c r="DC206" i="1" s="1"/>
  <c r="DD206" i="1" s="1"/>
  <c r="DE206" i="1" s="1"/>
  <c r="R207" i="1"/>
  <c r="R281" i="1" s="1"/>
  <c r="S207" i="1"/>
  <c r="S281" i="1" s="1"/>
  <c r="T207" i="1"/>
  <c r="T281" i="1" s="1"/>
  <c r="U207" i="1"/>
  <c r="U211" i="1" s="1"/>
  <c r="W207" i="1"/>
  <c r="X207" i="1"/>
  <c r="Y207" i="1"/>
  <c r="Y281" i="1" s="1"/>
  <c r="Y283" i="1" s="1"/>
  <c r="AA207" i="1"/>
  <c r="AA281" i="1" s="1"/>
  <c r="AB207" i="1"/>
  <c r="AC207" i="1"/>
  <c r="AC281" i="1" s="1"/>
  <c r="AD207" i="1"/>
  <c r="AD281" i="1" s="1"/>
  <c r="AE207" i="1"/>
  <c r="AF207" i="1"/>
  <c r="AF238" i="1" s="1"/>
  <c r="AF239" i="1" s="1"/>
  <c r="AF241" i="1" s="1"/>
  <c r="AG207" i="1"/>
  <c r="AG281" i="1" s="1"/>
  <c r="AH207" i="1"/>
  <c r="AJ207" i="1"/>
  <c r="AK207" i="1"/>
  <c r="AK281" i="1" s="1"/>
  <c r="AL207" i="1"/>
  <c r="AM207" i="1"/>
  <c r="AN207" i="1"/>
  <c r="AN238" i="1" s="1"/>
  <c r="AN239" i="1" s="1"/>
  <c r="AN241" i="1" s="1"/>
  <c r="AO207" i="1"/>
  <c r="AO281" i="1" s="1"/>
  <c r="AP207" i="1"/>
  <c r="AP281" i="1" s="1"/>
  <c r="AQ207" i="1"/>
  <c r="AR207" i="1"/>
  <c r="AR238" i="1" s="1"/>
  <c r="AR239" i="1" s="1"/>
  <c r="AS207" i="1"/>
  <c r="AS238" i="1" s="1"/>
  <c r="AS239" i="1" s="1"/>
  <c r="AU207" i="1"/>
  <c r="AU238" i="1" s="1"/>
  <c r="AU239" i="1" s="1"/>
  <c r="AV207" i="1"/>
  <c r="AV281" i="1" s="1"/>
  <c r="AW207" i="1"/>
  <c r="AW281" i="1" s="1"/>
  <c r="AX207" i="1"/>
  <c r="AX211" i="1" s="1"/>
  <c r="AY207" i="1"/>
  <c r="AY281" i="1" s="1"/>
  <c r="AZ207" i="1"/>
  <c r="BA207" i="1"/>
  <c r="BA238" i="1" s="1"/>
  <c r="BA239" i="1" s="1"/>
  <c r="BB207" i="1"/>
  <c r="BB281" i="1" s="1"/>
  <c r="BC207" i="1"/>
  <c r="BD207" i="1"/>
  <c r="BE207" i="1"/>
  <c r="BG207" i="1"/>
  <c r="BG238" i="1" s="1"/>
  <c r="BG239" i="1" s="1"/>
  <c r="BG241" i="1" s="1"/>
  <c r="BH207" i="1"/>
  <c r="BH281" i="1" s="1"/>
  <c r="BI207" i="1"/>
  <c r="BI281" i="1" s="1"/>
  <c r="BJ207" i="1"/>
  <c r="BL207" i="1"/>
  <c r="BM207" i="1"/>
  <c r="BM238" i="1" s="1"/>
  <c r="BM239" i="1" s="1"/>
  <c r="BM241" i="1" s="1"/>
  <c r="BN207" i="1"/>
  <c r="BO207" i="1"/>
  <c r="BO281" i="1" s="1"/>
  <c r="BQ207" i="1"/>
  <c r="BQ281" i="1" s="1"/>
  <c r="BU207" i="1"/>
  <c r="BY207" i="1"/>
  <c r="BY281" i="1" s="1"/>
  <c r="CA207" i="1"/>
  <c r="CB207" i="1"/>
  <c r="CC207" i="1"/>
  <c r="CC281" i="1" s="1"/>
  <c r="CD207" i="1"/>
  <c r="CD281" i="1" s="1"/>
  <c r="CI207" i="1"/>
  <c r="CK207" i="1"/>
  <c r="CL207" i="1"/>
  <c r="CM207" i="1"/>
  <c r="CM211" i="1" s="1"/>
  <c r="CO207" i="1"/>
  <c r="CO281" i="1" s="1"/>
  <c r="AB208" i="1"/>
  <c r="AD208" i="1"/>
  <c r="AE208" i="1"/>
  <c r="AF208" i="1"/>
  <c r="AG208" i="1"/>
  <c r="AH208" i="1"/>
  <c r="AI208" i="1"/>
  <c r="AI211" i="1" s="1"/>
  <c r="AI276" i="1" s="1"/>
  <c r="AK208" i="1"/>
  <c r="AY208" i="1"/>
  <c r="BC208" i="1"/>
  <c r="BF208" i="1"/>
  <c r="BK208" i="1"/>
  <c r="BP208" i="1"/>
  <c r="BU208" i="1"/>
  <c r="BZ208" i="1"/>
  <c r="CE208" i="1"/>
  <c r="CJ208" i="1"/>
  <c r="CO208" i="1"/>
  <c r="CT208" i="1" s="1"/>
  <c r="CV208" i="1" s="1"/>
  <c r="CW208" i="1" s="1"/>
  <c r="CX208" i="1" s="1"/>
  <c r="CY208" i="1" s="1"/>
  <c r="CZ208" i="1" s="1"/>
  <c r="DA208" i="1" s="1"/>
  <c r="DB208" i="1" s="1"/>
  <c r="DC208" i="1" s="1"/>
  <c r="DD208" i="1" s="1"/>
  <c r="DE208" i="1" s="1"/>
  <c r="DF208" i="1" s="1"/>
  <c r="DG208" i="1" s="1"/>
  <c r="DH208" i="1" s="1"/>
  <c r="DI208" i="1" s="1"/>
  <c r="BP209" i="1"/>
  <c r="BU209" i="1"/>
  <c r="BZ209" i="1"/>
  <c r="CE209" i="1"/>
  <c r="CJ209" i="1"/>
  <c r="CO209" i="1"/>
  <c r="CT209" i="1" s="1"/>
  <c r="CV209" i="1" s="1"/>
  <c r="CW209" i="1" s="1"/>
  <c r="CX209" i="1" s="1"/>
  <c r="CY209" i="1" s="1"/>
  <c r="CZ209" i="1" s="1"/>
  <c r="DA209" i="1" s="1"/>
  <c r="DB209" i="1" s="1"/>
  <c r="DC209" i="1" s="1"/>
  <c r="DD209" i="1" s="1"/>
  <c r="DE209" i="1" s="1"/>
  <c r="C211" i="1"/>
  <c r="C235" i="1" s="1"/>
  <c r="D211" i="1"/>
  <c r="D218" i="1" s="1"/>
  <c r="E211" i="1"/>
  <c r="F211" i="1"/>
  <c r="F218" i="1" s="1"/>
  <c r="G211" i="1"/>
  <c r="G218" i="1" s="1"/>
  <c r="H211" i="1"/>
  <c r="I211" i="1"/>
  <c r="I305" i="1" s="1"/>
  <c r="I309" i="1" s="1"/>
  <c r="J211" i="1"/>
  <c r="J218" i="1" s="1"/>
  <c r="K211" i="1"/>
  <c r="L211" i="1"/>
  <c r="L218" i="1" s="1"/>
  <c r="M211" i="1"/>
  <c r="M234" i="1" s="1"/>
  <c r="N211" i="1"/>
  <c r="O211" i="1"/>
  <c r="O235" i="1" s="1"/>
  <c r="P211" i="1"/>
  <c r="P218" i="1" s="1"/>
  <c r="Q211" i="1"/>
  <c r="V211" i="1"/>
  <c r="V218" i="1" s="1"/>
  <c r="AT211" i="1"/>
  <c r="BR211" i="1"/>
  <c r="BS211" i="1"/>
  <c r="BT211" i="1"/>
  <c r="BV211" i="1"/>
  <c r="BV218" i="1" s="1"/>
  <c r="BW211" i="1"/>
  <c r="BW218" i="1" s="1"/>
  <c r="BX211" i="1"/>
  <c r="BX218" i="1" s="1"/>
  <c r="CF211" i="1"/>
  <c r="CF218" i="1" s="1"/>
  <c r="CG211" i="1"/>
  <c r="CH211" i="1"/>
  <c r="CH276" i="1" s="1"/>
  <c r="CN211" i="1"/>
  <c r="CN218" i="1" s="1"/>
  <c r="BF213" i="1"/>
  <c r="BF282" i="1" s="1"/>
  <c r="BK213" i="1"/>
  <c r="BK282" i="1" s="1"/>
  <c r="BP213" i="1"/>
  <c r="BP282" i="1" s="1"/>
  <c r="BU213" i="1"/>
  <c r="BU282" i="1" s="1"/>
  <c r="BZ213" i="1"/>
  <c r="BZ282" i="1" s="1"/>
  <c r="CE213" i="1"/>
  <c r="CE282" i="1" s="1"/>
  <c r="CJ213" i="1"/>
  <c r="CO213" i="1"/>
  <c r="BP214" i="1"/>
  <c r="BU214" i="1"/>
  <c r="BZ214" i="1"/>
  <c r="CE214" i="1"/>
  <c r="CJ214" i="1"/>
  <c r="CO214" i="1"/>
  <c r="CT214" i="1" s="1"/>
  <c r="CV214" i="1" s="1"/>
  <c r="CW214" i="1" s="1"/>
  <c r="CX214" i="1" s="1"/>
  <c r="CY214" i="1" s="1"/>
  <c r="CZ214" i="1" s="1"/>
  <c r="DA214" i="1" s="1"/>
  <c r="DB214" i="1" s="1"/>
  <c r="DC214" i="1" s="1"/>
  <c r="DD214" i="1" s="1"/>
  <c r="DE214" i="1" s="1"/>
  <c r="AX215" i="1"/>
  <c r="AY215" i="1"/>
  <c r="BB215" i="1"/>
  <c r="BF215" i="1"/>
  <c r="BK215" i="1"/>
  <c r="BP215" i="1"/>
  <c r="BU215" i="1"/>
  <c r="BZ215" i="1"/>
  <c r="CE215" i="1"/>
  <c r="CJ215" i="1"/>
  <c r="CO215" i="1"/>
  <c r="BF216" i="1"/>
  <c r="BK216" i="1"/>
  <c r="BP216" i="1"/>
  <c r="BU216" i="1"/>
  <c r="BZ216" i="1"/>
  <c r="CE216" i="1"/>
  <c r="CJ216" i="1"/>
  <c r="CO216" i="1"/>
  <c r="Z218" i="1"/>
  <c r="Z219" i="1" s="1"/>
  <c r="C222" i="1"/>
  <c r="D222" i="1"/>
  <c r="D228" i="1" s="1"/>
  <c r="E222" i="1"/>
  <c r="E228" i="1" s="1"/>
  <c r="F222" i="1"/>
  <c r="F228" i="1" s="1"/>
  <c r="G222" i="1"/>
  <c r="G228" i="1" s="1"/>
  <c r="H222" i="1"/>
  <c r="I222" i="1"/>
  <c r="I228" i="1" s="1"/>
  <c r="J222" i="1"/>
  <c r="J270" i="1" s="1"/>
  <c r="K222" i="1"/>
  <c r="K228" i="1" s="1"/>
  <c r="L222" i="1"/>
  <c r="L228" i="1" s="1"/>
  <c r="M222" i="1"/>
  <c r="M228" i="1" s="1"/>
  <c r="N222" i="1"/>
  <c r="O222" i="1"/>
  <c r="O270" i="1" s="1"/>
  <c r="P222" i="1"/>
  <c r="P270" i="1" s="1"/>
  <c r="Q222" i="1"/>
  <c r="Q270" i="1" s="1"/>
  <c r="U222" i="1"/>
  <c r="V222" i="1"/>
  <c r="V228" i="1" s="1"/>
  <c r="W222" i="1"/>
  <c r="X222" i="1"/>
  <c r="Y222" i="1"/>
  <c r="Y228" i="1" s="1"/>
  <c r="Z222" i="1"/>
  <c r="Z228" i="1" s="1"/>
  <c r="AA222" i="1"/>
  <c r="AA228" i="1" s="1"/>
  <c r="AW222" i="1"/>
  <c r="AX222" i="1"/>
  <c r="AY222" i="1"/>
  <c r="AY228" i="1" s="1"/>
  <c r="AZ222" i="1"/>
  <c r="AZ242" i="1" s="1"/>
  <c r="BA222" i="1"/>
  <c r="BA228" i="1" s="1"/>
  <c r="BB222" i="1"/>
  <c r="BB270" i="1" s="1"/>
  <c r="BC222" i="1"/>
  <c r="BC242" i="1" s="1"/>
  <c r="BD222" i="1"/>
  <c r="BE222" i="1"/>
  <c r="BE270" i="1" s="1"/>
  <c r="BF222" i="1"/>
  <c r="BG222" i="1"/>
  <c r="BG228" i="1" s="1"/>
  <c r="BH222" i="1"/>
  <c r="BH242" i="1" s="1"/>
  <c r="BI222" i="1"/>
  <c r="BJ222" i="1"/>
  <c r="BJ242" i="1" s="1"/>
  <c r="BK222" i="1"/>
  <c r="BL222" i="1"/>
  <c r="BL270" i="1" s="1"/>
  <c r="BM222" i="1"/>
  <c r="BM228" i="1" s="1"/>
  <c r="BN222" i="1"/>
  <c r="BN228" i="1" s="1"/>
  <c r="BO222" i="1"/>
  <c r="BO270" i="1" s="1"/>
  <c r="BP222" i="1"/>
  <c r="BQ222" i="1"/>
  <c r="BQ228" i="1" s="1"/>
  <c r="BR222" i="1"/>
  <c r="BR270" i="1" s="1"/>
  <c r="BS222" i="1"/>
  <c r="BS228" i="1" s="1"/>
  <c r="BT222" i="1"/>
  <c r="BT228" i="1" s="1"/>
  <c r="BU222" i="1"/>
  <c r="BV222" i="1"/>
  <c r="BW222" i="1"/>
  <c r="BX222" i="1"/>
  <c r="BX228" i="1" s="1"/>
  <c r="BY222" i="1"/>
  <c r="BY228" i="1" s="1"/>
  <c r="BZ222" i="1"/>
  <c r="CA222" i="1"/>
  <c r="CB222" i="1"/>
  <c r="CB242" i="1" s="1"/>
  <c r="CC222" i="1"/>
  <c r="CC242" i="1" s="1"/>
  <c r="CD222" i="1"/>
  <c r="CD228" i="1" s="1"/>
  <c r="CE222" i="1"/>
  <c r="CE270" i="1" s="1"/>
  <c r="CF222" i="1"/>
  <c r="CF228" i="1" s="1"/>
  <c r="CG222" i="1"/>
  <c r="CG242" i="1" s="1"/>
  <c r="CH222" i="1"/>
  <c r="CI222" i="1"/>
  <c r="CJ222" i="1"/>
  <c r="CK222" i="1"/>
  <c r="CK228" i="1" s="1"/>
  <c r="CL222" i="1"/>
  <c r="CL228" i="1" s="1"/>
  <c r="CM222" i="1"/>
  <c r="CN222" i="1"/>
  <c r="CO222" i="1"/>
  <c r="C223" i="1"/>
  <c r="C229" i="1" s="1"/>
  <c r="D223" i="1"/>
  <c r="D230" i="1" s="1"/>
  <c r="E223" i="1"/>
  <c r="E230" i="1" s="1"/>
  <c r="F223" i="1"/>
  <c r="G223" i="1"/>
  <c r="H223" i="1"/>
  <c r="H230" i="1" s="1"/>
  <c r="I223" i="1"/>
  <c r="I229" i="1" s="1"/>
  <c r="J223" i="1"/>
  <c r="J230" i="1" s="1"/>
  <c r="K223" i="1"/>
  <c r="K229" i="1" s="1"/>
  <c r="L223" i="1"/>
  <c r="M223" i="1"/>
  <c r="N223" i="1"/>
  <c r="N229" i="1" s="1"/>
  <c r="O223" i="1"/>
  <c r="O230" i="1" s="1"/>
  <c r="P223" i="1"/>
  <c r="P229" i="1" s="1"/>
  <c r="Q223" i="1"/>
  <c r="Q230" i="1" s="1"/>
  <c r="U223" i="1"/>
  <c r="V223" i="1"/>
  <c r="V230" i="1" s="1"/>
  <c r="W223" i="1"/>
  <c r="W230" i="1" s="1"/>
  <c r="X223" i="1"/>
  <c r="X229" i="1" s="1"/>
  <c r="Y223" i="1"/>
  <c r="Y229" i="1" s="1"/>
  <c r="Z223" i="1"/>
  <c r="Z229" i="1" s="1"/>
  <c r="AA223" i="1"/>
  <c r="AC223" i="1"/>
  <c r="AC230" i="1" s="1"/>
  <c r="AD223" i="1"/>
  <c r="AD230" i="1" s="1"/>
  <c r="AE223" i="1"/>
  <c r="AE229" i="1" s="1"/>
  <c r="AF223" i="1"/>
  <c r="AF229" i="1" s="1"/>
  <c r="AG223" i="1"/>
  <c r="AG230" i="1" s="1"/>
  <c r="AH223" i="1"/>
  <c r="AI223" i="1"/>
  <c r="AI229" i="1" s="1"/>
  <c r="AJ223" i="1"/>
  <c r="AJ229" i="1" s="1"/>
  <c r="AK223" i="1"/>
  <c r="AK229" i="1" s="1"/>
  <c r="AL223" i="1"/>
  <c r="AL229" i="1" s="1"/>
  <c r="AM223" i="1"/>
  <c r="AM229" i="1" s="1"/>
  <c r="AN223" i="1"/>
  <c r="AO223" i="1"/>
  <c r="AP223" i="1"/>
  <c r="AP230" i="1" s="1"/>
  <c r="AQ223" i="1"/>
  <c r="AQ229" i="1" s="1"/>
  <c r="AR223" i="1"/>
  <c r="AR230" i="1" s="1"/>
  <c r="AS223" i="1"/>
  <c r="AS230" i="1" s="1"/>
  <c r="AT223" i="1"/>
  <c r="AU223" i="1"/>
  <c r="AU229" i="1" s="1"/>
  <c r="AV223" i="1"/>
  <c r="AV229" i="1" s="1"/>
  <c r="AW223" i="1"/>
  <c r="AW230" i="1" s="1"/>
  <c r="AX223" i="1"/>
  <c r="AX229" i="1" s="1"/>
  <c r="AY223" i="1"/>
  <c r="AY230" i="1" s="1"/>
  <c r="AZ223" i="1"/>
  <c r="BA223" i="1"/>
  <c r="BB223" i="1"/>
  <c r="BB230" i="1" s="1"/>
  <c r="BC223" i="1"/>
  <c r="BC229" i="1" s="1"/>
  <c r="BD223" i="1"/>
  <c r="BD229" i="1" s="1"/>
  <c r="BE223" i="1"/>
  <c r="BE229" i="1" s="1"/>
  <c r="BF223" i="1"/>
  <c r="BG223" i="1"/>
  <c r="BG230" i="1" s="1"/>
  <c r="BH223" i="1"/>
  <c r="BI223" i="1"/>
  <c r="BI229" i="1" s="1"/>
  <c r="BJ223" i="1"/>
  <c r="BJ230" i="1" s="1"/>
  <c r="BK223" i="1"/>
  <c r="BL223" i="1"/>
  <c r="BM223" i="1"/>
  <c r="BM229" i="1" s="1"/>
  <c r="BN223" i="1"/>
  <c r="BN229" i="1" s="1"/>
  <c r="BO223" i="1"/>
  <c r="BO230" i="1" s="1"/>
  <c r="BP223" i="1"/>
  <c r="BQ223" i="1"/>
  <c r="BQ230" i="1" s="1"/>
  <c r="BR223" i="1"/>
  <c r="BS223" i="1"/>
  <c r="BT223" i="1"/>
  <c r="BT229" i="1" s="1"/>
  <c r="BU223" i="1"/>
  <c r="BV223" i="1"/>
  <c r="BV229" i="1" s="1"/>
  <c r="BW223" i="1"/>
  <c r="BW229" i="1" s="1"/>
  <c r="BX223" i="1"/>
  <c r="BY223" i="1"/>
  <c r="BZ223" i="1"/>
  <c r="CA223" i="1"/>
  <c r="CA229" i="1" s="1"/>
  <c r="CB223" i="1"/>
  <c r="CB230" i="1" s="1"/>
  <c r="CC223" i="1"/>
  <c r="CD223" i="1"/>
  <c r="CE223" i="1"/>
  <c r="CF223" i="1"/>
  <c r="CF230" i="1" s="1"/>
  <c r="CG223" i="1"/>
  <c r="CG229" i="1" s="1"/>
  <c r="CN223" i="1"/>
  <c r="CN229" i="1" s="1"/>
  <c r="CO223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V227" i="1"/>
  <c r="AG227" i="1"/>
  <c r="AL227" i="1"/>
  <c r="BA227" i="1"/>
  <c r="BF227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BA231" i="1"/>
  <c r="Z234" i="1"/>
  <c r="Z235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E236" i="1"/>
  <c r="AF236" i="1"/>
  <c r="AG236" i="1"/>
  <c r="AH236" i="1"/>
  <c r="AI236" i="1"/>
  <c r="AJ236" i="1"/>
  <c r="AK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G236" i="1"/>
  <c r="BH236" i="1"/>
  <c r="BI236" i="1"/>
  <c r="BJ236" i="1"/>
  <c r="BL236" i="1"/>
  <c r="BM236" i="1"/>
  <c r="BN236" i="1"/>
  <c r="BO236" i="1"/>
  <c r="BQ236" i="1"/>
  <c r="BR236" i="1"/>
  <c r="BS236" i="1"/>
  <c r="BT236" i="1"/>
  <c r="BV236" i="1"/>
  <c r="BW236" i="1"/>
  <c r="BX236" i="1"/>
  <c r="BY236" i="1"/>
  <c r="CA236" i="1"/>
  <c r="CB236" i="1"/>
  <c r="CC236" i="1"/>
  <c r="CD236" i="1"/>
  <c r="CF236" i="1"/>
  <c r="CG236" i="1"/>
  <c r="CH236" i="1"/>
  <c r="CI236" i="1"/>
  <c r="CK236" i="1"/>
  <c r="CL236" i="1"/>
  <c r="CM236" i="1"/>
  <c r="CN236" i="1"/>
  <c r="C238" i="1"/>
  <c r="C239" i="1" s="1"/>
  <c r="C241" i="1" s="1"/>
  <c r="D238" i="1"/>
  <c r="D239" i="1" s="1"/>
  <c r="D241" i="1" s="1"/>
  <c r="E238" i="1"/>
  <c r="E239" i="1" s="1"/>
  <c r="F238" i="1"/>
  <c r="F239" i="1" s="1"/>
  <c r="G238" i="1"/>
  <c r="G239" i="1" s="1"/>
  <c r="H238" i="1"/>
  <c r="H239" i="1" s="1"/>
  <c r="H241" i="1" s="1"/>
  <c r="I238" i="1"/>
  <c r="I239" i="1" s="1"/>
  <c r="I241" i="1" s="1"/>
  <c r="J238" i="1"/>
  <c r="J239" i="1" s="1"/>
  <c r="J241" i="1" s="1"/>
  <c r="K238" i="1"/>
  <c r="K239" i="1" s="1"/>
  <c r="L238" i="1"/>
  <c r="L239" i="1" s="1"/>
  <c r="M238" i="1"/>
  <c r="M239" i="1" s="1"/>
  <c r="N238" i="1"/>
  <c r="N239" i="1" s="1"/>
  <c r="N241" i="1" s="1"/>
  <c r="O238" i="1"/>
  <c r="O239" i="1" s="1"/>
  <c r="O241" i="1" s="1"/>
  <c r="P238" i="1"/>
  <c r="P239" i="1" s="1"/>
  <c r="Q238" i="1"/>
  <c r="Q239" i="1" s="1"/>
  <c r="V238" i="1"/>
  <c r="V239" i="1" s="1"/>
  <c r="V241" i="1" s="1"/>
  <c r="Z238" i="1"/>
  <c r="Z239" i="1" s="1"/>
  <c r="Z241" i="1" s="1"/>
  <c r="AI238" i="1"/>
  <c r="AI239" i="1" s="1"/>
  <c r="AK238" i="1"/>
  <c r="AK239" i="1" s="1"/>
  <c r="AQ238" i="1"/>
  <c r="AQ239" i="1" s="1"/>
  <c r="AT238" i="1"/>
  <c r="AT239" i="1" s="1"/>
  <c r="BC238" i="1"/>
  <c r="BC239" i="1" s="1"/>
  <c r="BR238" i="1"/>
  <c r="BR239" i="1" s="1"/>
  <c r="BS238" i="1"/>
  <c r="BS239" i="1" s="1"/>
  <c r="BT238" i="1"/>
  <c r="BT239" i="1" s="1"/>
  <c r="BV238" i="1"/>
  <c r="BV239" i="1" s="1"/>
  <c r="BW238" i="1"/>
  <c r="BW239" i="1" s="1"/>
  <c r="BW241" i="1" s="1"/>
  <c r="BX238" i="1"/>
  <c r="BX239" i="1" s="1"/>
  <c r="BX241" i="1" s="1"/>
  <c r="BY238" i="1"/>
  <c r="BY239" i="1" s="1"/>
  <c r="BY241" i="1" s="1"/>
  <c r="CF238" i="1"/>
  <c r="CF239" i="1" s="1"/>
  <c r="CG238" i="1"/>
  <c r="CG239" i="1" s="1"/>
  <c r="CG241" i="1" s="1"/>
  <c r="CH238" i="1"/>
  <c r="CH239" i="1" s="1"/>
  <c r="CH241" i="1" s="1"/>
  <c r="CI238" i="1"/>
  <c r="CI239" i="1" s="1"/>
  <c r="CI241" i="1" s="1"/>
  <c r="CK238" i="1"/>
  <c r="CK239" i="1" s="1"/>
  <c r="CN238" i="1"/>
  <c r="CN239" i="1" s="1"/>
  <c r="AB241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V242" i="1"/>
  <c r="AA242" i="1"/>
  <c r="X247" i="1"/>
  <c r="Y247" i="1"/>
  <c r="Z247" i="1"/>
  <c r="AA247" i="1" s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 s="1"/>
  <c r="AV247" i="1"/>
  <c r="AU247" i="1" s="1"/>
  <c r="AW247" i="1" s="1"/>
  <c r="AZ247" i="1"/>
  <c r="BB247" i="1" s="1"/>
  <c r="BA247" i="1"/>
  <c r="BK247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D253" i="1"/>
  <c r="AG253" i="1"/>
  <c r="AI253" i="1"/>
  <c r="AK253" i="1"/>
  <c r="AL253" i="1"/>
  <c r="AN253" i="1"/>
  <c r="AO253" i="1"/>
  <c r="AP253" i="1"/>
  <c r="AQ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G253" i="1"/>
  <c r="BH253" i="1"/>
  <c r="BI253" i="1"/>
  <c r="BJ253" i="1"/>
  <c r="BL253" i="1"/>
  <c r="BM253" i="1"/>
  <c r="BN253" i="1"/>
  <c r="BO253" i="1"/>
  <c r="BQ253" i="1"/>
  <c r="BR253" i="1"/>
  <c r="BS253" i="1"/>
  <c r="BT253" i="1"/>
  <c r="BV253" i="1"/>
  <c r="BW253" i="1"/>
  <c r="BX253" i="1"/>
  <c r="BY253" i="1"/>
  <c r="CA253" i="1"/>
  <c r="CB253" i="1"/>
  <c r="CC253" i="1"/>
  <c r="CD253" i="1"/>
  <c r="CF253" i="1"/>
  <c r="CG253" i="1"/>
  <c r="CH253" i="1"/>
  <c r="CI253" i="1"/>
  <c r="CK253" i="1"/>
  <c r="CL253" i="1"/>
  <c r="CM253" i="1"/>
  <c r="CN253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H254" i="1"/>
  <c r="BI254" i="1"/>
  <c r="BJ254" i="1"/>
  <c r="BM254" i="1"/>
  <c r="BN254" i="1"/>
  <c r="BO254" i="1"/>
  <c r="BR254" i="1"/>
  <c r="BS254" i="1"/>
  <c r="BT254" i="1"/>
  <c r="BW254" i="1"/>
  <c r="BX254" i="1"/>
  <c r="BY254" i="1"/>
  <c r="CB254" i="1"/>
  <c r="CC254" i="1"/>
  <c r="CD254" i="1"/>
  <c r="CG254" i="1"/>
  <c r="CH254" i="1"/>
  <c r="CI254" i="1"/>
  <c r="CL254" i="1"/>
  <c r="CM254" i="1"/>
  <c r="CN254" i="1"/>
  <c r="D258" i="1"/>
  <c r="D263" i="1" s="1"/>
  <c r="E258" i="1"/>
  <c r="F258" i="1"/>
  <c r="G258" i="1"/>
  <c r="H258" i="1"/>
  <c r="I258" i="1"/>
  <c r="I263" i="1" s="1"/>
  <c r="J258" i="1"/>
  <c r="J263" i="1" s="1"/>
  <c r="K258" i="1"/>
  <c r="L258" i="1"/>
  <c r="L263" i="1" s="1"/>
  <c r="M258" i="1"/>
  <c r="N258" i="1"/>
  <c r="O258" i="1"/>
  <c r="O263" i="1" s="1"/>
  <c r="P258" i="1"/>
  <c r="P263" i="1" s="1"/>
  <c r="Q258" i="1"/>
  <c r="R258" i="1"/>
  <c r="S258" i="1"/>
  <c r="S263" i="1" s="1"/>
  <c r="T258" i="1"/>
  <c r="T263" i="1" s="1"/>
  <c r="U258" i="1"/>
  <c r="U263" i="1" s="1"/>
  <c r="V258" i="1"/>
  <c r="V263" i="1" s="1"/>
  <c r="W258" i="1"/>
  <c r="X258" i="1"/>
  <c r="Y258" i="1"/>
  <c r="Y263" i="1" s="1"/>
  <c r="Z258" i="1"/>
  <c r="Z263" i="1" s="1"/>
  <c r="AA258" i="1"/>
  <c r="AA263" i="1" s="1"/>
  <c r="AC258" i="1"/>
  <c r="AD258" i="1"/>
  <c r="AE258" i="1"/>
  <c r="AF258" i="1"/>
  <c r="AF263" i="1" s="1"/>
  <c r="AG258" i="1"/>
  <c r="AH258" i="1"/>
  <c r="AH263" i="1" s="1"/>
  <c r="AI258" i="1"/>
  <c r="AI263" i="1" s="1"/>
  <c r="AJ258" i="1"/>
  <c r="AK258" i="1"/>
  <c r="AL258" i="1"/>
  <c r="AL263" i="1" s="1"/>
  <c r="AM258" i="1"/>
  <c r="AM263" i="1" s="1"/>
  <c r="AN258" i="1"/>
  <c r="AN263" i="1" s="1"/>
  <c r="AO258" i="1"/>
  <c r="AO263" i="1" s="1"/>
  <c r="AP258" i="1"/>
  <c r="AQ258" i="1"/>
  <c r="AQ263" i="1" s="1"/>
  <c r="AR258" i="1"/>
  <c r="AS258" i="1"/>
  <c r="AS263" i="1" s="1"/>
  <c r="AT258" i="1"/>
  <c r="AU258" i="1"/>
  <c r="AV258" i="1"/>
  <c r="AW258" i="1"/>
  <c r="AX258" i="1"/>
  <c r="AY258" i="1"/>
  <c r="AY263" i="1" s="1"/>
  <c r="AZ258" i="1"/>
  <c r="AZ263" i="1" s="1"/>
  <c r="BA258" i="1"/>
  <c r="BA263" i="1" s="1"/>
  <c r="BB258" i="1"/>
  <c r="BC258" i="1"/>
  <c r="BD258" i="1"/>
  <c r="BD263" i="1" s="1"/>
  <c r="BE258" i="1"/>
  <c r="BE263" i="1" s="1"/>
  <c r="BG258" i="1"/>
  <c r="BH258" i="1"/>
  <c r="BH263" i="1" s="1"/>
  <c r="BI258" i="1"/>
  <c r="BJ258" i="1"/>
  <c r="BJ263" i="1" s="1"/>
  <c r="BL258" i="1"/>
  <c r="BM258" i="1"/>
  <c r="BM263" i="1" s="1"/>
  <c r="BN258" i="1"/>
  <c r="BN263" i="1" s="1"/>
  <c r="BO258" i="1"/>
  <c r="BQ258" i="1"/>
  <c r="BR258" i="1"/>
  <c r="BR263" i="1" s="1"/>
  <c r="BS258" i="1"/>
  <c r="BS263" i="1" s="1"/>
  <c r="BT258" i="1"/>
  <c r="BT263" i="1" s="1"/>
  <c r="BV258" i="1"/>
  <c r="BW258" i="1"/>
  <c r="BW263" i="1" s="1"/>
  <c r="BX258" i="1"/>
  <c r="BX263" i="1" s="1"/>
  <c r="BY258" i="1"/>
  <c r="BY263" i="1" s="1"/>
  <c r="CA258" i="1"/>
  <c r="CB258" i="1"/>
  <c r="CC258" i="1"/>
  <c r="CC263" i="1" s="1"/>
  <c r="CD258" i="1"/>
  <c r="CD263" i="1" s="1"/>
  <c r="CF258" i="1"/>
  <c r="CG258" i="1"/>
  <c r="CK258" i="1"/>
  <c r="CL258" i="1"/>
  <c r="CM258" i="1"/>
  <c r="CM263" i="1" s="1"/>
  <c r="CN258" i="1"/>
  <c r="CN263" i="1" s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H259" i="1"/>
  <c r="BH260" i="1" s="1"/>
  <c r="BI259" i="1"/>
  <c r="BJ259" i="1"/>
  <c r="BM259" i="1"/>
  <c r="BN259" i="1"/>
  <c r="BO259" i="1"/>
  <c r="BR259" i="1"/>
  <c r="BS259" i="1"/>
  <c r="BT259" i="1"/>
  <c r="BW259" i="1"/>
  <c r="BX259" i="1"/>
  <c r="BY259" i="1"/>
  <c r="CB259" i="1"/>
  <c r="CC259" i="1"/>
  <c r="CD259" i="1"/>
  <c r="CF259" i="1"/>
  <c r="CG259" i="1"/>
  <c r="CH259" i="1"/>
  <c r="CI259" i="1"/>
  <c r="CL259" i="1"/>
  <c r="CM259" i="1"/>
  <c r="CN259" i="1"/>
  <c r="AC263" i="1"/>
  <c r="AT263" i="1"/>
  <c r="AU263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C264" i="1"/>
  <c r="AD264" i="1"/>
  <c r="AE264" i="1"/>
  <c r="AF264" i="1"/>
  <c r="AG264" i="1"/>
  <c r="AH264" i="1"/>
  <c r="AI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H264" i="1"/>
  <c r="BI264" i="1"/>
  <c r="BJ264" i="1"/>
  <c r="BM264" i="1"/>
  <c r="BN264" i="1"/>
  <c r="BO264" i="1"/>
  <c r="BR264" i="1"/>
  <c r="BS264" i="1"/>
  <c r="BT264" i="1"/>
  <c r="BW264" i="1"/>
  <c r="BX264" i="1"/>
  <c r="BY264" i="1"/>
  <c r="CB264" i="1"/>
  <c r="CC264" i="1"/>
  <c r="CD264" i="1"/>
  <c r="CG264" i="1"/>
  <c r="CH264" i="1"/>
  <c r="CI264" i="1"/>
  <c r="CL264" i="1"/>
  <c r="CM264" i="1"/>
  <c r="CN264" i="1"/>
  <c r="E270" i="1"/>
  <c r="BH270" i="1"/>
  <c r="BY270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V272" i="1"/>
  <c r="W272" i="1"/>
  <c r="X272" i="1"/>
  <c r="Y272" i="1"/>
  <c r="Z272" i="1"/>
  <c r="AA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G272" i="1"/>
  <c r="BH272" i="1"/>
  <c r="BI272" i="1"/>
  <c r="BJ272" i="1"/>
  <c r="BL272" i="1"/>
  <c r="BM272" i="1"/>
  <c r="BN272" i="1"/>
  <c r="BO272" i="1"/>
  <c r="BQ272" i="1"/>
  <c r="BR272" i="1"/>
  <c r="BS272" i="1"/>
  <c r="BT272" i="1"/>
  <c r="BV272" i="1"/>
  <c r="BW272" i="1"/>
  <c r="BX272" i="1"/>
  <c r="BY272" i="1"/>
  <c r="CA272" i="1"/>
  <c r="CB272" i="1"/>
  <c r="CC272" i="1"/>
  <c r="CD272" i="1"/>
  <c r="CF272" i="1"/>
  <c r="CG272" i="1"/>
  <c r="CH272" i="1"/>
  <c r="CI272" i="1"/>
  <c r="CK272" i="1"/>
  <c r="CL272" i="1"/>
  <c r="CM272" i="1"/>
  <c r="CN272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V273" i="1"/>
  <c r="W273" i="1"/>
  <c r="X273" i="1"/>
  <c r="Y273" i="1"/>
  <c r="Z273" i="1"/>
  <c r="AA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G273" i="1"/>
  <c r="BH273" i="1"/>
  <c r="BI273" i="1"/>
  <c r="BJ273" i="1"/>
  <c r="BL273" i="1"/>
  <c r="BM273" i="1"/>
  <c r="BN273" i="1"/>
  <c r="BO273" i="1"/>
  <c r="BQ273" i="1"/>
  <c r="BR273" i="1"/>
  <c r="BS273" i="1"/>
  <c r="BT273" i="1"/>
  <c r="BV273" i="1"/>
  <c r="BW273" i="1"/>
  <c r="BX273" i="1"/>
  <c r="BY273" i="1"/>
  <c r="CA273" i="1"/>
  <c r="CB273" i="1"/>
  <c r="CC273" i="1"/>
  <c r="CD273" i="1"/>
  <c r="CF273" i="1"/>
  <c r="CG273" i="1"/>
  <c r="CH273" i="1"/>
  <c r="CI273" i="1"/>
  <c r="CK273" i="1"/>
  <c r="CL273" i="1"/>
  <c r="CM273" i="1"/>
  <c r="CN273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V274" i="1"/>
  <c r="W274" i="1"/>
  <c r="X274" i="1"/>
  <c r="Y274" i="1"/>
  <c r="Z274" i="1"/>
  <c r="AA274" i="1"/>
  <c r="AD274" i="1"/>
  <c r="AG274" i="1"/>
  <c r="AI274" i="1"/>
  <c r="AL274" i="1"/>
  <c r="AN274" i="1"/>
  <c r="AP274" i="1"/>
  <c r="AQ274" i="1"/>
  <c r="AS274" i="1"/>
  <c r="AT274" i="1"/>
  <c r="AU274" i="1"/>
  <c r="AV274" i="1"/>
  <c r="AX274" i="1"/>
  <c r="AY274" i="1"/>
  <c r="AZ274" i="1"/>
  <c r="BA274" i="1"/>
  <c r="BB274" i="1"/>
  <c r="BC274" i="1"/>
  <c r="BD274" i="1"/>
  <c r="BE274" i="1"/>
  <c r="BG274" i="1"/>
  <c r="BH274" i="1"/>
  <c r="BI274" i="1"/>
  <c r="BJ274" i="1"/>
  <c r="BL274" i="1"/>
  <c r="BM274" i="1"/>
  <c r="BN274" i="1"/>
  <c r="BO274" i="1"/>
  <c r="BQ274" i="1"/>
  <c r="BR274" i="1"/>
  <c r="BS274" i="1"/>
  <c r="BT274" i="1"/>
  <c r="BV274" i="1"/>
  <c r="BW274" i="1"/>
  <c r="BX274" i="1"/>
  <c r="BY274" i="1"/>
  <c r="CA274" i="1"/>
  <c r="CB274" i="1"/>
  <c r="CC274" i="1"/>
  <c r="CD274" i="1"/>
  <c r="CF274" i="1"/>
  <c r="CG274" i="1"/>
  <c r="CH274" i="1"/>
  <c r="CI274" i="1"/>
  <c r="CK274" i="1"/>
  <c r="CL274" i="1"/>
  <c r="CM274" i="1"/>
  <c r="CN274" i="1"/>
  <c r="Z276" i="1"/>
  <c r="BS276" i="1"/>
  <c r="D320" i="1"/>
  <c r="E320" i="1"/>
  <c r="F320" i="1"/>
  <c r="G320" i="1"/>
  <c r="H320" i="1"/>
  <c r="I320" i="1"/>
  <c r="J320" i="1"/>
  <c r="Q108" i="1"/>
  <c r="R108" i="1"/>
  <c r="S108" i="1"/>
  <c r="T108" i="1"/>
  <c r="U108" i="1"/>
  <c r="W108" i="1"/>
  <c r="X108" i="1"/>
  <c r="Y108" i="1"/>
  <c r="Z108" i="1"/>
  <c r="AH108" i="1"/>
  <c r="AI108" i="1"/>
  <c r="AJ108" i="1"/>
  <c r="AK108" i="1"/>
  <c r="AM108" i="1"/>
  <c r="AN108" i="1"/>
  <c r="AO108" i="1"/>
  <c r="AP108" i="1"/>
  <c r="AR108" i="1"/>
  <c r="AS108" i="1"/>
  <c r="AT108" i="1"/>
  <c r="AU108" i="1"/>
  <c r="AW108" i="1"/>
  <c r="AX108" i="1"/>
  <c r="AY108" i="1"/>
  <c r="AZ108" i="1"/>
  <c r="BB108" i="1"/>
  <c r="BC108" i="1"/>
  <c r="BE108" i="1"/>
  <c r="BG108" i="1"/>
  <c r="BH108" i="1"/>
  <c r="BI108" i="1"/>
  <c r="BJ108" i="1"/>
  <c r="BL108" i="1"/>
  <c r="BM108" i="1"/>
  <c r="BO108" i="1"/>
  <c r="BQ108" i="1"/>
  <c r="BR108" i="1"/>
  <c r="BS108" i="1"/>
  <c r="BT108" i="1"/>
  <c r="BV108" i="1"/>
  <c r="BW108" i="1"/>
  <c r="BX108" i="1"/>
  <c r="BY108" i="1"/>
  <c r="CA108" i="1"/>
  <c r="CB108" i="1"/>
  <c r="CC108" i="1"/>
  <c r="CD108" i="1"/>
  <c r="CF108" i="1"/>
  <c r="CG108" i="1"/>
  <c r="CK108" i="1"/>
  <c r="CL108" i="1"/>
  <c r="CM108" i="1"/>
  <c r="CN108" i="1"/>
  <c r="R110" i="1"/>
  <c r="S110" i="1"/>
  <c r="T110" i="1"/>
  <c r="U110" i="1"/>
  <c r="W110" i="1"/>
  <c r="X110" i="1"/>
  <c r="Y110" i="1"/>
  <c r="Z110" i="1"/>
  <c r="AC110" i="1"/>
  <c r="AD110" i="1"/>
  <c r="AE110" i="1"/>
  <c r="AF110" i="1"/>
  <c r="AM110" i="1"/>
  <c r="AQ110" i="1"/>
  <c r="AQ227" i="1" s="1"/>
  <c r="AV110" i="1"/>
  <c r="AV227" i="1" s="1"/>
  <c r="AW110" i="1"/>
  <c r="AX110" i="1"/>
  <c r="AY110" i="1"/>
  <c r="AZ110" i="1"/>
  <c r="BB110" i="1"/>
  <c r="BC110" i="1"/>
  <c r="BD110" i="1"/>
  <c r="BE110" i="1"/>
  <c r="BG110" i="1"/>
  <c r="BH110" i="1"/>
  <c r="BI110" i="1"/>
  <c r="BJ110" i="1"/>
  <c r="BL110" i="1"/>
  <c r="BM110" i="1"/>
  <c r="BN110" i="1"/>
  <c r="BO110" i="1"/>
  <c r="BO227" i="1" s="1"/>
  <c r="BQ110" i="1"/>
  <c r="BR110" i="1"/>
  <c r="BS110" i="1"/>
  <c r="BT110" i="1"/>
  <c r="BV110" i="1"/>
  <c r="BW110" i="1"/>
  <c r="BX110" i="1"/>
  <c r="BY110" i="1"/>
  <c r="CA110" i="1"/>
  <c r="CB110" i="1"/>
  <c r="CC110" i="1"/>
  <c r="CD110" i="1"/>
  <c r="CF110" i="1"/>
  <c r="CG110" i="1"/>
  <c r="CH110" i="1"/>
  <c r="CI110" i="1"/>
  <c r="CK110" i="1"/>
  <c r="CU110" i="1" s="1"/>
  <c r="CL110" i="1"/>
  <c r="CM110" i="1"/>
  <c r="CN110" i="1"/>
  <c r="R111" i="1"/>
  <c r="S111" i="1"/>
  <c r="T111" i="1"/>
  <c r="U111" i="1"/>
  <c r="W111" i="1"/>
  <c r="X111" i="1"/>
  <c r="Y111" i="1"/>
  <c r="Z111" i="1"/>
  <c r="AC111" i="1"/>
  <c r="AD111" i="1"/>
  <c r="AE111" i="1"/>
  <c r="AF111" i="1"/>
  <c r="AH111" i="1"/>
  <c r="AI111" i="1"/>
  <c r="AJ111" i="1"/>
  <c r="AK111" i="1"/>
  <c r="AM111" i="1"/>
  <c r="AN111" i="1"/>
  <c r="AO111" i="1"/>
  <c r="AP111" i="1"/>
  <c r="AR111" i="1"/>
  <c r="AS111" i="1"/>
  <c r="AT111" i="1"/>
  <c r="AU111" i="1"/>
  <c r="AW111" i="1"/>
  <c r="AX111" i="1"/>
  <c r="AY111" i="1"/>
  <c r="AZ111" i="1"/>
  <c r="BB111" i="1"/>
  <c r="BC111" i="1"/>
  <c r="BD111" i="1"/>
  <c r="BE111" i="1"/>
  <c r="BG111" i="1"/>
  <c r="BH111" i="1"/>
  <c r="BI111" i="1"/>
  <c r="BJ111" i="1"/>
  <c r="BL111" i="1"/>
  <c r="BM111" i="1"/>
  <c r="BN111" i="1"/>
  <c r="BO111" i="1"/>
  <c r="BQ111" i="1"/>
  <c r="BR111" i="1"/>
  <c r="BS111" i="1"/>
  <c r="BT111" i="1"/>
  <c r="BV111" i="1"/>
  <c r="BW111" i="1"/>
  <c r="BX111" i="1"/>
  <c r="BY111" i="1"/>
  <c r="CA111" i="1"/>
  <c r="CB111" i="1"/>
  <c r="CC111" i="1"/>
  <c r="CD111" i="1"/>
  <c r="CF111" i="1"/>
  <c r="CG111" i="1"/>
  <c r="CH111" i="1"/>
  <c r="CI111" i="1"/>
  <c r="CK111" i="1"/>
  <c r="CL111" i="1"/>
  <c r="CM111" i="1"/>
  <c r="CN111" i="1"/>
  <c r="R112" i="1"/>
  <c r="S112" i="1"/>
  <c r="T112" i="1"/>
  <c r="U112" i="1"/>
  <c r="W112" i="1"/>
  <c r="X112" i="1"/>
  <c r="Y112" i="1"/>
  <c r="Z112" i="1"/>
  <c r="AC112" i="1"/>
  <c r="AD112" i="1"/>
  <c r="AE112" i="1"/>
  <c r="AF112" i="1"/>
  <c r="AH112" i="1"/>
  <c r="AI112" i="1"/>
  <c r="AJ112" i="1"/>
  <c r="AK112" i="1"/>
  <c r="AM112" i="1"/>
  <c r="AN112" i="1"/>
  <c r="AO112" i="1"/>
  <c r="AP112" i="1"/>
  <c r="AR112" i="1"/>
  <c r="AU112" i="1"/>
  <c r="AW112" i="1"/>
  <c r="AX112" i="1"/>
  <c r="AY112" i="1"/>
  <c r="AZ112" i="1"/>
  <c r="BB112" i="1"/>
  <c r="BC112" i="1"/>
  <c r="BD112" i="1"/>
  <c r="BE112" i="1"/>
  <c r="BG112" i="1"/>
  <c r="BH112" i="1"/>
  <c r="BI112" i="1"/>
  <c r="BJ112" i="1"/>
  <c r="BL112" i="1"/>
  <c r="BM112" i="1"/>
  <c r="BN112" i="1"/>
  <c r="BO112" i="1"/>
  <c r="BQ112" i="1"/>
  <c r="BR112" i="1"/>
  <c r="BS112" i="1"/>
  <c r="BT112" i="1"/>
  <c r="BV112" i="1"/>
  <c r="BW112" i="1"/>
  <c r="BX112" i="1"/>
  <c r="BY112" i="1"/>
  <c r="CA112" i="1"/>
  <c r="CB112" i="1"/>
  <c r="CC112" i="1"/>
  <c r="CD112" i="1"/>
  <c r="CF112" i="1"/>
  <c r="CG112" i="1"/>
  <c r="CH112" i="1"/>
  <c r="CI112" i="1"/>
  <c r="CK112" i="1"/>
  <c r="CL112" i="1"/>
  <c r="CM112" i="1"/>
  <c r="CN112" i="1"/>
  <c r="CR112" i="1"/>
  <c r="CU112" i="1"/>
  <c r="CV112" i="1"/>
  <c r="CW112" i="1"/>
  <c r="CX112" i="1"/>
  <c r="CZ112" i="1"/>
  <c r="DA112" i="1"/>
  <c r="DB112" i="1"/>
  <c r="DC112" i="1"/>
  <c r="R114" i="1"/>
  <c r="S114" i="1"/>
  <c r="T114" i="1"/>
  <c r="U114" i="1"/>
  <c r="W114" i="1"/>
  <c r="X114" i="1"/>
  <c r="Y114" i="1"/>
  <c r="Z114" i="1"/>
  <c r="AC114" i="1"/>
  <c r="AD114" i="1"/>
  <c r="AE114" i="1"/>
  <c r="AF114" i="1"/>
  <c r="AH114" i="1"/>
  <c r="AI114" i="1"/>
  <c r="AJ114" i="1"/>
  <c r="AK114" i="1"/>
  <c r="AM114" i="1"/>
  <c r="AN114" i="1"/>
  <c r="AO114" i="1"/>
  <c r="AP114" i="1"/>
  <c r="AR114" i="1"/>
  <c r="AS114" i="1"/>
  <c r="AT114" i="1"/>
  <c r="AU114" i="1"/>
  <c r="AW114" i="1"/>
  <c r="AX114" i="1"/>
  <c r="AY114" i="1"/>
  <c r="AZ114" i="1"/>
  <c r="BB114" i="1"/>
  <c r="BC114" i="1"/>
  <c r="BD114" i="1"/>
  <c r="BE114" i="1"/>
  <c r="BG114" i="1"/>
  <c r="BH114" i="1"/>
  <c r="BI114" i="1"/>
  <c r="BJ114" i="1"/>
  <c r="BL114" i="1"/>
  <c r="BM114" i="1"/>
  <c r="BN114" i="1"/>
  <c r="BO114" i="1"/>
  <c r="BQ114" i="1"/>
  <c r="BR114" i="1"/>
  <c r="BS114" i="1"/>
  <c r="BT114" i="1"/>
  <c r="BV114" i="1"/>
  <c r="BW114" i="1"/>
  <c r="BX114" i="1"/>
  <c r="BY114" i="1"/>
  <c r="CA114" i="1"/>
  <c r="CB114" i="1"/>
  <c r="CC114" i="1"/>
  <c r="CD114" i="1"/>
  <c r="CF114" i="1"/>
  <c r="CG114" i="1"/>
  <c r="CH114" i="1"/>
  <c r="CI114" i="1"/>
  <c r="CK114" i="1"/>
  <c r="CL114" i="1"/>
  <c r="CM114" i="1"/>
  <c r="CN114" i="1"/>
  <c r="R115" i="1"/>
  <c r="S115" i="1"/>
  <c r="T115" i="1"/>
  <c r="U115" i="1"/>
  <c r="W115" i="1"/>
  <c r="X115" i="1"/>
  <c r="Y115" i="1"/>
  <c r="Z115" i="1"/>
  <c r="AC115" i="1"/>
  <c r="AD115" i="1"/>
  <c r="AE115" i="1"/>
  <c r="AF115" i="1"/>
  <c r="AH115" i="1"/>
  <c r="AI115" i="1"/>
  <c r="AJ115" i="1"/>
  <c r="AK115" i="1"/>
  <c r="AM115" i="1"/>
  <c r="AN115" i="1"/>
  <c r="AO115" i="1"/>
  <c r="AP115" i="1"/>
  <c r="AR115" i="1"/>
  <c r="AS115" i="1"/>
  <c r="AT115" i="1"/>
  <c r="AU115" i="1"/>
  <c r="AW115" i="1"/>
  <c r="AX115" i="1"/>
  <c r="AY115" i="1"/>
  <c r="AZ115" i="1"/>
  <c r="BB115" i="1"/>
  <c r="BC115" i="1"/>
  <c r="BD115" i="1"/>
  <c r="BE115" i="1"/>
  <c r="BG115" i="1"/>
  <c r="BH115" i="1"/>
  <c r="BI115" i="1"/>
  <c r="BJ115" i="1"/>
  <c r="BL115" i="1"/>
  <c r="BM115" i="1"/>
  <c r="BN115" i="1"/>
  <c r="BO115" i="1"/>
  <c r="BQ115" i="1"/>
  <c r="BR115" i="1"/>
  <c r="BS115" i="1"/>
  <c r="BT115" i="1"/>
  <c r="BV115" i="1"/>
  <c r="BW115" i="1"/>
  <c r="BX115" i="1"/>
  <c r="BY115" i="1"/>
  <c r="CA115" i="1"/>
  <c r="CB115" i="1"/>
  <c r="CC115" i="1"/>
  <c r="CD115" i="1"/>
  <c r="CF115" i="1"/>
  <c r="CG115" i="1"/>
  <c r="CH115" i="1"/>
  <c r="CI115" i="1"/>
  <c r="CK115" i="1"/>
  <c r="CL115" i="1"/>
  <c r="CM115" i="1"/>
  <c r="CN115" i="1"/>
  <c r="R116" i="1"/>
  <c r="S116" i="1"/>
  <c r="T116" i="1"/>
  <c r="U116" i="1"/>
  <c r="W116" i="1"/>
  <c r="X116" i="1"/>
  <c r="Y116" i="1"/>
  <c r="Z116" i="1"/>
  <c r="AC116" i="1"/>
  <c r="AD116" i="1"/>
  <c r="AE116" i="1"/>
  <c r="AF116" i="1"/>
  <c r="AH116" i="1"/>
  <c r="AI116" i="1"/>
  <c r="AJ116" i="1"/>
  <c r="AK116" i="1"/>
  <c r="AO116" i="1"/>
  <c r="AP116" i="1"/>
  <c r="AR116" i="1"/>
  <c r="AS116" i="1"/>
  <c r="AT116" i="1"/>
  <c r="AU116" i="1"/>
  <c r="AW116" i="1"/>
  <c r="AX116" i="1"/>
  <c r="AY116" i="1"/>
  <c r="AZ116" i="1"/>
  <c r="BB116" i="1"/>
  <c r="BC116" i="1"/>
  <c r="BD116" i="1"/>
  <c r="BE116" i="1"/>
  <c r="BG116" i="1"/>
  <c r="BH116" i="1"/>
  <c r="BI116" i="1"/>
  <c r="BJ116" i="1"/>
  <c r="BL116" i="1"/>
  <c r="BM116" i="1"/>
  <c r="BN116" i="1"/>
  <c r="BO116" i="1"/>
  <c r="BR116" i="1"/>
  <c r="BS116" i="1"/>
  <c r="BT116" i="1"/>
  <c r="BV116" i="1"/>
  <c r="BW116" i="1"/>
  <c r="BX116" i="1"/>
  <c r="BY116" i="1"/>
  <c r="CC116" i="1"/>
  <c r="CD116" i="1"/>
  <c r="CH116" i="1"/>
  <c r="CI116" i="1"/>
  <c r="CK116" i="1"/>
  <c r="CL116" i="1"/>
  <c r="CM116" i="1"/>
  <c r="CN116" i="1"/>
  <c r="R117" i="1"/>
  <c r="S117" i="1"/>
  <c r="T117" i="1"/>
  <c r="U117" i="1"/>
  <c r="W117" i="1"/>
  <c r="X117" i="1"/>
  <c r="Y117" i="1"/>
  <c r="Z117" i="1"/>
  <c r="AC117" i="1"/>
  <c r="AD117" i="1"/>
  <c r="AE117" i="1"/>
  <c r="AF117" i="1"/>
  <c r="AH117" i="1"/>
  <c r="AI117" i="1"/>
  <c r="AJ117" i="1"/>
  <c r="AK117" i="1"/>
  <c r="AM117" i="1"/>
  <c r="AN117" i="1"/>
  <c r="AO117" i="1"/>
  <c r="AP117" i="1"/>
  <c r="AR117" i="1"/>
  <c r="AS117" i="1"/>
  <c r="AT117" i="1"/>
  <c r="AU117" i="1"/>
  <c r="AW117" i="1"/>
  <c r="AX117" i="1"/>
  <c r="AY117" i="1"/>
  <c r="AZ117" i="1"/>
  <c r="BB117" i="1"/>
  <c r="BC117" i="1"/>
  <c r="BD117" i="1"/>
  <c r="BE117" i="1"/>
  <c r="BG117" i="1"/>
  <c r="BH117" i="1"/>
  <c r="BI117" i="1"/>
  <c r="BJ117" i="1"/>
  <c r="BL117" i="1"/>
  <c r="BM117" i="1"/>
  <c r="BN117" i="1"/>
  <c r="BO117" i="1"/>
  <c r="BQ117" i="1"/>
  <c r="BR117" i="1"/>
  <c r="BS117" i="1"/>
  <c r="BT117" i="1"/>
  <c r="BV117" i="1"/>
  <c r="BW117" i="1"/>
  <c r="BX117" i="1"/>
  <c r="BY117" i="1"/>
  <c r="CA117" i="1"/>
  <c r="CB117" i="1"/>
  <c r="CC117" i="1"/>
  <c r="CD117" i="1"/>
  <c r="CF117" i="1"/>
  <c r="CG117" i="1"/>
  <c r="CH117" i="1"/>
  <c r="CI117" i="1"/>
  <c r="CK117" i="1"/>
  <c r="CL117" i="1"/>
  <c r="CM117" i="1"/>
  <c r="CN117" i="1"/>
  <c r="C119" i="1"/>
  <c r="D119" i="1"/>
  <c r="D318" i="1" s="1"/>
  <c r="E119" i="1"/>
  <c r="E318" i="1" s="1"/>
  <c r="F119" i="1"/>
  <c r="F318" i="1" s="1"/>
  <c r="G119" i="1"/>
  <c r="G318" i="1" s="1"/>
  <c r="H119" i="1"/>
  <c r="H318" i="1" s="1"/>
  <c r="I119" i="1"/>
  <c r="I318" i="1" s="1"/>
  <c r="J119" i="1"/>
  <c r="J318" i="1" s="1"/>
  <c r="K119" i="1"/>
  <c r="K318" i="1" s="1"/>
  <c r="L119" i="1"/>
  <c r="L318" i="1" s="1"/>
  <c r="M119" i="1"/>
  <c r="M318" i="1" s="1"/>
  <c r="N119" i="1"/>
  <c r="N318" i="1" s="1"/>
  <c r="O119" i="1"/>
  <c r="O318" i="1" s="1"/>
  <c r="P119" i="1"/>
  <c r="P318" i="1" s="1"/>
  <c r="Q119" i="1"/>
  <c r="Q318" i="1" s="1"/>
  <c r="V119" i="1"/>
  <c r="V318" i="1" s="1"/>
  <c r="AA119" i="1"/>
  <c r="AA318" i="1" s="1"/>
  <c r="AG119" i="1"/>
  <c r="AG318" i="1" s="1"/>
  <c r="AL119" i="1"/>
  <c r="AL318" i="1" s="1"/>
  <c r="AQ119" i="1"/>
  <c r="AQ318" i="1" s="1"/>
  <c r="AV119" i="1"/>
  <c r="AV318" i="1" s="1"/>
  <c r="BA119" i="1"/>
  <c r="BA318" i="1" s="1"/>
  <c r="BF119" i="1"/>
  <c r="BF318" i="1" s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V120" i="1"/>
  <c r="AA120" i="1"/>
  <c r="AG120" i="1"/>
  <c r="AH120" i="1"/>
  <c r="AM120" i="1"/>
  <c r="AN120" i="1"/>
  <c r="AO120" i="1"/>
  <c r="AP120" i="1"/>
  <c r="AQ120" i="1"/>
  <c r="AR120" i="1"/>
  <c r="AS120" i="1"/>
  <c r="AV120" i="1"/>
  <c r="BA120" i="1"/>
  <c r="BF120" i="1"/>
  <c r="CA120" i="1"/>
  <c r="CF120" i="1"/>
  <c r="DD120" i="1"/>
  <c r="R124" i="1"/>
  <c r="S124" i="1"/>
  <c r="S231" i="1" s="1"/>
  <c r="V124" i="1"/>
  <c r="V231" i="1" s="1"/>
  <c r="AA124" i="1"/>
  <c r="AA231" i="1" s="1"/>
  <c r="AC124" i="1"/>
  <c r="AD124" i="1"/>
  <c r="AD231" i="1" s="1"/>
  <c r="AE124" i="1"/>
  <c r="AF124" i="1"/>
  <c r="AH124" i="1"/>
  <c r="AL124" i="1"/>
  <c r="AQ124" i="1"/>
  <c r="AR124" i="1"/>
  <c r="AS124" i="1"/>
  <c r="AS231" i="1" s="1"/>
  <c r="AT124" i="1"/>
  <c r="AT231" i="1" s="1"/>
  <c r="AV124" i="1"/>
  <c r="AV231" i="1" s="1"/>
  <c r="BB124" i="1"/>
  <c r="BE124" i="1"/>
  <c r="BE231" i="1" s="1"/>
  <c r="BG124" i="1"/>
  <c r="BG231" i="1" s="1"/>
  <c r="BL124" i="1"/>
  <c r="BL231" i="1" s="1"/>
  <c r="BM124" i="1"/>
  <c r="BM231" i="1" s="1"/>
  <c r="BN124" i="1"/>
  <c r="BN231" i="1" s="1"/>
  <c r="BO124" i="1"/>
  <c r="BO231" i="1" s="1"/>
  <c r="BQ124" i="1"/>
  <c r="BQ231" i="1" s="1"/>
  <c r="BR124" i="1"/>
  <c r="BR231" i="1" s="1"/>
  <c r="BS124" i="1"/>
  <c r="BS231" i="1" s="1"/>
  <c r="BT124" i="1"/>
  <c r="BT231" i="1" s="1"/>
  <c r="BV124" i="1"/>
  <c r="BV231" i="1" s="1"/>
  <c r="BW124" i="1"/>
  <c r="BW231" i="1" s="1"/>
  <c r="BX124" i="1"/>
  <c r="BX231" i="1" s="1"/>
  <c r="BY124" i="1"/>
  <c r="BY231" i="1" s="1"/>
  <c r="CA124" i="1"/>
  <c r="CA231" i="1" s="1"/>
  <c r="CB124" i="1"/>
  <c r="CB231" i="1" s="1"/>
  <c r="CC124" i="1"/>
  <c r="CC231" i="1" s="1"/>
  <c r="CD124" i="1"/>
  <c r="CD231" i="1" s="1"/>
  <c r="CF124" i="1"/>
  <c r="CF231" i="1" s="1"/>
  <c r="CG124" i="1"/>
  <c r="CG231" i="1" s="1"/>
  <c r="CH124" i="1"/>
  <c r="CH231" i="1" s="1"/>
  <c r="CI124" i="1"/>
  <c r="CI231" i="1" s="1"/>
  <c r="CK124" i="1"/>
  <c r="CK231" i="1" s="1"/>
  <c r="CL124" i="1"/>
  <c r="CL231" i="1" s="1"/>
  <c r="CM124" i="1"/>
  <c r="CM231" i="1" s="1"/>
  <c r="CN124" i="1"/>
  <c r="R125" i="1"/>
  <c r="S125" i="1"/>
  <c r="T125" i="1"/>
  <c r="U125" i="1"/>
  <c r="W125" i="1"/>
  <c r="X125" i="1"/>
  <c r="Y125" i="1"/>
  <c r="Z125" i="1"/>
  <c r="AC125" i="1"/>
  <c r="AD125" i="1"/>
  <c r="AE125" i="1"/>
  <c r="AF125" i="1"/>
  <c r="AH125" i="1"/>
  <c r="AI125" i="1"/>
  <c r="AJ125" i="1"/>
  <c r="AK125" i="1"/>
  <c r="AM125" i="1"/>
  <c r="AN125" i="1"/>
  <c r="AO125" i="1"/>
  <c r="AP125" i="1"/>
  <c r="AR125" i="1"/>
  <c r="AS125" i="1"/>
  <c r="AT125" i="1"/>
  <c r="AU125" i="1"/>
  <c r="AW125" i="1"/>
  <c r="AX125" i="1"/>
  <c r="AY125" i="1"/>
  <c r="AZ125" i="1"/>
  <c r="BB125" i="1"/>
  <c r="BC125" i="1"/>
  <c r="BD125" i="1"/>
  <c r="BE125" i="1"/>
  <c r="BG125" i="1"/>
  <c r="BH125" i="1"/>
  <c r="BI125" i="1"/>
  <c r="BJ125" i="1"/>
  <c r="BL125" i="1"/>
  <c r="BM125" i="1"/>
  <c r="BN125" i="1"/>
  <c r="BO125" i="1"/>
  <c r="BQ125" i="1"/>
  <c r="BR125" i="1"/>
  <c r="BS125" i="1"/>
  <c r="BT125" i="1"/>
  <c r="BV125" i="1"/>
  <c r="BW125" i="1"/>
  <c r="BX125" i="1"/>
  <c r="BY125" i="1"/>
  <c r="CA125" i="1"/>
  <c r="CB125" i="1"/>
  <c r="CC125" i="1"/>
  <c r="CD125" i="1"/>
  <c r="CF125" i="1"/>
  <c r="CG125" i="1"/>
  <c r="CH125" i="1"/>
  <c r="CI125" i="1"/>
  <c r="CK125" i="1"/>
  <c r="CL125" i="1"/>
  <c r="CM125" i="1"/>
  <c r="CN125" i="1"/>
  <c r="CT125" i="1"/>
  <c r="CY125" i="1"/>
  <c r="DD125" i="1"/>
  <c r="C126" i="1"/>
  <c r="C128" i="1" s="1"/>
  <c r="D126" i="1"/>
  <c r="D128" i="1" s="1"/>
  <c r="E126" i="1"/>
  <c r="E128" i="1" s="1"/>
  <c r="F126" i="1"/>
  <c r="F128" i="1" s="1"/>
  <c r="G126" i="1"/>
  <c r="G128" i="1" s="1"/>
  <c r="H126" i="1"/>
  <c r="H128" i="1" s="1"/>
  <c r="I126" i="1"/>
  <c r="I128" i="1" s="1"/>
  <c r="J126" i="1"/>
  <c r="J128" i="1" s="1"/>
  <c r="K126" i="1"/>
  <c r="K128" i="1" s="1"/>
  <c r="L126" i="1"/>
  <c r="L128" i="1" s="1"/>
  <c r="M126" i="1"/>
  <c r="M128" i="1" s="1"/>
  <c r="N126" i="1"/>
  <c r="N128" i="1" s="1"/>
  <c r="O126" i="1"/>
  <c r="O128" i="1" s="1"/>
  <c r="P126" i="1"/>
  <c r="P128" i="1" s="1"/>
  <c r="Q126" i="1"/>
  <c r="Q128" i="1" s="1"/>
  <c r="V126" i="1"/>
  <c r="AA126" i="1"/>
  <c r="AL126" i="1"/>
  <c r="AQ126" i="1"/>
  <c r="AV126" i="1"/>
  <c r="BA126" i="1"/>
  <c r="BA128" i="1" s="1"/>
  <c r="BF126" i="1"/>
  <c r="BF128" i="1" s="1"/>
  <c r="CT126" i="1"/>
  <c r="CY126" i="1"/>
  <c r="DD126" i="1"/>
  <c r="CV128" i="1"/>
  <c r="DA128" i="1"/>
  <c r="C130" i="1"/>
  <c r="C136" i="1" s="1"/>
  <c r="D130" i="1"/>
  <c r="D136" i="1" s="1"/>
  <c r="E130" i="1"/>
  <c r="E136" i="1" s="1"/>
  <c r="F130" i="1"/>
  <c r="F136" i="1" s="1"/>
  <c r="G130" i="1"/>
  <c r="G136" i="1" s="1"/>
  <c r="H130" i="1"/>
  <c r="H136" i="1" s="1"/>
  <c r="I130" i="1"/>
  <c r="I136" i="1" s="1"/>
  <c r="J130" i="1"/>
  <c r="J136" i="1" s="1"/>
  <c r="K130" i="1"/>
  <c r="K136" i="1" s="1"/>
  <c r="L130" i="1"/>
  <c r="L136" i="1" s="1"/>
  <c r="M130" i="1"/>
  <c r="M136" i="1" s="1"/>
  <c r="N130" i="1"/>
  <c r="O130" i="1"/>
  <c r="O136" i="1" s="1"/>
  <c r="P130" i="1"/>
  <c r="P136" i="1" s="1"/>
  <c r="Q130" i="1"/>
  <c r="Q136" i="1" s="1"/>
  <c r="V130" i="1"/>
  <c r="V136" i="1" s="1"/>
  <c r="AA130" i="1"/>
  <c r="AA136" i="1" s="1"/>
  <c r="AG130" i="1"/>
  <c r="AL130" i="1"/>
  <c r="AQ130" i="1"/>
  <c r="AV130" i="1"/>
  <c r="BA130" i="1"/>
  <c r="BF130" i="1"/>
  <c r="BF136" i="1" s="1"/>
  <c r="BN130" i="1"/>
  <c r="BV130" i="1"/>
  <c r="BW130" i="1"/>
  <c r="BX130" i="1"/>
  <c r="BY130" i="1"/>
  <c r="CA130" i="1"/>
  <c r="CB130" i="1"/>
  <c r="CC130" i="1"/>
  <c r="CF130" i="1"/>
  <c r="CG130" i="1"/>
  <c r="CH130" i="1"/>
  <c r="CI130" i="1"/>
  <c r="CK130" i="1"/>
  <c r="CL130" i="1"/>
  <c r="CM130" i="1"/>
  <c r="CT130" i="1"/>
  <c r="CY130" i="1"/>
  <c r="DD130" i="1"/>
  <c r="N131" i="1"/>
  <c r="R131" i="1"/>
  <c r="S131" i="1"/>
  <c r="T131" i="1"/>
  <c r="U131" i="1"/>
  <c r="W131" i="1"/>
  <c r="X131" i="1"/>
  <c r="Y131" i="1"/>
  <c r="Z131" i="1"/>
  <c r="AC131" i="1"/>
  <c r="AD131" i="1"/>
  <c r="AE131" i="1"/>
  <c r="AF131" i="1"/>
  <c r="AH131" i="1"/>
  <c r="AI131" i="1"/>
  <c r="AJ131" i="1"/>
  <c r="AK131" i="1"/>
  <c r="AM131" i="1"/>
  <c r="AN131" i="1"/>
  <c r="AO131" i="1"/>
  <c r="AP131" i="1"/>
  <c r="AR131" i="1"/>
  <c r="AS131" i="1"/>
  <c r="AT131" i="1"/>
  <c r="AU131" i="1"/>
  <c r="AW131" i="1"/>
  <c r="AX131" i="1"/>
  <c r="AY131" i="1"/>
  <c r="AZ131" i="1"/>
  <c r="BB131" i="1"/>
  <c r="BC131" i="1"/>
  <c r="BD131" i="1"/>
  <c r="BE131" i="1"/>
  <c r="BG131" i="1"/>
  <c r="BH131" i="1"/>
  <c r="BI131" i="1"/>
  <c r="BJ131" i="1"/>
  <c r="BL131" i="1"/>
  <c r="BM131" i="1"/>
  <c r="BN131" i="1"/>
  <c r="BO131" i="1"/>
  <c r="BQ131" i="1"/>
  <c r="BR131" i="1"/>
  <c r="BS131" i="1"/>
  <c r="BT131" i="1"/>
  <c r="BV131" i="1"/>
  <c r="BW131" i="1"/>
  <c r="BX131" i="1"/>
  <c r="BY131" i="1"/>
  <c r="CA131" i="1"/>
  <c r="CB131" i="1"/>
  <c r="CC131" i="1"/>
  <c r="CD131" i="1"/>
  <c r="CF131" i="1"/>
  <c r="CG131" i="1"/>
  <c r="CH131" i="1"/>
  <c r="CI131" i="1"/>
  <c r="CK131" i="1"/>
  <c r="CL131" i="1"/>
  <c r="CM131" i="1"/>
  <c r="CN131" i="1"/>
  <c r="CT131" i="1"/>
  <c r="CY131" i="1"/>
  <c r="DD131" i="1"/>
  <c r="R132" i="1"/>
  <c r="S132" i="1"/>
  <c r="T132" i="1"/>
  <c r="U132" i="1"/>
  <c r="W132" i="1"/>
  <c r="X132" i="1"/>
  <c r="Y132" i="1"/>
  <c r="Z132" i="1"/>
  <c r="AC132" i="1"/>
  <c r="AD132" i="1"/>
  <c r="AG132" i="1"/>
  <c r="AL132" i="1"/>
  <c r="AQ132" i="1"/>
  <c r="AR132" i="1"/>
  <c r="AV132" i="1"/>
  <c r="BA132" i="1"/>
  <c r="BB132" i="1"/>
  <c r="BC132" i="1"/>
  <c r="BG132" i="1"/>
  <c r="BH132" i="1"/>
  <c r="BL132" i="1"/>
  <c r="BM132" i="1"/>
  <c r="BN132" i="1"/>
  <c r="BO132" i="1"/>
  <c r="BQ132" i="1"/>
  <c r="BR132" i="1"/>
  <c r="BS132" i="1"/>
  <c r="BT132" i="1"/>
  <c r="BV132" i="1"/>
  <c r="BW132" i="1"/>
  <c r="BX132" i="1"/>
  <c r="BY132" i="1"/>
  <c r="CA132" i="1"/>
  <c r="CB132" i="1"/>
  <c r="CC132" i="1"/>
  <c r="CD132" i="1"/>
  <c r="CF132" i="1"/>
  <c r="CG132" i="1"/>
  <c r="CH132" i="1"/>
  <c r="CI132" i="1"/>
  <c r="CK132" i="1"/>
  <c r="CL132" i="1"/>
  <c r="CM132" i="1"/>
  <c r="CN132" i="1"/>
  <c r="CT132" i="1"/>
  <c r="CY132" i="1"/>
  <c r="DD132" i="1"/>
  <c r="R133" i="1"/>
  <c r="S133" i="1"/>
  <c r="T133" i="1"/>
  <c r="U133" i="1"/>
  <c r="W133" i="1"/>
  <c r="X133" i="1"/>
  <c r="Y133" i="1"/>
  <c r="Z133" i="1"/>
  <c r="AC133" i="1"/>
  <c r="AD133" i="1"/>
  <c r="AE133" i="1"/>
  <c r="AF133" i="1"/>
  <c r="AH133" i="1"/>
  <c r="AI133" i="1"/>
  <c r="AJ133" i="1"/>
  <c r="AK133" i="1"/>
  <c r="AM133" i="1"/>
  <c r="AN133" i="1"/>
  <c r="AO133" i="1"/>
  <c r="AP133" i="1"/>
  <c r="AR133" i="1"/>
  <c r="AS133" i="1"/>
  <c r="AT133" i="1"/>
  <c r="AU133" i="1"/>
  <c r="AW133" i="1"/>
  <c r="AZ133" i="1"/>
  <c r="BB133" i="1"/>
  <c r="BC133" i="1"/>
  <c r="BD133" i="1"/>
  <c r="BE133" i="1"/>
  <c r="BG133" i="1"/>
  <c r="BH133" i="1"/>
  <c r="BI133" i="1"/>
  <c r="BJ133" i="1"/>
  <c r="BL133" i="1"/>
  <c r="BM133" i="1"/>
  <c r="BN133" i="1"/>
  <c r="BO133" i="1"/>
  <c r="BQ133" i="1"/>
  <c r="BR133" i="1"/>
  <c r="BS133" i="1"/>
  <c r="BT133" i="1"/>
  <c r="BV133" i="1"/>
  <c r="BW133" i="1"/>
  <c r="BX133" i="1"/>
  <c r="BY133" i="1"/>
  <c r="CA133" i="1"/>
  <c r="CB133" i="1"/>
  <c r="CC133" i="1"/>
  <c r="CD133" i="1"/>
  <c r="CF133" i="1"/>
  <c r="CG133" i="1"/>
  <c r="CH133" i="1"/>
  <c r="CI133" i="1"/>
  <c r="CK133" i="1"/>
  <c r="CL133" i="1"/>
  <c r="CM133" i="1"/>
  <c r="CN133" i="1"/>
  <c r="R134" i="1"/>
  <c r="S134" i="1"/>
  <c r="T134" i="1"/>
  <c r="W134" i="1"/>
  <c r="X134" i="1"/>
  <c r="AC134" i="1"/>
  <c r="AF134" i="1"/>
  <c r="AH134" i="1"/>
  <c r="AI134" i="1"/>
  <c r="AJ134" i="1"/>
  <c r="AL134" i="1"/>
  <c r="AM134" i="1"/>
  <c r="AN134" i="1"/>
  <c r="AO134" i="1"/>
  <c r="AP134" i="1"/>
  <c r="AQ134" i="1"/>
  <c r="AT134" i="1"/>
  <c r="AU134" i="1"/>
  <c r="AW134" i="1"/>
  <c r="BD134" i="1"/>
  <c r="BE134" i="1"/>
  <c r="BG134" i="1"/>
  <c r="BH134" i="1"/>
  <c r="BI134" i="1"/>
  <c r="BL134" i="1"/>
  <c r="BM134" i="1"/>
  <c r="BN134" i="1"/>
  <c r="BO134" i="1"/>
  <c r="BQ134" i="1"/>
  <c r="BR134" i="1"/>
  <c r="BS134" i="1"/>
  <c r="BV134" i="1"/>
  <c r="BW134" i="1"/>
  <c r="BX134" i="1"/>
  <c r="BY134" i="1"/>
  <c r="CA134" i="1"/>
  <c r="CB134" i="1"/>
  <c r="CC134" i="1"/>
  <c r="CD134" i="1"/>
  <c r="CF134" i="1"/>
  <c r="CG134" i="1"/>
  <c r="CH134" i="1"/>
  <c r="CI134" i="1"/>
  <c r="CK134" i="1"/>
  <c r="CL134" i="1"/>
  <c r="CM134" i="1"/>
  <c r="CN134" i="1"/>
  <c r="CT134" i="1"/>
  <c r="CY134" i="1"/>
  <c r="DD134" i="1"/>
  <c r="F137" i="1"/>
  <c r="R137" i="1"/>
  <c r="S137" i="1"/>
  <c r="T137" i="1"/>
  <c r="U137" i="1"/>
  <c r="W137" i="1"/>
  <c r="X137" i="1"/>
  <c r="Y137" i="1"/>
  <c r="Z137" i="1"/>
  <c r="AC137" i="1"/>
  <c r="AD137" i="1"/>
  <c r="AE137" i="1"/>
  <c r="AF137" i="1"/>
  <c r="AH137" i="1"/>
  <c r="AK137" i="1"/>
  <c r="AM137" i="1"/>
  <c r="AN137" i="1"/>
  <c r="AO137" i="1"/>
  <c r="AP137" i="1"/>
  <c r="AR137" i="1"/>
  <c r="AS137" i="1"/>
  <c r="AT137" i="1"/>
  <c r="AU137" i="1"/>
  <c r="AW137" i="1"/>
  <c r="AX137" i="1"/>
  <c r="AY137" i="1"/>
  <c r="AZ137" i="1"/>
  <c r="BB137" i="1"/>
  <c r="BC137" i="1"/>
  <c r="BD137" i="1"/>
  <c r="BE137" i="1"/>
  <c r="BG137" i="1"/>
  <c r="BH137" i="1"/>
  <c r="BI137" i="1"/>
  <c r="BJ137" i="1"/>
  <c r="BL137" i="1"/>
  <c r="BM137" i="1"/>
  <c r="BN137" i="1"/>
  <c r="BO137" i="1"/>
  <c r="BQ137" i="1"/>
  <c r="BR137" i="1"/>
  <c r="BS137" i="1"/>
  <c r="BT137" i="1"/>
  <c r="BV137" i="1"/>
  <c r="BW137" i="1"/>
  <c r="BX137" i="1"/>
  <c r="BY137" i="1"/>
  <c r="CA137" i="1"/>
  <c r="CB137" i="1"/>
  <c r="CC137" i="1"/>
  <c r="CD137" i="1"/>
  <c r="CF137" i="1"/>
  <c r="CG137" i="1"/>
  <c r="CH137" i="1"/>
  <c r="CI137" i="1"/>
  <c r="CK137" i="1"/>
  <c r="CL137" i="1"/>
  <c r="CM137" i="1"/>
  <c r="CN137" i="1"/>
  <c r="CT137" i="1"/>
  <c r="CY137" i="1"/>
  <c r="DD137" i="1"/>
  <c r="AL141" i="1"/>
  <c r="R146" i="1"/>
  <c r="S146" i="1" s="1"/>
  <c r="T146" i="1" s="1"/>
  <c r="U146" i="1" s="1"/>
  <c r="W146" i="1"/>
  <c r="X146" i="1" s="1"/>
  <c r="Y146" i="1" s="1"/>
  <c r="Z146" i="1" s="1"/>
  <c r="AH146" i="1"/>
  <c r="AI146" i="1" s="1"/>
  <c r="AJ146" i="1" s="1"/>
  <c r="AK146" i="1" s="1"/>
  <c r="AM146" i="1"/>
  <c r="AN146" i="1" s="1"/>
  <c r="AO146" i="1" s="1"/>
  <c r="AP146" i="1" s="1"/>
  <c r="AR146" i="1"/>
  <c r="AS146" i="1" s="1"/>
  <c r="AT146" i="1" s="1"/>
  <c r="AU146" i="1" s="1"/>
  <c r="AW146" i="1"/>
  <c r="AX146" i="1" s="1"/>
  <c r="AY146" i="1" s="1"/>
  <c r="AZ146" i="1" s="1"/>
  <c r="BB146" i="1"/>
  <c r="BC146" i="1" s="1"/>
  <c r="BG146" i="1"/>
  <c r="BH146" i="1" s="1"/>
  <c r="BI146" i="1" s="1"/>
  <c r="BJ146" i="1" s="1"/>
  <c r="BL146" i="1"/>
  <c r="BM146" i="1" s="1"/>
  <c r="BQ146" i="1"/>
  <c r="BR146" i="1" s="1"/>
  <c r="BS146" i="1" s="1"/>
  <c r="BT146" i="1" s="1"/>
  <c r="BT148" i="1" s="1"/>
  <c r="BV146" i="1"/>
  <c r="BW146" i="1" s="1"/>
  <c r="BX146" i="1" s="1"/>
  <c r="BY146" i="1" s="1"/>
  <c r="BY148" i="1" s="1"/>
  <c r="CA146" i="1"/>
  <c r="CB146" i="1" s="1"/>
  <c r="CC146" i="1" s="1"/>
  <c r="CD146" i="1" s="1"/>
  <c r="CF146" i="1"/>
  <c r="CG146" i="1" s="1"/>
  <c r="CK146" i="1"/>
  <c r="CL146" i="1" s="1"/>
  <c r="CM146" i="1" s="1"/>
  <c r="CN146" i="1" s="1"/>
  <c r="AH149" i="1"/>
  <c r="AJ149" i="1"/>
  <c r="AJ110" i="1" s="1"/>
  <c r="AJ227" i="1" s="1"/>
  <c r="AK149" i="1"/>
  <c r="AN149" i="1"/>
  <c r="AN110" i="1" s="1"/>
  <c r="AO149" i="1"/>
  <c r="AP149" i="1"/>
  <c r="AR149" i="1"/>
  <c r="AR110" i="1" s="1"/>
  <c r="AS149" i="1"/>
  <c r="AU149" i="1"/>
  <c r="AU110" i="1" s="1"/>
  <c r="AS151" i="1"/>
  <c r="AM155" i="1"/>
  <c r="AM158" i="1" s="1"/>
  <c r="CA155" i="1"/>
  <c r="CF155" i="1"/>
  <c r="CF158" i="1" s="1"/>
  <c r="R158" i="1"/>
  <c r="S158" i="1"/>
  <c r="T158" i="1"/>
  <c r="U158" i="1"/>
  <c r="W158" i="1"/>
  <c r="X158" i="1"/>
  <c r="Y158" i="1"/>
  <c r="Z158" i="1"/>
  <c r="AC158" i="1"/>
  <c r="AD158" i="1"/>
  <c r="AE158" i="1"/>
  <c r="AF158" i="1"/>
  <c r="AH158" i="1"/>
  <c r="AI158" i="1"/>
  <c r="AJ158" i="1"/>
  <c r="AK158" i="1"/>
  <c r="AN158" i="1"/>
  <c r="AO158" i="1"/>
  <c r="AP158" i="1"/>
  <c r="AR158" i="1"/>
  <c r="AS158" i="1"/>
  <c r="AT158" i="1"/>
  <c r="AU158" i="1"/>
  <c r="AW158" i="1"/>
  <c r="AX158" i="1"/>
  <c r="AY158" i="1"/>
  <c r="AZ158" i="1"/>
  <c r="BB158" i="1"/>
  <c r="BC158" i="1"/>
  <c r="BD158" i="1"/>
  <c r="BE158" i="1"/>
  <c r="BG158" i="1"/>
  <c r="BH158" i="1"/>
  <c r="BI158" i="1"/>
  <c r="BJ158" i="1"/>
  <c r="BL158" i="1"/>
  <c r="BM158" i="1"/>
  <c r="BN158" i="1"/>
  <c r="BO158" i="1"/>
  <c r="BQ158" i="1"/>
  <c r="BR158" i="1"/>
  <c r="BS158" i="1"/>
  <c r="BT158" i="1"/>
  <c r="BV158" i="1"/>
  <c r="BW158" i="1"/>
  <c r="BX158" i="1"/>
  <c r="BY158" i="1"/>
  <c r="CB158" i="1"/>
  <c r="CC158" i="1"/>
  <c r="CD158" i="1"/>
  <c r="CG158" i="1"/>
  <c r="CH158" i="1"/>
  <c r="CI158" i="1"/>
  <c r="CK158" i="1"/>
  <c r="CL158" i="1"/>
  <c r="CM158" i="1"/>
  <c r="CN158" i="1"/>
  <c r="R159" i="1"/>
  <c r="R120" i="1" s="1"/>
  <c r="S159" i="1"/>
  <c r="T159" i="1"/>
  <c r="U159" i="1"/>
  <c r="W159" i="1"/>
  <c r="W120" i="1" s="1"/>
  <c r="X159" i="1"/>
  <c r="Y159" i="1"/>
  <c r="Z159" i="1"/>
  <c r="AC159" i="1"/>
  <c r="AC120" i="1" s="1"/>
  <c r="AD159" i="1"/>
  <c r="AE159" i="1"/>
  <c r="AF159" i="1"/>
  <c r="AI159" i="1"/>
  <c r="AI120" i="1" s="1"/>
  <c r="AJ159" i="1"/>
  <c r="AK120" i="1" s="1"/>
  <c r="AT159" i="1"/>
  <c r="AW159" i="1"/>
  <c r="AW120" i="1" s="1"/>
  <c r="AX159" i="1"/>
  <c r="AY159" i="1"/>
  <c r="AZ159" i="1"/>
  <c r="BB159" i="1"/>
  <c r="BB120" i="1" s="1"/>
  <c r="BC159" i="1"/>
  <c r="BD159" i="1"/>
  <c r="BE159" i="1"/>
  <c r="BG159" i="1"/>
  <c r="BG120" i="1" s="1"/>
  <c r="BH159" i="1"/>
  <c r="BI159" i="1"/>
  <c r="BJ159" i="1"/>
  <c r="BL159" i="1"/>
  <c r="BL120" i="1" s="1"/>
  <c r="BM159" i="1"/>
  <c r="BN159" i="1"/>
  <c r="BO159" i="1"/>
  <c r="BQ159" i="1"/>
  <c r="BQ120" i="1" s="1"/>
  <c r="BR159" i="1"/>
  <c r="BS159" i="1"/>
  <c r="BT159" i="1"/>
  <c r="BV159" i="1"/>
  <c r="BV120" i="1" s="1"/>
  <c r="BW159" i="1"/>
  <c r="BX159" i="1"/>
  <c r="BY159" i="1"/>
  <c r="CB159" i="1"/>
  <c r="CB120" i="1" s="1"/>
  <c r="CC159" i="1"/>
  <c r="CD159" i="1"/>
  <c r="CG159" i="1"/>
  <c r="CG120" i="1" s="1"/>
  <c r="CH159" i="1"/>
  <c r="CI159" i="1"/>
  <c r="CK159" i="1"/>
  <c r="CK120" i="1" s="1"/>
  <c r="CL159" i="1"/>
  <c r="CM159" i="1"/>
  <c r="CN159" i="1"/>
  <c r="T163" i="1"/>
  <c r="U163" i="1"/>
  <c r="W163" i="1"/>
  <c r="W124" i="1" s="1"/>
  <c r="X163" i="1"/>
  <c r="Y163" i="1"/>
  <c r="Z163" i="1"/>
  <c r="AI163" i="1"/>
  <c r="AJ163" i="1"/>
  <c r="AK163" i="1"/>
  <c r="AM163" i="1"/>
  <c r="AM124" i="1" s="1"/>
  <c r="AN163" i="1"/>
  <c r="AO163" i="1"/>
  <c r="AP163" i="1"/>
  <c r="AU163" i="1"/>
  <c r="AU124" i="1" s="1"/>
  <c r="AU231" i="1" s="1"/>
  <c r="AW163" i="1"/>
  <c r="AW124" i="1" s="1"/>
  <c r="AX163" i="1"/>
  <c r="AY163" i="1"/>
  <c r="AZ163" i="1"/>
  <c r="BC163" i="1"/>
  <c r="BC124" i="1" s="1"/>
  <c r="BH163" i="1"/>
  <c r="BI163" i="1"/>
  <c r="BJ163" i="1"/>
  <c r="R165" i="1"/>
  <c r="S165" i="1"/>
  <c r="T165" i="1"/>
  <c r="U165" i="1"/>
  <c r="W165" i="1"/>
  <c r="W126" i="1" s="1"/>
  <c r="X165" i="1"/>
  <c r="Y165" i="1"/>
  <c r="Z165" i="1"/>
  <c r="AC165" i="1"/>
  <c r="AC126" i="1" s="1"/>
  <c r="AC128" i="1" s="1"/>
  <c r="AD165" i="1"/>
  <c r="AD167" i="1" s="1"/>
  <c r="AE165" i="1"/>
  <c r="AE167" i="1" s="1"/>
  <c r="AF165" i="1"/>
  <c r="AH165" i="1"/>
  <c r="AI165" i="1"/>
  <c r="AJ165" i="1"/>
  <c r="AK165" i="1"/>
  <c r="AM165" i="1"/>
  <c r="AM126" i="1" s="1"/>
  <c r="AN165" i="1"/>
  <c r="AO165" i="1"/>
  <c r="AP165" i="1"/>
  <c r="AR165" i="1"/>
  <c r="AR167" i="1" s="1"/>
  <c r="AS165" i="1"/>
  <c r="AS167" i="1" s="1"/>
  <c r="AT165" i="1"/>
  <c r="AU165" i="1"/>
  <c r="AW165" i="1"/>
  <c r="AX165" i="1"/>
  <c r="AY165" i="1"/>
  <c r="AZ165" i="1"/>
  <c r="BB165" i="1"/>
  <c r="BB126" i="1" s="1"/>
  <c r="BC165" i="1"/>
  <c r="BD165" i="1"/>
  <c r="BE165" i="1"/>
  <c r="BE167" i="1" s="1"/>
  <c r="BG165" i="1"/>
  <c r="BG126" i="1" s="1"/>
  <c r="BH165" i="1"/>
  <c r="BI165" i="1"/>
  <c r="BJ165" i="1"/>
  <c r="BL165" i="1"/>
  <c r="BM165" i="1"/>
  <c r="BM167" i="1" s="1"/>
  <c r="BN165" i="1"/>
  <c r="BN167" i="1" s="1"/>
  <c r="BO165" i="1"/>
  <c r="BO167" i="1" s="1"/>
  <c r="BQ165" i="1"/>
  <c r="BQ126" i="1" s="1"/>
  <c r="BR165" i="1"/>
  <c r="BS165" i="1"/>
  <c r="BT165" i="1"/>
  <c r="BT167" i="1" s="1"/>
  <c r="BV165" i="1"/>
  <c r="BV126" i="1" s="1"/>
  <c r="BW165" i="1"/>
  <c r="BW167" i="1" s="1"/>
  <c r="BX165" i="1"/>
  <c r="BX167" i="1" s="1"/>
  <c r="BY165" i="1"/>
  <c r="CA165" i="1"/>
  <c r="CB165" i="1"/>
  <c r="CB167" i="1" s="1"/>
  <c r="CC165" i="1"/>
  <c r="CC167" i="1" s="1"/>
  <c r="CD165" i="1"/>
  <c r="CD167" i="1" s="1"/>
  <c r="CF165" i="1"/>
  <c r="CF126" i="1" s="1"/>
  <c r="CG165" i="1"/>
  <c r="CH165" i="1"/>
  <c r="CI165" i="1"/>
  <c r="CK165" i="1"/>
  <c r="CK126" i="1" s="1"/>
  <c r="CL165" i="1"/>
  <c r="CL167" i="1" s="1"/>
  <c r="CM165" i="1"/>
  <c r="CN165" i="1"/>
  <c r="R170" i="1"/>
  <c r="R130" i="1" s="1"/>
  <c r="S170" i="1"/>
  <c r="T170" i="1"/>
  <c r="U170" i="1"/>
  <c r="W170" i="1"/>
  <c r="W130" i="1" s="1"/>
  <c r="X170" i="1"/>
  <c r="X176" i="1" s="1"/>
  <c r="Y170" i="1"/>
  <c r="Z170" i="1"/>
  <c r="AC170" i="1"/>
  <c r="AD170" i="1"/>
  <c r="AF170" i="1"/>
  <c r="AH170" i="1"/>
  <c r="AH130" i="1" s="1"/>
  <c r="AI170" i="1"/>
  <c r="AJ170" i="1"/>
  <c r="AK170" i="1"/>
  <c r="AM170" i="1"/>
  <c r="AN170" i="1"/>
  <c r="AO170" i="1"/>
  <c r="AP170" i="1"/>
  <c r="AR170" i="1"/>
  <c r="AS170" i="1"/>
  <c r="AT170" i="1"/>
  <c r="AU170" i="1"/>
  <c r="AW170" i="1"/>
  <c r="AW130" i="1" s="1"/>
  <c r="AX170" i="1"/>
  <c r="AY170" i="1"/>
  <c r="AZ170" i="1"/>
  <c r="BB170" i="1"/>
  <c r="BC170" i="1"/>
  <c r="BD170" i="1"/>
  <c r="BE170" i="1"/>
  <c r="BE176" i="1" s="1"/>
  <c r="BG170" i="1"/>
  <c r="BG130" i="1" s="1"/>
  <c r="BH170" i="1"/>
  <c r="BH176" i="1" s="1"/>
  <c r="BI170" i="1"/>
  <c r="BJ170" i="1"/>
  <c r="BL170" i="1"/>
  <c r="BL176" i="1" s="1"/>
  <c r="BO170" i="1"/>
  <c r="BO130" i="1" s="1"/>
  <c r="BQ170" i="1"/>
  <c r="BR170" i="1"/>
  <c r="BS170" i="1"/>
  <c r="CD170" i="1"/>
  <c r="CD130" i="1" s="1"/>
  <c r="CN170" i="1"/>
  <c r="CN130" i="1" s="1"/>
  <c r="AE172" i="1"/>
  <c r="AF172" i="1"/>
  <c r="AH172" i="1"/>
  <c r="AI172" i="1"/>
  <c r="AJ172" i="1"/>
  <c r="AK172" i="1"/>
  <c r="AM172" i="1"/>
  <c r="AM132" i="1" s="1"/>
  <c r="AN172" i="1"/>
  <c r="AO172" i="1"/>
  <c r="AP172" i="1"/>
  <c r="AS172" i="1"/>
  <c r="AS132" i="1" s="1"/>
  <c r="AT172" i="1"/>
  <c r="AU172" i="1"/>
  <c r="AW172" i="1"/>
  <c r="AX172" i="1"/>
  <c r="AY172" i="1"/>
  <c r="AZ172" i="1"/>
  <c r="BD172" i="1"/>
  <c r="BI172" i="1"/>
  <c r="AX173" i="1"/>
  <c r="U174" i="1"/>
  <c r="U134" i="1" s="1"/>
  <c r="Y174" i="1"/>
  <c r="Z174" i="1"/>
  <c r="AD174" i="1"/>
  <c r="AK174" i="1"/>
  <c r="AK134" i="1" s="1"/>
  <c r="AR174" i="1"/>
  <c r="AX174" i="1"/>
  <c r="AX134" i="1" s="1"/>
  <c r="AY174" i="1"/>
  <c r="BB174" i="1"/>
  <c r="BJ174" i="1"/>
  <c r="BJ134" i="1" s="1"/>
  <c r="BT174" i="1"/>
  <c r="BT134" i="1" s="1"/>
  <c r="S176" i="1"/>
  <c r="T176" i="1"/>
  <c r="BM176" i="1"/>
  <c r="BN176" i="1"/>
  <c r="BV176" i="1"/>
  <c r="BW176" i="1"/>
  <c r="BX176" i="1"/>
  <c r="BY176" i="1"/>
  <c r="CA176" i="1"/>
  <c r="CB176" i="1"/>
  <c r="CC176" i="1"/>
  <c r="CF176" i="1"/>
  <c r="CG176" i="1"/>
  <c r="CH176" i="1"/>
  <c r="CI176" i="1"/>
  <c r="CK176" i="1"/>
  <c r="CL176" i="1"/>
  <c r="CM176" i="1"/>
  <c r="AI177" i="1"/>
  <c r="CJ575" i="42"/>
  <c r="CJ570" i="42"/>
  <c r="T283" i="1" l="1"/>
  <c r="CF255" i="1"/>
  <c r="N305" i="1"/>
  <c r="H276" i="1"/>
  <c r="AL242" i="1"/>
  <c r="W229" i="1"/>
  <c r="BQ242" i="1"/>
  <c r="BW235" i="1"/>
  <c r="CJ272" i="1"/>
  <c r="Y230" i="1"/>
  <c r="AS229" i="1"/>
  <c r="AG229" i="1"/>
  <c r="BN203" i="1"/>
  <c r="N234" i="1"/>
  <c r="AA211" i="1"/>
  <c r="AA276" i="1" s="1"/>
  <c r="BG270" i="1"/>
  <c r="BW255" i="1"/>
  <c r="BA270" i="1"/>
  <c r="S255" i="1"/>
  <c r="S256" i="1" s="1"/>
  <c r="BR242" i="1"/>
  <c r="Y270" i="1"/>
  <c r="D229" i="1"/>
  <c r="BF229" i="1"/>
  <c r="K270" i="1"/>
  <c r="AA238" i="1"/>
  <c r="AA239" i="1" s="1"/>
  <c r="AA241" i="1" s="1"/>
  <c r="P228" i="1"/>
  <c r="BP264" i="1"/>
  <c r="BW276" i="1"/>
  <c r="AY242" i="1"/>
  <c r="BO238" i="1"/>
  <c r="BO239" i="1" s="1"/>
  <c r="BO241" i="1" s="1"/>
  <c r="N230" i="1"/>
  <c r="BH238" i="1"/>
  <c r="BH239" i="1" s="1"/>
  <c r="BH241" i="1" s="1"/>
  <c r="BB229" i="1"/>
  <c r="S211" i="1"/>
  <c r="S218" i="1" s="1"/>
  <c r="N136" i="1"/>
  <c r="S238" i="1"/>
  <c r="S239" i="1" s="1"/>
  <c r="S241" i="1" s="1"/>
  <c r="H235" i="1"/>
  <c r="O228" i="1"/>
  <c r="N276" i="1"/>
  <c r="BQ270" i="1"/>
  <c r="AP229" i="1"/>
  <c r="BH211" i="1"/>
  <c r="BH235" i="1" s="1"/>
  <c r="I270" i="1"/>
  <c r="J271" i="1" s="1"/>
  <c r="AG238" i="1"/>
  <c r="AG239" i="1" s="1"/>
  <c r="AG241" i="1" s="1"/>
  <c r="AV230" i="1"/>
  <c r="AT234" i="1"/>
  <c r="BG203" i="1"/>
  <c r="AZ203" i="1"/>
  <c r="AT203" i="1"/>
  <c r="AN203" i="1"/>
  <c r="AH203" i="1"/>
  <c r="BM230" i="1"/>
  <c r="BU228" i="1"/>
  <c r="BO176" i="1"/>
  <c r="V276" i="1"/>
  <c r="AU230" i="1"/>
  <c r="BA198" i="1"/>
  <c r="AG136" i="1"/>
  <c r="AI230" i="1"/>
  <c r="AL260" i="1"/>
  <c r="AS203" i="1"/>
  <c r="CF229" i="1"/>
  <c r="AG211" i="1"/>
  <c r="AG276" i="1" s="1"/>
  <c r="AG277" i="1" s="1"/>
  <c r="BT230" i="1"/>
  <c r="BO211" i="1"/>
  <c r="BO235" i="1" s="1"/>
  <c r="V128" i="1"/>
  <c r="Q229" i="1"/>
  <c r="CH203" i="1"/>
  <c r="BS203" i="1"/>
  <c r="BY288" i="1"/>
  <c r="BK270" i="1"/>
  <c r="BN260" i="1"/>
  <c r="BN261" i="1" s="1"/>
  <c r="O276" i="1"/>
  <c r="AC265" i="1"/>
  <c r="AC266" i="1" s="1"/>
  <c r="R283" i="1"/>
  <c r="CM260" i="1"/>
  <c r="BY283" i="1"/>
  <c r="AK283" i="1"/>
  <c r="CB203" i="1"/>
  <c r="C276" i="1"/>
  <c r="AT265" i="1"/>
  <c r="AT266" i="1" s="1"/>
  <c r="AZ260" i="1"/>
  <c r="AT260" i="1"/>
  <c r="AT261" i="1" s="1"/>
  <c r="AN260" i="1"/>
  <c r="AN261" i="1" s="1"/>
  <c r="AH260" i="1"/>
  <c r="AH261" i="1" s="1"/>
  <c r="AA260" i="1"/>
  <c r="AA261" i="1" s="1"/>
  <c r="U260" i="1"/>
  <c r="U261" i="1" s="1"/>
  <c r="O260" i="1"/>
  <c r="I260" i="1"/>
  <c r="I261" i="1" s="1"/>
  <c r="BN230" i="1"/>
  <c r="AX235" i="1"/>
  <c r="AW283" i="1"/>
  <c r="O229" i="1"/>
  <c r="CH283" i="1"/>
  <c r="Z283" i="1"/>
  <c r="Z285" i="1" s="1"/>
  <c r="AI176" i="1"/>
  <c r="CI255" i="1"/>
  <c r="AY255" i="1"/>
  <c r="AY256" i="1" s="1"/>
  <c r="BO229" i="1"/>
  <c r="CN283" i="1"/>
  <c r="M283" i="1"/>
  <c r="G283" i="1"/>
  <c r="AA277" i="1"/>
  <c r="CF242" i="1"/>
  <c r="AC198" i="1"/>
  <c r="BH203" i="1"/>
  <c r="AC203" i="1"/>
  <c r="U203" i="1"/>
  <c r="CI293" i="1"/>
  <c r="I230" i="1"/>
  <c r="BR228" i="1"/>
  <c r="DF214" i="1"/>
  <c r="DF209" i="1"/>
  <c r="DF206" i="1"/>
  <c r="DF201" i="1"/>
  <c r="DF200" i="1"/>
  <c r="DF189" i="1"/>
  <c r="BH265" i="1"/>
  <c r="BC130" i="1"/>
  <c r="I276" i="1"/>
  <c r="I277" i="1" s="1"/>
  <c r="CK270" i="1"/>
  <c r="CN265" i="1"/>
  <c r="CN266" i="1" s="1"/>
  <c r="BJ229" i="1"/>
  <c r="Q228" i="1"/>
  <c r="AD198" i="1"/>
  <c r="BV283" i="1"/>
  <c r="O283" i="1"/>
  <c r="AZ126" i="1"/>
  <c r="CI120" i="1"/>
  <c r="BY120" i="1"/>
  <c r="BR120" i="1"/>
  <c r="BJ120" i="1"/>
  <c r="BC120" i="1"/>
  <c r="T120" i="1"/>
  <c r="O305" i="1"/>
  <c r="BL264" i="1"/>
  <c r="BS242" i="1"/>
  <c r="U276" i="1"/>
  <c r="N283" i="1"/>
  <c r="J265" i="1"/>
  <c r="J266" i="1" s="1"/>
  <c r="AO110" i="1"/>
  <c r="AO227" i="1" s="1"/>
  <c r="BS270" i="1"/>
  <c r="C234" i="1"/>
  <c r="CB229" i="1"/>
  <c r="AR229" i="1"/>
  <c r="CO230" i="1"/>
  <c r="AH211" i="1"/>
  <c r="AH276" i="1" s="1"/>
  <c r="AH277" i="1" s="1"/>
  <c r="S283" i="1"/>
  <c r="AA203" i="1"/>
  <c r="AE197" i="1"/>
  <c r="AE198" i="1" s="1"/>
  <c r="BR276" i="1"/>
  <c r="BS277" i="1" s="1"/>
  <c r="CJ259" i="1"/>
  <c r="AA128" i="1"/>
  <c r="BM270" i="1"/>
  <c r="BR271" i="1" s="1"/>
  <c r="Z270" i="1"/>
  <c r="BW265" i="1"/>
  <c r="BW266" i="1" s="1"/>
  <c r="BW260" i="1"/>
  <c r="BW261" i="1" s="1"/>
  <c r="G235" i="1"/>
  <c r="BD230" i="1"/>
  <c r="N203" i="1"/>
  <c r="N332" i="1" s="1"/>
  <c r="CP283" i="1"/>
  <c r="CQ287" i="1" s="1"/>
  <c r="CQ296" i="1" s="1"/>
  <c r="CO137" i="1"/>
  <c r="CP226" i="1"/>
  <c r="M305" i="1"/>
  <c r="S276" i="1"/>
  <c r="G276" i="1"/>
  <c r="H277" i="1" s="1"/>
  <c r="BU273" i="1"/>
  <c r="CK263" i="1"/>
  <c r="CD255" i="1"/>
  <c r="CD256" i="1" s="1"/>
  <c r="AL255" i="1"/>
  <c r="AL256" i="1" s="1"/>
  <c r="R211" i="1"/>
  <c r="R218" i="1" s="1"/>
  <c r="BJ265" i="1"/>
  <c r="BJ266" i="1" s="1"/>
  <c r="R238" i="1"/>
  <c r="R239" i="1" s="1"/>
  <c r="R241" i="1" s="1"/>
  <c r="S235" i="1"/>
  <c r="AZ198" i="1"/>
  <c r="AY198" i="1" s="1"/>
  <c r="AY197" i="1" s="1"/>
  <c r="BY293" i="1"/>
  <c r="H283" i="1"/>
  <c r="AU176" i="1"/>
  <c r="BB167" i="1"/>
  <c r="AZ265" i="1"/>
  <c r="AZ266" i="1" s="1"/>
  <c r="BP228" i="1"/>
  <c r="CJ270" i="1"/>
  <c r="CJ271" i="1" s="1"/>
  <c r="M218" i="1"/>
  <c r="M219" i="1" s="1"/>
  <c r="BU264" i="1"/>
  <c r="AM167" i="1"/>
  <c r="G305" i="1"/>
  <c r="G309" i="1" s="1"/>
  <c r="H310" i="1" s="1"/>
  <c r="H327" i="1" s="1"/>
  <c r="M276" i="1"/>
  <c r="BH261" i="1"/>
  <c r="AN255" i="1"/>
  <c r="AA255" i="1"/>
  <c r="AA256" i="1" s="1"/>
  <c r="U255" i="1"/>
  <c r="U256" i="1" s="1"/>
  <c r="O255" i="1"/>
  <c r="O256" i="1" s="1"/>
  <c r="I255" i="1"/>
  <c r="I256" i="1" s="1"/>
  <c r="M235" i="1"/>
  <c r="CG276" i="1"/>
  <c r="CH277" i="1" s="1"/>
  <c r="CD283" i="1"/>
  <c r="BT203" i="1"/>
  <c r="L276" i="1"/>
  <c r="F276" i="1"/>
  <c r="CE254" i="1"/>
  <c r="Y126" i="1"/>
  <c r="BX276" i="1"/>
  <c r="BX277" i="1" s="1"/>
  <c r="Y238" i="1"/>
  <c r="Y239" i="1" s="1"/>
  <c r="Y241" i="1" s="1"/>
  <c r="CO259" i="1"/>
  <c r="BK259" i="1"/>
  <c r="U281" i="1"/>
  <c r="U283" i="1" s="1"/>
  <c r="AE230" i="1"/>
  <c r="AW229" i="1"/>
  <c r="AP176" i="1"/>
  <c r="CE273" i="1"/>
  <c r="Q271" i="1"/>
  <c r="D270" i="1"/>
  <c r="E271" i="1" s="1"/>
  <c r="AA265" i="1"/>
  <c r="AA266" i="1" s="1"/>
  <c r="BQ260" i="1"/>
  <c r="BQ261" i="1" s="1"/>
  <c r="C230" i="1"/>
  <c r="BT276" i="1"/>
  <c r="BT277" i="1" s="1"/>
  <c r="AE211" i="1"/>
  <c r="AE234" i="1" s="1"/>
  <c r="BU230" i="1"/>
  <c r="BL203" i="1"/>
  <c r="AV242" i="1"/>
  <c r="Q203" i="1"/>
  <c r="BZ273" i="1"/>
  <c r="CD288" i="1"/>
  <c r="CF283" i="1"/>
  <c r="CF289" i="1" s="1"/>
  <c r="BR283" i="1"/>
  <c r="AT132" i="1"/>
  <c r="AK132" i="1"/>
  <c r="CJ111" i="1"/>
  <c r="F305" i="1"/>
  <c r="F309" i="1" s="1"/>
  <c r="BP259" i="1"/>
  <c r="CN260" i="1"/>
  <c r="CN261" i="1" s="1"/>
  <c r="CH255" i="1"/>
  <c r="CH256" i="1" s="1"/>
  <c r="BD255" i="1"/>
  <c r="BD256" i="1" s="1"/>
  <c r="AX255" i="1"/>
  <c r="AX256" i="1" s="1"/>
  <c r="AQ255" i="1"/>
  <c r="AQ256" i="1" s="1"/>
  <c r="X255" i="1"/>
  <c r="X256" i="1" s="1"/>
  <c r="R255" i="1"/>
  <c r="R256" i="1" s="1"/>
  <c r="L255" i="1"/>
  <c r="L256" i="1" s="1"/>
  <c r="F255" i="1"/>
  <c r="F256" i="1" s="1"/>
  <c r="CD242" i="1"/>
  <c r="Y242" i="1"/>
  <c r="L234" i="1"/>
  <c r="CG230" i="1"/>
  <c r="BI230" i="1"/>
  <c r="AQ230" i="1"/>
  <c r="X230" i="1"/>
  <c r="BL228" i="1"/>
  <c r="J228" i="1"/>
  <c r="BP270" i="1"/>
  <c r="CN235" i="1"/>
  <c r="BB203" i="1"/>
  <c r="P276" i="1"/>
  <c r="J276" i="1"/>
  <c r="D276" i="1"/>
  <c r="CO291" i="1"/>
  <c r="CO293" i="1" s="1"/>
  <c r="BX283" i="1"/>
  <c r="BX289" i="1" s="1"/>
  <c r="AT283" i="1"/>
  <c r="U167" i="1"/>
  <c r="BP272" i="1"/>
  <c r="CD270" i="1"/>
  <c r="CD271" i="1" s="1"/>
  <c r="K271" i="1"/>
  <c r="AZ255" i="1"/>
  <c r="AZ256" i="1" s="1"/>
  <c r="AT255" i="1"/>
  <c r="AT256" i="1" s="1"/>
  <c r="BJ255" i="1"/>
  <c r="BC255" i="1"/>
  <c r="AW255" i="1"/>
  <c r="AW256" i="1" s="1"/>
  <c r="AP255" i="1"/>
  <c r="AP256" i="1" s="1"/>
  <c r="W255" i="1"/>
  <c r="W256" i="1" s="1"/>
  <c r="Q255" i="1"/>
  <c r="Q256" i="1" s="1"/>
  <c r="K255" i="1"/>
  <c r="K256" i="1" s="1"/>
  <c r="E255" i="1"/>
  <c r="CA230" i="1"/>
  <c r="AK230" i="1"/>
  <c r="AZ228" i="1"/>
  <c r="Y211" i="1"/>
  <c r="BQ283" i="1"/>
  <c r="BA203" i="1"/>
  <c r="AI203" i="1"/>
  <c r="O203" i="1"/>
  <c r="BW283" i="1"/>
  <c r="I283" i="1"/>
  <c r="CQ142" i="1"/>
  <c r="CQ138" i="1"/>
  <c r="AN176" i="1"/>
  <c r="W176" i="1"/>
  <c r="R119" i="1"/>
  <c r="CJ112" i="1"/>
  <c r="L305" i="1"/>
  <c r="BU272" i="1"/>
  <c r="AZ270" i="1"/>
  <c r="BE271" i="1" s="1"/>
  <c r="BQ263" i="1"/>
  <c r="BE265" i="1"/>
  <c r="BE266" i="1" s="1"/>
  <c r="AY265" i="1"/>
  <c r="AY266" i="1" s="1"/>
  <c r="AS265" i="1"/>
  <c r="AS266" i="1" s="1"/>
  <c r="AM265" i="1"/>
  <c r="Z265" i="1"/>
  <c r="Z266" i="1" s="1"/>
  <c r="T265" i="1"/>
  <c r="T266" i="1" s="1"/>
  <c r="N260" i="1"/>
  <c r="N261" i="1" s="1"/>
  <c r="BB255" i="1"/>
  <c r="AV255" i="1"/>
  <c r="AV256" i="1" s="1"/>
  <c r="AD255" i="1"/>
  <c r="BX242" i="1"/>
  <c r="BC230" i="1"/>
  <c r="BZ228" i="1"/>
  <c r="AZ124" i="1"/>
  <c r="AZ231" i="1" s="1"/>
  <c r="AP110" i="1"/>
  <c r="I310" i="1"/>
  <c r="I327" i="1" s="1"/>
  <c r="BX270" i="1"/>
  <c r="BD265" i="1"/>
  <c r="BD266" i="1" s="1"/>
  <c r="AL265" i="1"/>
  <c r="AL266" i="1" s="1"/>
  <c r="AF265" i="1"/>
  <c r="AF266" i="1" s="1"/>
  <c r="Y265" i="1"/>
  <c r="Y266" i="1" s="1"/>
  <c r="S265" i="1"/>
  <c r="CG283" i="1"/>
  <c r="CG289" i="1" s="1"/>
  <c r="L283" i="1"/>
  <c r="F283" i="1"/>
  <c r="CQ59" i="42"/>
  <c r="CQ52" i="42"/>
  <c r="CQ54" i="42" s="1"/>
  <c r="CR116" i="1"/>
  <c r="D305" i="1"/>
  <c r="D309" i="1" s="1"/>
  <c r="D310" i="1" s="1"/>
  <c r="D327" i="1" s="1"/>
  <c r="AT276" i="1"/>
  <c r="CD265" i="1"/>
  <c r="CD266" i="1" s="1"/>
  <c r="BV254" i="1"/>
  <c r="BV255" i="1" s="1"/>
  <c r="BV256" i="1" s="1"/>
  <c r="BQ255" i="1"/>
  <c r="BQ256" i="1" s="1"/>
  <c r="D235" i="1"/>
  <c r="AT218" i="1"/>
  <c r="BR235" i="1"/>
  <c r="AO283" i="1"/>
  <c r="CJ291" i="1"/>
  <c r="CJ293" i="1" s="1"/>
  <c r="AI283" i="1"/>
  <c r="CO272" i="1"/>
  <c r="BV264" i="1"/>
  <c r="M260" i="1"/>
  <c r="M261" i="1" s="1"/>
  <c r="BS234" i="1"/>
  <c r="AC283" i="1"/>
  <c r="J283" i="1"/>
  <c r="J305" i="1"/>
  <c r="J309" i="1" s="1"/>
  <c r="CN276" i="1"/>
  <c r="BN270" i="1"/>
  <c r="BS271" i="1" s="1"/>
  <c r="BF270" i="1"/>
  <c r="V270" i="1"/>
  <c r="V271" i="1" s="1"/>
  <c r="M263" i="1"/>
  <c r="M265" i="1" s="1"/>
  <c r="CK259" i="1"/>
  <c r="CD260" i="1"/>
  <c r="BG259" i="1"/>
  <c r="BG260" i="1" s="1"/>
  <c r="BG261" i="1" s="1"/>
  <c r="BA260" i="1"/>
  <c r="BA261" i="1" s="1"/>
  <c r="AU260" i="1"/>
  <c r="AU261" i="1" s="1"/>
  <c r="AO260" i="1"/>
  <c r="AI260" i="1"/>
  <c r="AI261" i="1" s="1"/>
  <c r="AC260" i="1"/>
  <c r="AC261" i="1" s="1"/>
  <c r="V260" i="1"/>
  <c r="V261" i="1" s="1"/>
  <c r="P260" i="1"/>
  <c r="P261" i="1" s="1"/>
  <c r="J260" i="1"/>
  <c r="J261" i="1" s="1"/>
  <c r="D260" i="1"/>
  <c r="BU254" i="1"/>
  <c r="BY242" i="1"/>
  <c r="BM242" i="1"/>
  <c r="CN234" i="1"/>
  <c r="AD229" i="1"/>
  <c r="J229" i="1"/>
  <c r="BH228" i="1"/>
  <c r="CC283" i="1"/>
  <c r="BO283" i="1"/>
  <c r="BH283" i="1"/>
  <c r="AG283" i="1"/>
  <c r="AA283" i="1"/>
  <c r="CE291" i="1"/>
  <c r="CN293" i="1"/>
  <c r="CD293" i="1"/>
  <c r="BK229" i="1"/>
  <c r="D283" i="1"/>
  <c r="D285" i="1" s="1"/>
  <c r="CE111" i="1"/>
  <c r="P305" i="1"/>
  <c r="BF272" i="1"/>
  <c r="BL259" i="1"/>
  <c r="BL260" i="1" s="1"/>
  <c r="BL261" i="1" s="1"/>
  <c r="AX230" i="1"/>
  <c r="CO229" i="1"/>
  <c r="BQ229" i="1"/>
  <c r="CO270" i="1"/>
  <c r="S234" i="1"/>
  <c r="BZ291" i="1"/>
  <c r="BZ293" i="1" s="1"/>
  <c r="V283" i="1"/>
  <c r="BL263" i="1"/>
  <c r="BL265" i="1" s="1"/>
  <c r="BL266" i="1" s="1"/>
  <c r="CN255" i="1"/>
  <c r="CN256" i="1" s="1"/>
  <c r="P283" i="1"/>
  <c r="AZ119" i="1"/>
  <c r="BK272" i="1"/>
  <c r="BQ271" i="1"/>
  <c r="AN265" i="1"/>
  <c r="AN266" i="1" s="1"/>
  <c r="BG263" i="1"/>
  <c r="BG265" i="1" s="1"/>
  <c r="BG266" i="1" s="1"/>
  <c r="CK242" i="1"/>
  <c r="BT242" i="1"/>
  <c r="BB242" i="1"/>
  <c r="Z242" i="1"/>
  <c r="CN230" i="1"/>
  <c r="P230" i="1"/>
  <c r="H229" i="1"/>
  <c r="C218" i="1"/>
  <c r="C219" i="1" s="1"/>
  <c r="AY283" i="1"/>
  <c r="AY203" i="1"/>
  <c r="BG242" i="1"/>
  <c r="BS283" i="1"/>
  <c r="CP323" i="42"/>
  <c r="CP185" i="42"/>
  <c r="CP229" i="1"/>
  <c r="CP351" i="1"/>
  <c r="CP73" i="1"/>
  <c r="CP76" i="1"/>
  <c r="CP486" i="42"/>
  <c r="BI242" i="1"/>
  <c r="BI228" i="1"/>
  <c r="AW242" i="1"/>
  <c r="AW228" i="1"/>
  <c r="I332" i="1"/>
  <c r="CG270" i="1"/>
  <c r="BC228" i="1"/>
  <c r="CC230" i="1"/>
  <c r="CC229" i="1"/>
  <c r="U228" i="1"/>
  <c r="U270" i="1"/>
  <c r="U242" i="1"/>
  <c r="BN211" i="1"/>
  <c r="BN276" i="1" s="1"/>
  <c r="BN238" i="1"/>
  <c r="BN239" i="1" s="1"/>
  <c r="BN241" i="1" s="1"/>
  <c r="BN281" i="1"/>
  <c r="BN283" i="1" s="1"/>
  <c r="BG211" i="1"/>
  <c r="BG281" i="1"/>
  <c r="BG283" i="1" s="1"/>
  <c r="AZ211" i="1"/>
  <c r="AZ281" i="1"/>
  <c r="AZ283" i="1" s="1"/>
  <c r="AS211" i="1"/>
  <c r="AS276" i="1" s="1"/>
  <c r="AS281" i="1"/>
  <c r="AS283" i="1" s="1"/>
  <c r="AM211" i="1"/>
  <c r="AM276" i="1" s="1"/>
  <c r="AM281" i="1"/>
  <c r="AM283" i="1" s="1"/>
  <c r="AM238" i="1"/>
  <c r="AM239" i="1" s="1"/>
  <c r="AM241" i="1" s="1"/>
  <c r="U126" i="1"/>
  <c r="BP125" i="1"/>
  <c r="AC167" i="1"/>
  <c r="AA305" i="1"/>
  <c r="CF270" i="1"/>
  <c r="BT270" i="1"/>
  <c r="BT271" i="1" s="1"/>
  <c r="AW270" i="1"/>
  <c r="BB271" i="1" s="1"/>
  <c r="G270" i="1"/>
  <c r="I265" i="1"/>
  <c r="I266" i="1" s="1"/>
  <c r="AQ260" i="1"/>
  <c r="AQ261" i="1" s="1"/>
  <c r="AX260" i="1"/>
  <c r="Y260" i="1"/>
  <c r="Y261" i="1" s="1"/>
  <c r="G260" i="1"/>
  <c r="G261" i="1" s="1"/>
  <c r="Z230" i="1"/>
  <c r="BB228" i="1"/>
  <c r="CO282" i="1"/>
  <c r="CO283" i="1" s="1"/>
  <c r="CL211" i="1"/>
  <c r="CL234" i="1" s="1"/>
  <c r="CL281" i="1"/>
  <c r="CL283" i="1" s="1"/>
  <c r="CA211" i="1"/>
  <c r="CA218" i="1" s="1"/>
  <c r="CA281" i="1"/>
  <c r="CA283" i="1" s="1"/>
  <c r="CA289" i="1" s="1"/>
  <c r="BM211" i="1"/>
  <c r="BM281" i="1"/>
  <c r="BM283" i="1" s="1"/>
  <c r="BE281" i="1"/>
  <c r="BE283" i="1" s="1"/>
  <c r="BE238" i="1"/>
  <c r="BE239" i="1" s="1"/>
  <c r="BE241" i="1" s="1"/>
  <c r="AR281" i="1"/>
  <c r="AR283" i="1" s="1"/>
  <c r="AR211" i="1"/>
  <c r="AR234" i="1" s="1"/>
  <c r="AL211" i="1"/>
  <c r="AL281" i="1"/>
  <c r="AL283" i="1" s="1"/>
  <c r="AE281" i="1"/>
  <c r="AE283" i="1" s="1"/>
  <c r="AE238" i="1"/>
  <c r="AE239" i="1" s="1"/>
  <c r="AE241" i="1" s="1"/>
  <c r="X211" i="1"/>
  <c r="X235" i="1" s="1"/>
  <c r="X281" i="1"/>
  <c r="X283" i="1" s="1"/>
  <c r="X238" i="1"/>
  <c r="X239" i="1" s="1"/>
  <c r="X241" i="1" s="1"/>
  <c r="CN288" i="1"/>
  <c r="CN289" i="1" s="1"/>
  <c r="CA242" i="1"/>
  <c r="CA228" i="1"/>
  <c r="CE133" i="1"/>
  <c r="BP115" i="1"/>
  <c r="BS119" i="1"/>
  <c r="CO124" i="1"/>
  <c r="CM270" i="1"/>
  <c r="AA270" i="1"/>
  <c r="M270" i="1"/>
  <c r="F270" i="1"/>
  <c r="F271" i="1" s="1"/>
  <c r="BJ260" i="1"/>
  <c r="BJ261" i="1" s="1"/>
  <c r="AZ238" i="1"/>
  <c r="AZ239" i="1" s="1"/>
  <c r="AZ241" i="1" s="1"/>
  <c r="BW230" i="1"/>
  <c r="BK230" i="1"/>
  <c r="AM230" i="1"/>
  <c r="K230" i="1"/>
  <c r="AY229" i="1"/>
  <c r="CM228" i="1"/>
  <c r="CW228" i="1" s="1"/>
  <c r="DB228" i="1" s="1"/>
  <c r="DG228" i="1" s="1"/>
  <c r="CJ282" i="1"/>
  <c r="CK211" i="1"/>
  <c r="CK234" i="1" s="1"/>
  <c r="CK281" i="1"/>
  <c r="CK283" i="1" s="1"/>
  <c r="BL211" i="1"/>
  <c r="BL281" i="1"/>
  <c r="BL283" i="1" s="1"/>
  <c r="BD211" i="1"/>
  <c r="BD234" i="1" s="1"/>
  <c r="BD281" i="1"/>
  <c r="BD283" i="1" s="1"/>
  <c r="BD238" i="1"/>
  <c r="BD239" i="1" s="1"/>
  <c r="BD241" i="1" s="1"/>
  <c r="AX281" i="1"/>
  <c r="AX283" i="1" s="1"/>
  <c r="AX238" i="1"/>
  <c r="AX239" i="1" s="1"/>
  <c r="AX241" i="1" s="1"/>
  <c r="AQ281" i="1"/>
  <c r="AQ283" i="1" s="1"/>
  <c r="AQ211" i="1"/>
  <c r="AQ305" i="1" s="1"/>
  <c r="AD283" i="1"/>
  <c r="W281" i="1"/>
  <c r="W283" i="1" s="1"/>
  <c r="W238" i="1"/>
  <c r="W239" i="1" s="1"/>
  <c r="W241" i="1" s="1"/>
  <c r="AV128" i="1"/>
  <c r="BU115" i="1"/>
  <c r="BE226" i="1"/>
  <c r="R176" i="1"/>
  <c r="AY130" i="1"/>
  <c r="AR176" i="1"/>
  <c r="AJ130" i="1"/>
  <c r="Z130" i="1"/>
  <c r="S130" i="1"/>
  <c r="S136" i="1" s="1"/>
  <c r="CN126" i="1"/>
  <c r="CN128" i="1" s="1"/>
  <c r="CG126" i="1"/>
  <c r="BR126" i="1"/>
  <c r="BR128" i="1" s="1"/>
  <c r="BJ126" i="1"/>
  <c r="BC126" i="1"/>
  <c r="BC128" i="1" s="1"/>
  <c r="AU126" i="1"/>
  <c r="AU128" i="1" s="1"/>
  <c r="AN126" i="1"/>
  <c r="AF126" i="1"/>
  <c r="AF128" i="1" s="1"/>
  <c r="X126" i="1"/>
  <c r="AK161" i="1"/>
  <c r="AK168" i="1" s="1"/>
  <c r="BR119" i="1"/>
  <c r="AD119" i="1"/>
  <c r="BO119" i="1"/>
  <c r="AK119" i="1"/>
  <c r="U119" i="1"/>
  <c r="BU111" i="1"/>
  <c r="CL270" i="1"/>
  <c r="BC270" i="1"/>
  <c r="BH271" i="1" s="1"/>
  <c r="L270" i="1"/>
  <c r="CC265" i="1"/>
  <c r="CF260" i="1"/>
  <c r="CF261" i="1" s="1"/>
  <c r="AV263" i="1"/>
  <c r="AV265" i="1" s="1"/>
  <c r="AV266" i="1" s="1"/>
  <c r="AV260" i="1"/>
  <c r="AV261" i="1" s="1"/>
  <c r="BY255" i="1"/>
  <c r="BY256" i="1" s="1"/>
  <c r="BS255" i="1"/>
  <c r="BS256" i="1" s="1"/>
  <c r="CB255" i="1"/>
  <c r="BN242" i="1"/>
  <c r="BL238" i="1"/>
  <c r="BL239" i="1" s="1"/>
  <c r="BL241" i="1" s="1"/>
  <c r="AY238" i="1"/>
  <c r="AY239" i="1" s="1"/>
  <c r="AY241" i="1" s="1"/>
  <c r="AD238" i="1"/>
  <c r="AD239" i="1" s="1"/>
  <c r="AD241" i="1" s="1"/>
  <c r="F234" i="1"/>
  <c r="CG228" i="1"/>
  <c r="BH230" i="1"/>
  <c r="BH229" i="1"/>
  <c r="P271" i="1"/>
  <c r="C228" i="1"/>
  <c r="C270" i="1"/>
  <c r="BR218" i="1"/>
  <c r="AK211" i="1"/>
  <c r="AK218" i="1" s="1"/>
  <c r="CJ207" i="1"/>
  <c r="CJ281" i="1" s="1"/>
  <c r="CI281" i="1"/>
  <c r="CI283" i="1" s="1"/>
  <c r="CI211" i="1"/>
  <c r="CI234" i="1" s="1"/>
  <c r="BU281" i="1"/>
  <c r="BU283" i="1" s="1"/>
  <c r="BU238" i="1"/>
  <c r="BK207" i="1"/>
  <c r="BK211" i="1" s="1"/>
  <c r="BJ281" i="1"/>
  <c r="BJ283" i="1" s="1"/>
  <c r="BJ211" i="1"/>
  <c r="BJ276" i="1" s="1"/>
  <c r="BC211" i="1"/>
  <c r="BC218" i="1" s="1"/>
  <c r="BC281" i="1"/>
  <c r="BC283" i="1" s="1"/>
  <c r="AP283" i="1"/>
  <c r="AJ238" i="1"/>
  <c r="AJ239" i="1" s="1"/>
  <c r="AJ241" i="1" s="1"/>
  <c r="AJ281" i="1"/>
  <c r="AJ283" i="1" s="1"/>
  <c r="AK287" i="1" s="1"/>
  <c r="AK296" i="1" s="1"/>
  <c r="BP230" i="1"/>
  <c r="BQ264" i="1"/>
  <c r="BM203" i="1"/>
  <c r="AG203" i="1"/>
  <c r="G203" i="1"/>
  <c r="G219" i="1" s="1"/>
  <c r="G234" i="1"/>
  <c r="AW194" i="1"/>
  <c r="AW195" i="1" s="1"/>
  <c r="AK167" i="1"/>
  <c r="BS120" i="1"/>
  <c r="BD120" i="1"/>
  <c r="AD120" i="1"/>
  <c r="U120" i="1"/>
  <c r="BK133" i="1"/>
  <c r="BG128" i="1"/>
  <c r="AG125" i="1"/>
  <c r="AG124" i="1"/>
  <c r="AG231" i="1" s="1"/>
  <c r="AE119" i="1"/>
  <c r="DD112" i="1"/>
  <c r="CE112" i="1"/>
  <c r="AC226" i="1"/>
  <c r="CA270" i="1"/>
  <c r="BI270" i="1"/>
  <c r="AO265" i="1"/>
  <c r="AO266" i="1" s="1"/>
  <c r="N263" i="1"/>
  <c r="N265" i="1" s="1"/>
  <c r="N266" i="1" s="1"/>
  <c r="L260" i="1"/>
  <c r="L261" i="1" s="1"/>
  <c r="BX255" i="1"/>
  <c r="BX256" i="1" s="1"/>
  <c r="BR255" i="1"/>
  <c r="BR256" i="1" s="1"/>
  <c r="BI255" i="1"/>
  <c r="BI256" i="1" s="1"/>
  <c r="AO255" i="1"/>
  <c r="AO256" i="1" s="1"/>
  <c r="V255" i="1"/>
  <c r="V256" i="1" s="1"/>
  <c r="P255" i="1"/>
  <c r="P256" i="1" s="1"/>
  <c r="J255" i="1"/>
  <c r="J256" i="1" s="1"/>
  <c r="D255" i="1"/>
  <c r="D256" i="1" s="1"/>
  <c r="CL238" i="1"/>
  <c r="CL239" i="1" s="1"/>
  <c r="CL241" i="1" s="1"/>
  <c r="CA238" i="1"/>
  <c r="CA239" i="1" s="1"/>
  <c r="CA241" i="1" s="1"/>
  <c r="AL238" i="1"/>
  <c r="AL239" i="1" s="1"/>
  <c r="AL241" i="1" s="1"/>
  <c r="AT235" i="1"/>
  <c r="CF234" i="1"/>
  <c r="BE230" i="1"/>
  <c r="E229" i="1"/>
  <c r="BO218" i="1"/>
  <c r="AY211" i="1"/>
  <c r="AY234" i="1" s="1"/>
  <c r="W211" i="1"/>
  <c r="W234" i="1" s="1"/>
  <c r="I218" i="1"/>
  <c r="I219" i="1" s="1"/>
  <c r="I234" i="1"/>
  <c r="I235" i="1"/>
  <c r="BB283" i="1"/>
  <c r="BT234" i="1"/>
  <c r="BZ254" i="1"/>
  <c r="CA254" i="1"/>
  <c r="CA255" i="1" s="1"/>
  <c r="CA256" i="1" s="1"/>
  <c r="CC288" i="1"/>
  <c r="BV288" i="1"/>
  <c r="CI288" i="1"/>
  <c r="CH288" i="1"/>
  <c r="CH289" i="1" s="1"/>
  <c r="CB288" i="1"/>
  <c r="BX265" i="1"/>
  <c r="BX266" i="1" s="1"/>
  <c r="D265" i="1"/>
  <c r="D266" i="1" s="1"/>
  <c r="CG255" i="1"/>
  <c r="CG256" i="1" s="1"/>
  <c r="CL255" i="1"/>
  <c r="CL256" i="1" s="1"/>
  <c r="BH255" i="1"/>
  <c r="BH256" i="1" s="1"/>
  <c r="BB256" i="1"/>
  <c r="BP229" i="1"/>
  <c r="CE228" i="1"/>
  <c r="BP207" i="1"/>
  <c r="BP211" i="1" s="1"/>
  <c r="BP218" i="1" s="1"/>
  <c r="BI283" i="1"/>
  <c r="AV283" i="1"/>
  <c r="AH238" i="1"/>
  <c r="AH239" i="1" s="1"/>
  <c r="AH241" i="1" s="1"/>
  <c r="AH281" i="1"/>
  <c r="AH283" i="1" s="1"/>
  <c r="CE293" i="1"/>
  <c r="BM255" i="1"/>
  <c r="BM256" i="1" s="1"/>
  <c r="AK255" i="1"/>
  <c r="AK256" i="1" s="1"/>
  <c r="AO261" i="1"/>
  <c r="D261" i="1"/>
  <c r="CM238" i="1"/>
  <c r="CM239" i="1" s="1"/>
  <c r="CM241" i="1" s="1"/>
  <c r="CM281" i="1"/>
  <c r="CM283" i="1" s="1"/>
  <c r="CN285" i="1" s="1"/>
  <c r="CB211" i="1"/>
  <c r="CB218" i="1" s="1"/>
  <c r="CB281" i="1"/>
  <c r="CB283" i="1" s="1"/>
  <c r="CC287" i="1" s="1"/>
  <c r="CC296" i="1" s="1"/>
  <c r="BA211" i="1"/>
  <c r="BA281" i="1"/>
  <c r="BA283" i="1" s="1"/>
  <c r="AU211" i="1"/>
  <c r="AU281" i="1"/>
  <c r="AU283" i="1" s="1"/>
  <c r="AN211" i="1"/>
  <c r="AN281" i="1"/>
  <c r="AN283" i="1" s="1"/>
  <c r="BL242" i="1"/>
  <c r="BW288" i="1"/>
  <c r="Q283" i="1"/>
  <c r="K283" i="1"/>
  <c r="E283" i="1"/>
  <c r="BC203" i="1"/>
  <c r="AQ203" i="1"/>
  <c r="AK203" i="1"/>
  <c r="AE203" i="1"/>
  <c r="BU192" i="1"/>
  <c r="BU203" i="1" s="1"/>
  <c r="AF211" i="1"/>
  <c r="AF276" i="1" s="1"/>
  <c r="AF281" i="1"/>
  <c r="AF283" i="1" s="1"/>
  <c r="AJ230" i="1"/>
  <c r="BY203" i="1"/>
  <c r="BR234" i="1"/>
  <c r="P235" i="1"/>
  <c r="BP192" i="1"/>
  <c r="CL289" i="1"/>
  <c r="BT283" i="1"/>
  <c r="CM203" i="1"/>
  <c r="CF276" i="1"/>
  <c r="CG277" i="1" s="1"/>
  <c r="BQ203" i="1"/>
  <c r="BH266" i="1"/>
  <c r="BZ229" i="1"/>
  <c r="CE259" i="1"/>
  <c r="CE272" i="1"/>
  <c r="CO228" i="1"/>
  <c r="CO254" i="1"/>
  <c r="BK228" i="1"/>
  <c r="BP254" i="1"/>
  <c r="CD126" i="1"/>
  <c r="CD128" i="1" s="1"/>
  <c r="AO119" i="1"/>
  <c r="AG260" i="1"/>
  <c r="AG261" i="1" s="1"/>
  <c r="AG263" i="1"/>
  <c r="AG265" i="1" s="1"/>
  <c r="AG266" i="1" s="1"/>
  <c r="BX234" i="1"/>
  <c r="BX235" i="1"/>
  <c r="BU270" i="1"/>
  <c r="BU271" i="1" s="1"/>
  <c r="BU229" i="1"/>
  <c r="CJ228" i="1"/>
  <c r="CJ273" i="1"/>
  <c r="BF228" i="1"/>
  <c r="BF273" i="1"/>
  <c r="BY161" i="1"/>
  <c r="BY168" i="1" s="1"/>
  <c r="BW136" i="1"/>
  <c r="BU131" i="1"/>
  <c r="BB119" i="1"/>
  <c r="BP273" i="1"/>
  <c r="BZ270" i="1"/>
  <c r="CE271" i="1" s="1"/>
  <c r="AI265" i="1"/>
  <c r="AI266" i="1" s="1"/>
  <c r="CF235" i="1"/>
  <c r="BY229" i="1"/>
  <c r="BY230" i="1"/>
  <c r="BA229" i="1"/>
  <c r="BA230" i="1"/>
  <c r="M229" i="1"/>
  <c r="M230" i="1"/>
  <c r="G229" i="1"/>
  <c r="G230" i="1"/>
  <c r="CI228" i="1"/>
  <c r="CI242" i="1"/>
  <c r="CI270" i="1"/>
  <c r="BW242" i="1"/>
  <c r="BW228" i="1"/>
  <c r="BW270" i="1"/>
  <c r="BW271" i="1" s="1"/>
  <c r="BE242" i="1"/>
  <c r="BE228" i="1"/>
  <c r="X242" i="1"/>
  <c r="X228" i="1"/>
  <c r="CJ133" i="1"/>
  <c r="BV136" i="1"/>
  <c r="AH265" i="1"/>
  <c r="AH266" i="1" s="1"/>
  <c r="BM260" i="1"/>
  <c r="BM261" i="1" s="1"/>
  <c r="BR265" i="1"/>
  <c r="BR266" i="1" s="1"/>
  <c r="AW263" i="1"/>
  <c r="AW265" i="1" s="1"/>
  <c r="AW266" i="1" s="1"/>
  <c r="AW260" i="1"/>
  <c r="AW261" i="1" s="1"/>
  <c r="X263" i="1"/>
  <c r="X265" i="1" s="1"/>
  <c r="X266" i="1" s="1"/>
  <c r="X260" i="1"/>
  <c r="X261" i="1" s="1"/>
  <c r="F263" i="1"/>
  <c r="F265" i="1" s="1"/>
  <c r="F266" i="1" s="1"/>
  <c r="F260" i="1"/>
  <c r="F261" i="1" s="1"/>
  <c r="BL254" i="1"/>
  <c r="BL255" i="1" s="1"/>
  <c r="BL256" i="1" s="1"/>
  <c r="CH228" i="1"/>
  <c r="CH242" i="1"/>
  <c r="CH270" i="1"/>
  <c r="BP271" i="1"/>
  <c r="BJ228" i="1"/>
  <c r="BJ270" i="1"/>
  <c r="BJ271" i="1" s="1"/>
  <c r="BD242" i="1"/>
  <c r="BD228" i="1"/>
  <c r="BD270" i="1"/>
  <c r="W242" i="1"/>
  <c r="W228" i="1"/>
  <c r="W270" i="1"/>
  <c r="N228" i="1"/>
  <c r="N270" i="1"/>
  <c r="O271" i="1" s="1"/>
  <c r="H228" i="1"/>
  <c r="H270" i="1"/>
  <c r="BQ211" i="1"/>
  <c r="BQ234" i="1" s="1"/>
  <c r="BQ238" i="1"/>
  <c r="BQ239" i="1" s="1"/>
  <c r="BQ241" i="1" s="1"/>
  <c r="AW211" i="1"/>
  <c r="AW235" i="1" s="1"/>
  <c r="AW238" i="1"/>
  <c r="AW239" i="1" s="1"/>
  <c r="AW241" i="1" s="1"/>
  <c r="AP238" i="1"/>
  <c r="AP239" i="1" s="1"/>
  <c r="AP241" i="1" s="1"/>
  <c r="AP211" i="1"/>
  <c r="AP218" i="1" s="1"/>
  <c r="U235" i="1"/>
  <c r="U218" i="1"/>
  <c r="U234" i="1"/>
  <c r="U176" i="1"/>
  <c r="AN132" i="1"/>
  <c r="AF132" i="1"/>
  <c r="U130" i="1"/>
  <c r="U136" i="1" s="1"/>
  <c r="CM126" i="1"/>
  <c r="CM128" i="1" s="1"/>
  <c r="BX126" i="1"/>
  <c r="BX128" i="1" s="1"/>
  <c r="BI126" i="1"/>
  <c r="AT126" i="1"/>
  <c r="AT128" i="1" s="1"/>
  <c r="AE126" i="1"/>
  <c r="AE128" i="1" s="1"/>
  <c r="AN124" i="1"/>
  <c r="AN231" i="1" s="1"/>
  <c r="CH120" i="1"/>
  <c r="BX120" i="1"/>
  <c r="BI120" i="1"/>
  <c r="AJ120" i="1"/>
  <c r="Z120" i="1"/>
  <c r="S120" i="1"/>
  <c r="AN227" i="1"/>
  <c r="BZ137" i="1"/>
  <c r="CO134" i="1"/>
  <c r="CI136" i="1"/>
  <c r="BA136" i="1"/>
  <c r="AZ227" i="1"/>
  <c r="BG271" i="1"/>
  <c r="X270" i="1"/>
  <c r="AU265" i="1"/>
  <c r="AU266" i="1" s="1"/>
  <c r="P265" i="1"/>
  <c r="P266" i="1" s="1"/>
  <c r="G263" i="1"/>
  <c r="G265" i="1" s="1"/>
  <c r="G266" i="1" s="1"/>
  <c r="BE260" i="1"/>
  <c r="BE261" i="1" s="1"/>
  <c r="S260" i="1"/>
  <c r="S261" i="1" s="1"/>
  <c r="CA259" i="1"/>
  <c r="CA260" i="1" s="1"/>
  <c r="CA261" i="1" s="1"/>
  <c r="BR260" i="1"/>
  <c r="BR261" i="1" s="1"/>
  <c r="E263" i="1"/>
  <c r="E265" i="1" s="1"/>
  <c r="E266" i="1" s="1"/>
  <c r="E260" i="1"/>
  <c r="E261" i="1" s="1"/>
  <c r="CJ254" i="1"/>
  <c r="BK254" i="1"/>
  <c r="AG255" i="1"/>
  <c r="AG256" i="1" s="1"/>
  <c r="BJ238" i="1"/>
  <c r="BJ239" i="1" s="1"/>
  <c r="BJ241" i="1" s="1"/>
  <c r="U238" i="1"/>
  <c r="U239" i="1" s="1"/>
  <c r="U241" i="1" s="1"/>
  <c r="V229" i="1"/>
  <c r="CC211" i="1"/>
  <c r="CC218" i="1" s="1"/>
  <c r="CC238" i="1"/>
  <c r="CC239" i="1" s="1"/>
  <c r="CC241" i="1" s="1"/>
  <c r="BI238" i="1"/>
  <c r="BI239" i="1" s="1"/>
  <c r="BI241" i="1" s="1"/>
  <c r="BI211" i="1"/>
  <c r="BI218" i="1" s="1"/>
  <c r="BB211" i="1"/>
  <c r="BB234" i="1" s="1"/>
  <c r="BB238" i="1"/>
  <c r="BB239" i="1" s="1"/>
  <c r="BB241" i="1" s="1"/>
  <c r="AV238" i="1"/>
  <c r="AV239" i="1" s="1"/>
  <c r="AV241" i="1" s="1"/>
  <c r="AV211" i="1"/>
  <c r="AV218" i="1" s="1"/>
  <c r="AO238" i="1"/>
  <c r="AO239" i="1" s="1"/>
  <c r="AO241" i="1" s="1"/>
  <c r="AO211" i="1"/>
  <c r="T211" i="1"/>
  <c r="T238" i="1"/>
  <c r="T239" i="1" s="1"/>
  <c r="T241" i="1" s="1"/>
  <c r="CF203" i="1"/>
  <c r="CF219" i="1" s="1"/>
  <c r="BF199" i="1"/>
  <c r="BF198" i="1" s="1"/>
  <c r="BH198" i="1" s="1"/>
  <c r="BH197" i="1" s="1"/>
  <c r="BE203" i="1"/>
  <c r="AM203" i="1"/>
  <c r="AM198" i="1"/>
  <c r="AI197" i="1"/>
  <c r="AK197" i="1" s="1"/>
  <c r="AK198" i="1" s="1"/>
  <c r="AJ197" i="1"/>
  <c r="AJ198" i="1" s="1"/>
  <c r="AH198" i="1"/>
  <c r="AJ167" i="1"/>
  <c r="AR126" i="1"/>
  <c r="AR128" i="1" s="1"/>
  <c r="CE114" i="1"/>
  <c r="AH119" i="1"/>
  <c r="BK273" i="1"/>
  <c r="E256" i="1"/>
  <c r="BW126" i="1"/>
  <c r="AQ128" i="1"/>
  <c r="AQ231" i="1"/>
  <c r="CO273" i="1"/>
  <c r="BT260" i="1"/>
  <c r="BT261" i="1" s="1"/>
  <c r="AR260" i="1"/>
  <c r="AR261" i="1" s="1"/>
  <c r="AR263" i="1"/>
  <c r="AR265" i="1" s="1"/>
  <c r="AR266" i="1" s="1"/>
  <c r="AD256" i="1"/>
  <c r="BG254" i="1"/>
  <c r="BG255" i="1" s="1"/>
  <c r="BG256" i="1" s="1"/>
  <c r="BS229" i="1"/>
  <c r="BS230" i="1"/>
  <c r="AO229" i="1"/>
  <c r="AO230" i="1"/>
  <c r="CC228" i="1"/>
  <c r="CC270" i="1"/>
  <c r="CL203" i="1"/>
  <c r="CL235" i="1"/>
  <c r="AO176" i="1"/>
  <c r="W136" i="1"/>
  <c r="BV167" i="1"/>
  <c r="BY136" i="1"/>
  <c r="AL136" i="1"/>
  <c r="BU125" i="1"/>
  <c r="BN119" i="1"/>
  <c r="J310" i="1"/>
  <c r="J327" i="1" s="1"/>
  <c r="AX263" i="1"/>
  <c r="AX265" i="1" s="1"/>
  <c r="AX266" i="1" s="1"/>
  <c r="AF260" i="1"/>
  <c r="AF261" i="1" s="1"/>
  <c r="BS260" i="1"/>
  <c r="BS261" i="1" s="1"/>
  <c r="CG263" i="1"/>
  <c r="CG265" i="1" s="1"/>
  <c r="CG266" i="1" s="1"/>
  <c r="CG260" i="1"/>
  <c r="CG261" i="1" s="1"/>
  <c r="AE263" i="1"/>
  <c r="AE265" i="1" s="1"/>
  <c r="AE266" i="1" s="1"/>
  <c r="AE260" i="1"/>
  <c r="AE261" i="1" s="1"/>
  <c r="CK254" i="1"/>
  <c r="CK255" i="1" s="1"/>
  <c r="CK256" i="1" s="1"/>
  <c r="BF254" i="1"/>
  <c r="AA227" i="1"/>
  <c r="CN242" i="1"/>
  <c r="CN270" i="1"/>
  <c r="CB228" i="1"/>
  <c r="CB270" i="1"/>
  <c r="BV242" i="1"/>
  <c r="BV228" i="1"/>
  <c r="BV270" i="1"/>
  <c r="BV271" i="1" s="1"/>
  <c r="AX242" i="1"/>
  <c r="AX228" i="1"/>
  <c r="AX270" i="1"/>
  <c r="AC238" i="1"/>
  <c r="AC239" i="1" s="1"/>
  <c r="AC241" i="1" s="1"/>
  <c r="AC211" i="1"/>
  <c r="CE264" i="1"/>
  <c r="BZ264" i="1"/>
  <c r="BZ192" i="1"/>
  <c r="BZ203" i="1" s="1"/>
  <c r="AZ176" i="1"/>
  <c r="AS176" i="1"/>
  <c r="CK167" i="1"/>
  <c r="BG167" i="1"/>
  <c r="AK110" i="1"/>
  <c r="AN226" i="1" s="1"/>
  <c r="AV136" i="1"/>
  <c r="BK110" i="1"/>
  <c r="BK227" i="1" s="1"/>
  <c r="AY270" i="1"/>
  <c r="O265" i="1"/>
  <c r="O266" i="1" s="1"/>
  <c r="BD260" i="1"/>
  <c r="BD261" i="1" s="1"/>
  <c r="BZ230" i="1"/>
  <c r="BG229" i="1"/>
  <c r="AC229" i="1"/>
  <c r="CN228" i="1"/>
  <c r="BE198" i="1"/>
  <c r="BG198" i="1" s="1"/>
  <c r="AT119" i="1"/>
  <c r="CT215" i="1"/>
  <c r="CV215" i="1" s="1"/>
  <c r="CW215" i="1" s="1"/>
  <c r="CX215" i="1" s="1"/>
  <c r="CY215" i="1" s="1"/>
  <c r="CZ215" i="1" s="1"/>
  <c r="DA215" i="1" s="1"/>
  <c r="DB215" i="1" s="1"/>
  <c r="DC215" i="1" s="1"/>
  <c r="DD215" i="1" s="1"/>
  <c r="DE215" i="1" s="1"/>
  <c r="CN226" i="1"/>
  <c r="BR226" i="1"/>
  <c r="BD226" i="1"/>
  <c r="BT265" i="1"/>
  <c r="BT266" i="1" s="1"/>
  <c r="BN265" i="1"/>
  <c r="BN266" i="1" s="1"/>
  <c r="V265" i="1"/>
  <c r="V266" i="1" s="1"/>
  <c r="BY260" i="1"/>
  <c r="BY261" i="1" s="1"/>
  <c r="AY260" i="1"/>
  <c r="AY261" i="1" s="1"/>
  <c r="AM260" i="1"/>
  <c r="AM261" i="1" s="1"/>
  <c r="BG247" i="1"/>
  <c r="BH247" i="1"/>
  <c r="BP247" i="1"/>
  <c r="BT235" i="1"/>
  <c r="BT218" i="1"/>
  <c r="O234" i="1"/>
  <c r="O218" i="1"/>
  <c r="AQ198" i="1"/>
  <c r="AW203" i="1"/>
  <c r="BY265" i="1"/>
  <c r="BY266" i="1" s="1"/>
  <c r="BM265" i="1"/>
  <c r="BM266" i="1" s="1"/>
  <c r="BA265" i="1"/>
  <c r="BA266" i="1" s="1"/>
  <c r="U265" i="1"/>
  <c r="U266" i="1" s="1"/>
  <c r="CK260" i="1"/>
  <c r="CK261" i="1" s="1"/>
  <c r="BX260" i="1"/>
  <c r="BO255" i="1"/>
  <c r="BO256" i="1" s="1"/>
  <c r="CG235" i="1"/>
  <c r="CG218" i="1"/>
  <c r="CG234" i="1"/>
  <c r="BS235" i="1"/>
  <c r="BS218" i="1"/>
  <c r="N218" i="1"/>
  <c r="N235" i="1"/>
  <c r="H234" i="1"/>
  <c r="H218" i="1"/>
  <c r="H219" i="1" s="1"/>
  <c r="AJ203" i="1"/>
  <c r="CF256" i="1"/>
  <c r="CM255" i="1"/>
  <c r="CM256" i="1" s="1"/>
  <c r="AF230" i="1"/>
  <c r="CN203" i="1"/>
  <c r="CN219" i="1" s="1"/>
  <c r="AN197" i="1"/>
  <c r="AP197" i="1" s="1"/>
  <c r="AR197" i="1" s="1"/>
  <c r="AR198" i="1" s="1"/>
  <c r="CO192" i="1"/>
  <c r="CO203" i="1" s="1"/>
  <c r="BK192" i="1"/>
  <c r="BO203" i="1"/>
  <c r="CJ192" i="1"/>
  <c r="CJ203" i="1" s="1"/>
  <c r="BF192" i="1"/>
  <c r="BN255" i="1"/>
  <c r="BN256" i="1" s="1"/>
  <c r="Z255" i="1"/>
  <c r="Z256" i="1" s="1"/>
  <c r="T255" i="1"/>
  <c r="T256" i="1" s="1"/>
  <c r="N255" i="1"/>
  <c r="N256" i="1" s="1"/>
  <c r="H255" i="1"/>
  <c r="H256" i="1" s="1"/>
  <c r="BU239" i="1"/>
  <c r="BU241" i="1" s="1"/>
  <c r="BV230" i="1"/>
  <c r="AL230" i="1"/>
  <c r="BU211" i="1"/>
  <c r="BU218" i="1" s="1"/>
  <c r="AO198" i="1"/>
  <c r="CA203" i="1"/>
  <c r="BA255" i="1"/>
  <c r="BA256" i="1" s="1"/>
  <c r="AU255" i="1"/>
  <c r="AU256" i="1" s="1"/>
  <c r="AI255" i="1"/>
  <c r="AI256" i="1" s="1"/>
  <c r="BT255" i="1"/>
  <c r="BT256" i="1" s="1"/>
  <c r="BE255" i="1"/>
  <c r="BE256" i="1" s="1"/>
  <c r="Y255" i="1"/>
  <c r="Y256" i="1" s="1"/>
  <c r="M255" i="1"/>
  <c r="M256" i="1" s="1"/>
  <c r="G255" i="1"/>
  <c r="G256" i="1" s="1"/>
  <c r="AB211" i="1"/>
  <c r="AB235" i="1" s="1"/>
  <c r="AQ242" i="1"/>
  <c r="BV241" i="1"/>
  <c r="AX132" i="1"/>
  <c r="AX176" i="1"/>
  <c r="AH132" i="1"/>
  <c r="AH136" i="1" s="1"/>
  <c r="AH176" i="1"/>
  <c r="CG226" i="1"/>
  <c r="BY226" i="1"/>
  <c r="BZ226" i="1"/>
  <c r="U226" i="1"/>
  <c r="V226" i="1"/>
  <c r="U227" i="1"/>
  <c r="BO263" i="1"/>
  <c r="BO265" i="1" s="1"/>
  <c r="BO266" i="1" s="1"/>
  <c r="BO260" i="1"/>
  <c r="BO261" i="1" s="1"/>
  <c r="CD261" i="1"/>
  <c r="AN256" i="1"/>
  <c r="BT176" i="1"/>
  <c r="AP227" i="1"/>
  <c r="CB260" i="1"/>
  <c r="CB261" i="1" s="1"/>
  <c r="CB263" i="1"/>
  <c r="CB265" i="1" s="1"/>
  <c r="CB266" i="1" s="1"/>
  <c r="CC266" i="1"/>
  <c r="AM266" i="1"/>
  <c r="CN241" i="1"/>
  <c r="CO133" i="1"/>
  <c r="CA263" i="1"/>
  <c r="CA265" i="1" s="1"/>
  <c r="CA266" i="1" s="1"/>
  <c r="L241" i="1"/>
  <c r="CK226" i="1"/>
  <c r="AZ226" i="1"/>
  <c r="AT241" i="1"/>
  <c r="CB238" i="1"/>
  <c r="CB239" i="1" s="1"/>
  <c r="Q241" i="1"/>
  <c r="K241" i="1"/>
  <c r="E241" i="1"/>
  <c r="BT161" i="1"/>
  <c r="BT168" i="1" s="1"/>
  <c r="BP137" i="1"/>
  <c r="BE119" i="1"/>
  <c r="BG119" i="1"/>
  <c r="AJ119" i="1"/>
  <c r="AC119" i="1"/>
  <c r="CL119" i="1"/>
  <c r="BI119" i="1"/>
  <c r="W119" i="1"/>
  <c r="BK111" i="1"/>
  <c r="CI226" i="1"/>
  <c r="CJ226" i="1"/>
  <c r="CB226" i="1"/>
  <c r="CC226" i="1"/>
  <c r="BU226" i="1"/>
  <c r="BT226" i="1"/>
  <c r="BM226" i="1"/>
  <c r="BG226" i="1"/>
  <c r="AY226" i="1"/>
  <c r="BB226" i="1"/>
  <c r="BA226" i="1"/>
  <c r="AF226" i="1"/>
  <c r="AG226" i="1"/>
  <c r="AF227" i="1"/>
  <c r="X226" i="1"/>
  <c r="AA226" i="1"/>
  <c r="BL271" i="1"/>
  <c r="O261" i="1"/>
  <c r="BS241" i="1"/>
  <c r="CK203" i="1"/>
  <c r="CC203" i="1"/>
  <c r="BW234" i="1"/>
  <c r="BW203" i="1"/>
  <c r="BW219" i="1" s="1"/>
  <c r="AY133" i="1"/>
  <c r="AX133" i="1"/>
  <c r="BJ176" i="1"/>
  <c r="BJ130" i="1"/>
  <c r="AF176" i="1"/>
  <c r="AF130" i="1"/>
  <c r="BH124" i="1"/>
  <c r="BH231" i="1" s="1"/>
  <c r="BH167" i="1"/>
  <c r="CO226" i="1"/>
  <c r="AD226" i="1"/>
  <c r="BX261" i="1"/>
  <c r="CM218" i="1"/>
  <c r="CM235" i="1"/>
  <c r="CM234" i="1"/>
  <c r="CM276" i="1"/>
  <c r="AO126" i="1"/>
  <c r="BC231" i="1"/>
  <c r="CK136" i="1"/>
  <c r="CO132" i="1"/>
  <c r="CJ117" i="1"/>
  <c r="CM226" i="1"/>
  <c r="CR110" i="1"/>
  <c r="CR226" i="1" s="1"/>
  <c r="CC255" i="1"/>
  <c r="CC256" i="1" s="1"/>
  <c r="CI256" i="1"/>
  <c r="BW256" i="1"/>
  <c r="CT186" i="1"/>
  <c r="CV186" i="1"/>
  <c r="CW186" i="1" s="1"/>
  <c r="CX186" i="1" s="1"/>
  <c r="AC130" i="1"/>
  <c r="AC136" i="1" s="1"/>
  <c r="AC176" i="1"/>
  <c r="BY126" i="1"/>
  <c r="BY128" i="1" s="1"/>
  <c r="BY167" i="1"/>
  <c r="AU241" i="1"/>
  <c r="P241" i="1"/>
  <c r="BC241" i="1"/>
  <c r="AQ241" i="1"/>
  <c r="AK241" i="1"/>
  <c r="F241" i="1"/>
  <c r="BC167" i="1"/>
  <c r="BK116" i="1"/>
  <c r="CM136" i="1"/>
  <c r="AX119" i="1"/>
  <c r="CD176" i="1"/>
  <c r="AY132" i="1"/>
  <c r="CC136" i="1"/>
  <c r="BZ130" i="1"/>
  <c r="CN231" i="1"/>
  <c r="AR194" i="1"/>
  <c r="AR227" i="1" s="1"/>
  <c r="R194" i="1"/>
  <c r="R231" i="1"/>
  <c r="BL119" i="1"/>
  <c r="BP117" i="1"/>
  <c r="BP116" i="1"/>
  <c r="AP119" i="1"/>
  <c r="AI119" i="1"/>
  <c r="BH119" i="1"/>
  <c r="CO110" i="1"/>
  <c r="CH226" i="1"/>
  <c r="CA226" i="1"/>
  <c r="BS226" i="1"/>
  <c r="BP110" i="1"/>
  <c r="BP227" i="1" s="1"/>
  <c r="BL226" i="1"/>
  <c r="BF226" i="1"/>
  <c r="BE227" i="1"/>
  <c r="AE226" i="1"/>
  <c r="W226" i="1"/>
  <c r="AZ261" i="1"/>
  <c r="BI263" i="1"/>
  <c r="BI265" i="1" s="1"/>
  <c r="BI266" i="1" s="1"/>
  <c r="BI260" i="1"/>
  <c r="BI261" i="1" s="1"/>
  <c r="BB263" i="1"/>
  <c r="BB265" i="1" s="1"/>
  <c r="BB266" i="1" s="1"/>
  <c r="BB260" i="1"/>
  <c r="BB261" i="1" s="1"/>
  <c r="AP263" i="1"/>
  <c r="AP265" i="1" s="1"/>
  <c r="AP266" i="1" s="1"/>
  <c r="AP260" i="1"/>
  <c r="AP261" i="1" s="1"/>
  <c r="AJ263" i="1"/>
  <c r="AJ260" i="1"/>
  <c r="AJ261" i="1" s="1"/>
  <c r="AD263" i="1"/>
  <c r="AD265" i="1" s="1"/>
  <c r="AD266" i="1" s="1"/>
  <c r="AD260" i="1"/>
  <c r="AD261" i="1" s="1"/>
  <c r="W263" i="1"/>
  <c r="W265" i="1" s="1"/>
  <c r="W266" i="1" s="1"/>
  <c r="W260" i="1"/>
  <c r="W261" i="1" s="1"/>
  <c r="Q263" i="1"/>
  <c r="Q265" i="1" s="1"/>
  <c r="Q266" i="1" s="1"/>
  <c r="Q260" i="1"/>
  <c r="Q261" i="1" s="1"/>
  <c r="K263" i="1"/>
  <c r="K265" i="1" s="1"/>
  <c r="K266" i="1" s="1"/>
  <c r="K260" i="1"/>
  <c r="K261" i="1" s="1"/>
  <c r="BC247" i="1"/>
  <c r="BD247" i="1"/>
  <c r="BE247" i="1" s="1"/>
  <c r="AX218" i="1"/>
  <c r="AX234" i="1"/>
  <c r="AX276" i="1"/>
  <c r="I333" i="1"/>
  <c r="CI203" i="1"/>
  <c r="BV203" i="1"/>
  <c r="BV219" i="1" s="1"/>
  <c r="BV234" i="1"/>
  <c r="BV235" i="1"/>
  <c r="BV276" i="1"/>
  <c r="BJ256" i="1"/>
  <c r="AX261" i="1"/>
  <c r="AL261" i="1"/>
  <c r="M266" i="1"/>
  <c r="AS241" i="1"/>
  <c r="BG136" i="1"/>
  <c r="BK117" i="1"/>
  <c r="BD119" i="1"/>
  <c r="BP112" i="1"/>
  <c r="BX226" i="1"/>
  <c r="BJ226" i="1"/>
  <c r="BJ227" i="1"/>
  <c r="BK226" i="1"/>
  <c r="BZ272" i="1"/>
  <c r="AS260" i="1"/>
  <c r="AS261" i="1" s="1"/>
  <c r="H260" i="1"/>
  <c r="H261" i="1" s="1"/>
  <c r="AS255" i="1"/>
  <c r="AS256" i="1" s="1"/>
  <c r="BC256" i="1"/>
  <c r="CH218" i="1"/>
  <c r="CH235" i="1"/>
  <c r="CH234" i="1"/>
  <c r="CE230" i="1"/>
  <c r="CJ264" i="1"/>
  <c r="CN176" i="1"/>
  <c r="AZ132" i="1"/>
  <c r="AJ132" i="1"/>
  <c r="BO136" i="1"/>
  <c r="BE130" i="1"/>
  <c r="AX130" i="1"/>
  <c r="AP130" i="1"/>
  <c r="AI130" i="1"/>
  <c r="Y130" i="1"/>
  <c r="CL126" i="1"/>
  <c r="CL128" i="1" s="1"/>
  <c r="BO126" i="1"/>
  <c r="BO128" i="1" s="1"/>
  <c r="BH126" i="1"/>
  <c r="AS126" i="1"/>
  <c r="AS128" i="1" s="1"/>
  <c r="AK126" i="1"/>
  <c r="AD126" i="1"/>
  <c r="BJ124" i="1"/>
  <c r="BJ231" i="1" s="1"/>
  <c r="AX124" i="1"/>
  <c r="AX231" i="1" s="1"/>
  <c r="AM194" i="1"/>
  <c r="X124" i="1"/>
  <c r="X231" i="1" s="1"/>
  <c r="CN120" i="1"/>
  <c r="BW120" i="1"/>
  <c r="BO120" i="1"/>
  <c r="BH120" i="1"/>
  <c r="AZ120" i="1"/>
  <c r="Y120" i="1"/>
  <c r="AU227" i="1"/>
  <c r="CJ132" i="1"/>
  <c r="CE132" i="1"/>
  <c r="BP132" i="1"/>
  <c r="CO131" i="1"/>
  <c r="BZ131" i="1"/>
  <c r="BP131" i="1"/>
  <c r="BB194" i="1"/>
  <c r="BB231" i="1"/>
  <c r="AL128" i="1"/>
  <c r="AL231" i="1"/>
  <c r="AC194" i="1"/>
  <c r="AC227" i="1" s="1"/>
  <c r="CO117" i="1"/>
  <c r="CJ115" i="1"/>
  <c r="BP111" i="1"/>
  <c r="CD226" i="1"/>
  <c r="CE226" i="1"/>
  <c r="BW226" i="1"/>
  <c r="BO226" i="1"/>
  <c r="BP226" i="1"/>
  <c r="BI226" i="1"/>
  <c r="Z227" i="1"/>
  <c r="Z226" i="1"/>
  <c r="AJ264" i="1"/>
  <c r="CL263" i="1"/>
  <c r="CL265" i="1" s="1"/>
  <c r="CL266" i="1" s="1"/>
  <c r="CL260" i="1"/>
  <c r="CL261" i="1" s="1"/>
  <c r="AX247" i="1"/>
  <c r="AY247" i="1"/>
  <c r="BR241" i="1"/>
  <c r="AR241" i="1"/>
  <c r="BA241" i="1"/>
  <c r="CB256" i="1"/>
  <c r="S266" i="1"/>
  <c r="CK241" i="1"/>
  <c r="AI241" i="1"/>
  <c r="AI218" i="1"/>
  <c r="AI235" i="1"/>
  <c r="AI234" i="1"/>
  <c r="CK264" i="1"/>
  <c r="BF230" i="1"/>
  <c r="BF264" i="1"/>
  <c r="BK264" i="1"/>
  <c r="BU259" i="1"/>
  <c r="BV259" i="1"/>
  <c r="BV260" i="1" s="1"/>
  <c r="BV261" i="1" s="1"/>
  <c r="BZ259" i="1"/>
  <c r="BV263" i="1"/>
  <c r="CJ124" i="1"/>
  <c r="BX119" i="1"/>
  <c r="AW119" i="1"/>
  <c r="CL226" i="1"/>
  <c r="CF226" i="1"/>
  <c r="BQ226" i="1"/>
  <c r="BC226" i="1"/>
  <c r="Z260" i="1"/>
  <c r="Z261" i="1" s="1"/>
  <c r="CM261" i="1"/>
  <c r="BD130" i="1"/>
  <c r="X130" i="1"/>
  <c r="X136" i="1" s="1"/>
  <c r="AN167" i="1"/>
  <c r="AY126" i="1"/>
  <c r="T126" i="1"/>
  <c r="W231" i="1"/>
  <c r="W194" i="1"/>
  <c r="CJ134" i="1"/>
  <c r="BZ134" i="1"/>
  <c r="BP133" i="1"/>
  <c r="CB136" i="1"/>
  <c r="CR124" i="1"/>
  <c r="CR231" i="1" s="1"/>
  <c r="CO115" i="1"/>
  <c r="BJ119" i="1"/>
  <c r="BC119" i="1"/>
  <c r="AU119" i="1"/>
  <c r="AF119" i="1"/>
  <c r="X119" i="1"/>
  <c r="BT119" i="1"/>
  <c r="BZ112" i="1"/>
  <c r="CJ110" i="1"/>
  <c r="BV226" i="1"/>
  <c r="BN226" i="1"/>
  <c r="BH226" i="1"/>
  <c r="Y226" i="1"/>
  <c r="CO264" i="1"/>
  <c r="BS265" i="1"/>
  <c r="BS266" i="1" s="1"/>
  <c r="H263" i="1"/>
  <c r="H265" i="1" s="1"/>
  <c r="H266" i="1" s="1"/>
  <c r="T260" i="1"/>
  <c r="T261" i="1" s="1"/>
  <c r="CC260" i="1"/>
  <c r="CC261" i="1" s="1"/>
  <c r="BC263" i="1"/>
  <c r="BC265" i="1" s="1"/>
  <c r="BC266" i="1" s="1"/>
  <c r="BC260" i="1"/>
  <c r="BC261" i="1" s="1"/>
  <c r="AQ265" i="1"/>
  <c r="AQ266" i="1" s="1"/>
  <c r="AK263" i="1"/>
  <c r="AK265" i="1" s="1"/>
  <c r="AK266" i="1" s="1"/>
  <c r="AK260" i="1"/>
  <c r="AK261" i="1" s="1"/>
  <c r="R263" i="1"/>
  <c r="R265" i="1" s="1"/>
  <c r="R266" i="1" s="1"/>
  <c r="R260" i="1"/>
  <c r="R261" i="1" s="1"/>
  <c r="L265" i="1"/>
  <c r="L266" i="1" s="1"/>
  <c r="G241" i="1"/>
  <c r="CF241" i="1"/>
  <c r="M241" i="1"/>
  <c r="AW231" i="1"/>
  <c r="AJ211" i="1"/>
  <c r="AJ218" i="1" s="1"/>
  <c r="Q218" i="1"/>
  <c r="Q276" i="1"/>
  <c r="Q305" i="1"/>
  <c r="K218" i="1"/>
  <c r="K276" i="1"/>
  <c r="K305" i="1"/>
  <c r="E218" i="1"/>
  <c r="E276" i="1"/>
  <c r="E305" i="1"/>
  <c r="E309" i="1" s="1"/>
  <c r="CO211" i="1"/>
  <c r="CO238" i="1"/>
  <c r="CO239" i="1" s="1"/>
  <c r="BI203" i="1"/>
  <c r="BI235" i="1"/>
  <c r="AV203" i="1"/>
  <c r="AP203" i="1"/>
  <c r="AD203" i="1"/>
  <c r="V234" i="1"/>
  <c r="V235" i="1"/>
  <c r="P234" i="1"/>
  <c r="P203" i="1"/>
  <c r="J203" i="1"/>
  <c r="J234" i="1"/>
  <c r="J235" i="1"/>
  <c r="D203" i="1"/>
  <c r="D234" i="1"/>
  <c r="BT241" i="1"/>
  <c r="AA234" i="1"/>
  <c r="AA235" i="1"/>
  <c r="AA218" i="1"/>
  <c r="BF207" i="1"/>
  <c r="BE211" i="1"/>
  <c r="R197" i="1"/>
  <c r="S197" i="1" s="1"/>
  <c r="T197" i="1" s="1"/>
  <c r="V199" i="1"/>
  <c r="V305" i="1" s="1"/>
  <c r="W197" i="1"/>
  <c r="X197" i="1" s="1"/>
  <c r="Y197" i="1" s="1"/>
  <c r="Z197" i="1" s="1"/>
  <c r="Z198" i="1" s="1"/>
  <c r="BG194" i="1"/>
  <c r="BG227" i="1" s="1"/>
  <c r="CF263" i="1"/>
  <c r="CF265" i="1" s="1"/>
  <c r="CF266" i="1" s="1"/>
  <c r="CE229" i="1"/>
  <c r="CM265" i="1"/>
  <c r="CM266" i="1" s="1"/>
  <c r="CD229" i="1"/>
  <c r="CD230" i="1"/>
  <c r="BX229" i="1"/>
  <c r="BX230" i="1"/>
  <c r="BR229" i="1"/>
  <c r="BR230" i="1"/>
  <c r="BL229" i="1"/>
  <c r="BL230" i="1"/>
  <c r="AZ229" i="1"/>
  <c r="AZ230" i="1"/>
  <c r="AT229" i="1"/>
  <c r="AT230" i="1"/>
  <c r="AN229" i="1"/>
  <c r="AN230" i="1"/>
  <c r="AH229" i="1"/>
  <c r="AH230" i="1"/>
  <c r="AA229" i="1"/>
  <c r="AA230" i="1"/>
  <c r="U229" i="1"/>
  <c r="U230" i="1"/>
  <c r="L229" i="1"/>
  <c r="L230" i="1"/>
  <c r="F229" i="1"/>
  <c r="F230" i="1"/>
  <c r="BO228" i="1"/>
  <c r="BO242" i="1"/>
  <c r="CD211" i="1"/>
  <c r="CE207" i="1"/>
  <c r="CE281" i="1" s="1"/>
  <c r="CE283" i="1" s="1"/>
  <c r="CD238" i="1"/>
  <c r="CD239" i="1" s="1"/>
  <c r="AD211" i="1"/>
  <c r="AD218" i="1" s="1"/>
  <c r="CE199" i="1"/>
  <c r="CD203" i="1"/>
  <c r="BX203" i="1"/>
  <c r="BX219" i="1" s="1"/>
  <c r="BR203" i="1"/>
  <c r="BR219" i="1" s="1"/>
  <c r="CT190" i="1"/>
  <c r="BD203" i="1"/>
  <c r="AX203" i="1"/>
  <c r="AR203" i="1"/>
  <c r="AL203" i="1"/>
  <c r="AF203" i="1"/>
  <c r="X203" i="1"/>
  <c r="R203" i="1"/>
  <c r="L203" i="1"/>
  <c r="L235" i="1"/>
  <c r="F203" i="1"/>
  <c r="F235" i="1"/>
  <c r="BJ203" i="1"/>
  <c r="W203" i="1"/>
  <c r="Q235" i="1"/>
  <c r="Q234" i="1"/>
  <c r="K235" i="1"/>
  <c r="K203" i="1"/>
  <c r="K234" i="1"/>
  <c r="E203" i="1"/>
  <c r="E235" i="1"/>
  <c r="E234" i="1"/>
  <c r="BZ207" i="1"/>
  <c r="BZ281" i="1" s="1"/>
  <c r="BZ283" i="1" s="1"/>
  <c r="BY211" i="1"/>
  <c r="AT197" i="1"/>
  <c r="AT198" i="1" s="1"/>
  <c r="M198" i="1"/>
  <c r="L197" i="1"/>
  <c r="BQ194" i="1"/>
  <c r="BQ227" i="1" s="1"/>
  <c r="CG203" i="1"/>
  <c r="BL194" i="1"/>
  <c r="BL227" i="1" s="1"/>
  <c r="Y203" i="1"/>
  <c r="S203" i="1"/>
  <c r="S219" i="1" s="1"/>
  <c r="CE192" i="1"/>
  <c r="CA126" i="1"/>
  <c r="CA167" i="1"/>
  <c r="BD126" i="1"/>
  <c r="BD167" i="1"/>
  <c r="AH126" i="1"/>
  <c r="AH128" i="1" s="1"/>
  <c r="AH167" i="1"/>
  <c r="R126" i="1"/>
  <c r="R128" i="1" s="1"/>
  <c r="R167" i="1"/>
  <c r="AI124" i="1"/>
  <c r="AI167" i="1"/>
  <c r="AR130" i="1"/>
  <c r="AY176" i="1"/>
  <c r="AM140" i="1"/>
  <c r="AL143" i="1"/>
  <c r="AQ140" i="1"/>
  <c r="BN136" i="1"/>
  <c r="CF128" i="1"/>
  <c r="Y124" i="1"/>
  <c r="Y167" i="1"/>
  <c r="BB128" i="1"/>
  <c r="CF167" i="1"/>
  <c r="AU167" i="1"/>
  <c r="X167" i="1"/>
  <c r="CO114" i="1"/>
  <c r="CK119" i="1"/>
  <c r="AY134" i="1"/>
  <c r="AZ134" i="1"/>
  <c r="BQ130" i="1"/>
  <c r="BQ176" i="1"/>
  <c r="BS126" i="1"/>
  <c r="BS128" i="1" s="1"/>
  <c r="BS167" i="1"/>
  <c r="T124" i="1"/>
  <c r="T167" i="1"/>
  <c r="CE124" i="1"/>
  <c r="AK176" i="1"/>
  <c r="AO124" i="1"/>
  <c r="AO167" i="1"/>
  <c r="Z167" i="1"/>
  <c r="Z124" i="1"/>
  <c r="Z231" i="1" s="1"/>
  <c r="AT120" i="1"/>
  <c r="AU120" i="1"/>
  <c r="CA116" i="1"/>
  <c r="CB116" i="1"/>
  <c r="CB119" i="1" s="1"/>
  <c r="CA158" i="1"/>
  <c r="CE137" i="1"/>
  <c r="BK137" i="1"/>
  <c r="AJ176" i="1"/>
  <c r="CG167" i="1"/>
  <c r="AZ167" i="1"/>
  <c r="CD136" i="1"/>
  <c r="BG176" i="1"/>
  <c r="BS130" i="1"/>
  <c r="BS136" i="1" s="1"/>
  <c r="BT130" i="1"/>
  <c r="BT136" i="1" s="1"/>
  <c r="BS176" i="1"/>
  <c r="BB130" i="1"/>
  <c r="BB176" i="1"/>
  <c r="AM130" i="1"/>
  <c r="AM136" i="1" s="1"/>
  <c r="AM176" i="1"/>
  <c r="CN167" i="1"/>
  <c r="BR167" i="1"/>
  <c r="AT167" i="1"/>
  <c r="W167" i="1"/>
  <c r="BD161" i="1"/>
  <c r="CH136" i="1"/>
  <c r="CE131" i="1"/>
  <c r="Y134" i="1"/>
  <c r="Y176" i="1"/>
  <c r="BD132" i="1"/>
  <c r="BD176" i="1"/>
  <c r="BE132" i="1"/>
  <c r="CH126" i="1"/>
  <c r="CH128" i="1" s="1"/>
  <c r="CH167" i="1"/>
  <c r="BL126" i="1"/>
  <c r="BL167" i="1"/>
  <c r="AW126" i="1"/>
  <c r="AW128" i="1" s="1"/>
  <c r="AW167" i="1"/>
  <c r="AP124" i="1"/>
  <c r="AP231" i="1" s="1"/>
  <c r="AP167" i="1"/>
  <c r="CF116" i="1"/>
  <c r="CG116" i="1"/>
  <c r="CG119" i="1" s="1"/>
  <c r="AT112" i="1"/>
  <c r="AS112" i="1"/>
  <c r="Z176" i="1"/>
  <c r="BJ167" i="1"/>
  <c r="BQ128" i="1"/>
  <c r="AY124" i="1"/>
  <c r="AY167" i="1"/>
  <c r="BI167" i="1"/>
  <c r="AI137" i="1"/>
  <c r="AJ137" i="1"/>
  <c r="AE134" i="1"/>
  <c r="AD134" i="1"/>
  <c r="AW132" i="1"/>
  <c r="AW136" i="1" s="1"/>
  <c r="AW176" i="1"/>
  <c r="BI130" i="1"/>
  <c r="BI176" i="1"/>
  <c r="AT130" i="1"/>
  <c r="AT176" i="1"/>
  <c r="AD130" i="1"/>
  <c r="AE130" i="1"/>
  <c r="AD176" i="1"/>
  <c r="BB134" i="1"/>
  <c r="BC134" i="1"/>
  <c r="Z134" i="1"/>
  <c r="BI132" i="1"/>
  <c r="BJ132" i="1"/>
  <c r="AU132" i="1"/>
  <c r="AE132" i="1"/>
  <c r="AE176" i="1"/>
  <c r="BR130" i="1"/>
  <c r="BR136" i="1" s="1"/>
  <c r="BR176" i="1"/>
  <c r="BH130" i="1"/>
  <c r="BH136" i="1" s="1"/>
  <c r="AZ130" i="1"/>
  <c r="AS130" i="1"/>
  <c r="AK130" i="1"/>
  <c r="T130" i="1"/>
  <c r="T136" i="1" s="1"/>
  <c r="CM167" i="1"/>
  <c r="BQ167" i="1"/>
  <c r="AF167" i="1"/>
  <c r="CI126" i="1"/>
  <c r="CI128" i="1" s="1"/>
  <c r="AX126" i="1"/>
  <c r="S126" i="1"/>
  <c r="S128" i="1" s="1"/>
  <c r="AH110" i="1"/>
  <c r="AI110" i="1"/>
  <c r="BU134" i="1"/>
  <c r="BK134" i="1"/>
  <c r="BX136" i="1"/>
  <c r="BU133" i="1"/>
  <c r="BZ124" i="1"/>
  <c r="BD124" i="1"/>
  <c r="AM128" i="1"/>
  <c r="AM116" i="1"/>
  <c r="AM119" i="1" s="1"/>
  <c r="AN116" i="1"/>
  <c r="AN119" i="1" s="1"/>
  <c r="CJ130" i="1"/>
  <c r="CF136" i="1"/>
  <c r="AQ136" i="1"/>
  <c r="CO125" i="1"/>
  <c r="BV128" i="1"/>
  <c r="BZ125" i="1"/>
  <c r="R136" i="1"/>
  <c r="BC176" i="1"/>
  <c r="AR134" i="1"/>
  <c r="AS134" i="1"/>
  <c r="AP132" i="1"/>
  <c r="AI132" i="1"/>
  <c r="CN136" i="1"/>
  <c r="BL130" i="1"/>
  <c r="BM130" i="1"/>
  <c r="BM136" i="1" s="1"/>
  <c r="AO130" i="1"/>
  <c r="CI167" i="1"/>
  <c r="AX167" i="1"/>
  <c r="S167" i="1"/>
  <c r="CK128" i="1"/>
  <c r="CC126" i="1"/>
  <c r="CC128" i="1" s="1"/>
  <c r="BN126" i="1"/>
  <c r="BN128" i="1" s="1"/>
  <c r="AJ126" i="1"/>
  <c r="BI124" i="1"/>
  <c r="AK124" i="1"/>
  <c r="W128" i="1"/>
  <c r="CM120" i="1"/>
  <c r="CD120" i="1"/>
  <c r="BN120" i="1"/>
  <c r="AY120" i="1"/>
  <c r="AF120" i="1"/>
  <c r="X120" i="1"/>
  <c r="BP134" i="1"/>
  <c r="CL136" i="1"/>
  <c r="AO132" i="1"/>
  <c r="AU130" i="1"/>
  <c r="AN130" i="1"/>
  <c r="CB126" i="1"/>
  <c r="CB128" i="1" s="1"/>
  <c r="BT126" i="1"/>
  <c r="BM126" i="1"/>
  <c r="BM128" i="1" s="1"/>
  <c r="BE126" i="1"/>
  <c r="BE128" i="1" s="1"/>
  <c r="AP126" i="1"/>
  <c r="AI126" i="1"/>
  <c r="Z126" i="1"/>
  <c r="AJ124" i="1"/>
  <c r="U124" i="1"/>
  <c r="CL120" i="1"/>
  <c r="CC120" i="1"/>
  <c r="BT120" i="1"/>
  <c r="BM120" i="1"/>
  <c r="BE120" i="1"/>
  <c r="AX120" i="1"/>
  <c r="AE120" i="1"/>
  <c r="AS110" i="1"/>
  <c r="AT110" i="1"/>
  <c r="CJ137" i="1"/>
  <c r="CO130" i="1"/>
  <c r="CO111" i="1"/>
  <c r="BZ133" i="1"/>
  <c r="BU132" i="1"/>
  <c r="BK131" i="1"/>
  <c r="CA136" i="1"/>
  <c r="CE130" i="1"/>
  <c r="CE125" i="1"/>
  <c r="BQ119" i="1"/>
  <c r="BU116" i="1"/>
  <c r="CJ131" i="1"/>
  <c r="CG128" i="1"/>
  <c r="BK125" i="1"/>
  <c r="CD119" i="1"/>
  <c r="CE117" i="1"/>
  <c r="BW119" i="1"/>
  <c r="BU137" i="1"/>
  <c r="CE134" i="1"/>
  <c r="BZ132" i="1"/>
  <c r="CG136" i="1"/>
  <c r="CJ125" i="1"/>
  <c r="BZ114" i="1"/>
  <c r="BY119" i="1"/>
  <c r="BP124" i="1"/>
  <c r="CZ110" i="1"/>
  <c r="DE110" i="1" s="1"/>
  <c r="CO116" i="1"/>
  <c r="Z119" i="1"/>
  <c r="S119" i="1"/>
  <c r="BP114" i="1"/>
  <c r="BM119" i="1"/>
  <c r="BU110" i="1"/>
  <c r="CU124" i="1"/>
  <c r="CU231" i="1" s="1"/>
  <c r="BU124" i="1"/>
  <c r="BU117" i="1"/>
  <c r="Y119" i="1"/>
  <c r="CM119" i="1"/>
  <c r="CJ114" i="1"/>
  <c r="BU114" i="1"/>
  <c r="CO112" i="1"/>
  <c r="BU112" i="1"/>
  <c r="BZ117" i="1"/>
  <c r="CC119" i="1"/>
  <c r="BZ116" i="1"/>
  <c r="BV119" i="1"/>
  <c r="CT112" i="1"/>
  <c r="BZ111" i="1"/>
  <c r="BZ110" i="1"/>
  <c r="CH119" i="1"/>
  <c r="CE115" i="1"/>
  <c r="BK115" i="1"/>
  <c r="AS119" i="1"/>
  <c r="CY112" i="1"/>
  <c r="BK112" i="1"/>
  <c r="CI119" i="1"/>
  <c r="CN119" i="1"/>
  <c r="BZ115" i="1"/>
  <c r="BK114" i="1"/>
  <c r="AY119" i="1"/>
  <c r="AR119" i="1"/>
  <c r="T119" i="1"/>
  <c r="CE110" i="1"/>
  <c r="BB276" i="1" l="1"/>
  <c r="AI219" i="1"/>
  <c r="BB235" i="1"/>
  <c r="BO276" i="1"/>
  <c r="Z271" i="1"/>
  <c r="BO234" i="1"/>
  <c r="BC136" i="1"/>
  <c r="BB218" i="1"/>
  <c r="AA219" i="1"/>
  <c r="CP287" i="1"/>
  <c r="CP296" i="1" s="1"/>
  <c r="CQ285" i="1"/>
  <c r="AK276" i="1"/>
  <c r="BK271" i="1"/>
  <c r="BV289" i="1"/>
  <c r="U219" i="1"/>
  <c r="AP219" i="1"/>
  <c r="O285" i="1"/>
  <c r="Z136" i="1"/>
  <c r="AE218" i="1"/>
  <c r="AE219" i="1" s="1"/>
  <c r="W276" i="1"/>
  <c r="AY235" i="1"/>
  <c r="CB219" i="1"/>
  <c r="AT219" i="1"/>
  <c r="BV265" i="1"/>
  <c r="BV266" i="1" s="1"/>
  <c r="BH276" i="1"/>
  <c r="CI271" i="1"/>
  <c r="CC289" i="1"/>
  <c r="CK265" i="1"/>
  <c r="CK266" i="1" s="1"/>
  <c r="CK268" i="1" s="1"/>
  <c r="CC271" i="1"/>
  <c r="BV285" i="1"/>
  <c r="L271" i="1"/>
  <c r="H287" i="1"/>
  <c r="H296" i="1" s="1"/>
  <c r="AK136" i="1"/>
  <c r="J277" i="1"/>
  <c r="O277" i="1"/>
  <c r="AT136" i="1"/>
  <c r="G285" i="1"/>
  <c r="P277" i="1"/>
  <c r="N277" i="1"/>
  <c r="AZ128" i="1"/>
  <c r="BJ234" i="1"/>
  <c r="AW234" i="1"/>
  <c r="G271" i="1"/>
  <c r="G310" i="1"/>
  <c r="G327" i="1" s="1"/>
  <c r="W218" i="1"/>
  <c r="W219" i="1" s="1"/>
  <c r="E287" i="1"/>
  <c r="E296" i="1" s="1"/>
  <c r="W235" i="1"/>
  <c r="F310" i="1"/>
  <c r="F327" i="1" s="1"/>
  <c r="AE235" i="1"/>
  <c r="BH218" i="1"/>
  <c r="BH219" i="1" s="1"/>
  <c r="BH234" i="1"/>
  <c r="AE276" i="1"/>
  <c r="AF277" i="1" s="1"/>
  <c r="BZ120" i="1"/>
  <c r="AB234" i="1"/>
  <c r="BS219" i="1"/>
  <c r="BB219" i="1"/>
  <c r="BK120" i="1"/>
  <c r="AK235" i="1"/>
  <c r="AS218" i="1"/>
  <c r="AS219" i="1" s="1"/>
  <c r="AO287" i="1"/>
  <c r="AO296" i="1" s="1"/>
  <c r="AS234" i="1"/>
  <c r="AG305" i="1"/>
  <c r="AS235" i="1"/>
  <c r="AY287" i="1"/>
  <c r="AY296" i="1" s="1"/>
  <c r="AH235" i="1"/>
  <c r="BN218" i="1"/>
  <c r="BN219" i="1" s="1"/>
  <c r="AI277" i="1"/>
  <c r="AG234" i="1"/>
  <c r="CJ120" i="1"/>
  <c r="CO271" i="1"/>
  <c r="AH234" i="1"/>
  <c r="CH219" i="1"/>
  <c r="O219" i="1"/>
  <c r="AG218" i="1"/>
  <c r="AG219" i="1" s="1"/>
  <c r="BQ265" i="1"/>
  <c r="BQ266" i="1" s="1"/>
  <c r="BQ268" i="1" s="1"/>
  <c r="AP226" i="1"/>
  <c r="D277" i="1"/>
  <c r="AB218" i="1"/>
  <c r="AB219" i="1" s="1"/>
  <c r="AX198" i="1"/>
  <c r="AW198" i="1" s="1"/>
  <c r="AW197" i="1" s="1"/>
  <c r="Q219" i="1"/>
  <c r="AH218" i="1"/>
  <c r="AH219" i="1" s="1"/>
  <c r="M277" i="1"/>
  <c r="AG235" i="1"/>
  <c r="R285" i="1"/>
  <c r="BX285" i="1"/>
  <c r="AT287" i="1"/>
  <c r="AT296" i="1" s="1"/>
  <c r="BY289" i="1"/>
  <c r="S285" i="1"/>
  <c r="BX271" i="1"/>
  <c r="BR285" i="1"/>
  <c r="U285" i="1"/>
  <c r="U287" i="1"/>
  <c r="U296" i="1" s="1"/>
  <c r="BO219" i="1"/>
  <c r="BN271" i="1"/>
  <c r="BY285" i="1"/>
  <c r="M287" i="1"/>
  <c r="M296" i="1" s="1"/>
  <c r="O333" i="1"/>
  <c r="R276" i="1"/>
  <c r="S277" i="1" s="1"/>
  <c r="H285" i="1"/>
  <c r="T287" i="1"/>
  <c r="T296" i="1" s="1"/>
  <c r="Z287" i="1"/>
  <c r="Z296" i="1" s="1"/>
  <c r="AT277" i="1"/>
  <c r="N333" i="1"/>
  <c r="CB276" i="1"/>
  <c r="N219" i="1"/>
  <c r="S287" i="1"/>
  <c r="S296" i="1" s="1"/>
  <c r="T285" i="1"/>
  <c r="N287" i="1"/>
  <c r="N296" i="1" s="1"/>
  <c r="R235" i="1"/>
  <c r="CB235" i="1"/>
  <c r="CM219" i="1"/>
  <c r="BM271" i="1"/>
  <c r="CD285" i="1"/>
  <c r="BU120" i="1"/>
  <c r="R219" i="1"/>
  <c r="CB234" i="1"/>
  <c r="I287" i="1"/>
  <c r="I296" i="1" s="1"/>
  <c r="AQ226" i="1"/>
  <c r="O287" i="1"/>
  <c r="O296" i="1" s="1"/>
  <c r="AR226" i="1"/>
  <c r="N285" i="1"/>
  <c r="CD287" i="1"/>
  <c r="CD296" i="1" s="1"/>
  <c r="CK271" i="1"/>
  <c r="AN136" i="1"/>
  <c r="BT219" i="1"/>
  <c r="AY268" i="1"/>
  <c r="I285" i="1"/>
  <c r="CD289" i="1"/>
  <c r="BJ218" i="1"/>
  <c r="BJ219" i="1" s="1"/>
  <c r="BF271" i="1"/>
  <c r="BC276" i="1"/>
  <c r="BC277" i="1" s="1"/>
  <c r="BC235" i="1"/>
  <c r="J287" i="1"/>
  <c r="J296" i="1" s="1"/>
  <c r="BJ235" i="1"/>
  <c r="CI289" i="1"/>
  <c r="X234" i="1"/>
  <c r="D271" i="1"/>
  <c r="P285" i="1"/>
  <c r="V268" i="1"/>
  <c r="CU226" i="1"/>
  <c r="AK219" i="1"/>
  <c r="BZ126" i="1"/>
  <c r="BZ128" i="1" s="1"/>
  <c r="J285" i="1"/>
  <c r="G277" i="1"/>
  <c r="BO285" i="1"/>
  <c r="BR287" i="1"/>
  <c r="BR296" i="1" s="1"/>
  <c r="DF215" i="1"/>
  <c r="DG214" i="1"/>
  <c r="DG209" i="1"/>
  <c r="DG206" i="1"/>
  <c r="DG201" i="1"/>
  <c r="DG200" i="1"/>
  <c r="DG189" i="1"/>
  <c r="AQ276" i="1"/>
  <c r="AK234" i="1"/>
  <c r="AW227" i="1"/>
  <c r="BI271" i="1"/>
  <c r="BX287" i="1"/>
  <c r="BX296" i="1" s="1"/>
  <c r="BW287" i="1"/>
  <c r="BW296" i="1" s="1"/>
  <c r="BS285" i="1"/>
  <c r="CH285" i="1"/>
  <c r="BW285" i="1"/>
  <c r="X198" i="1"/>
  <c r="AR276" i="1"/>
  <c r="AS277" i="1" s="1"/>
  <c r="CJ211" i="1"/>
  <c r="CJ276" i="1" s="1"/>
  <c r="AR218" i="1"/>
  <c r="AT285" i="1"/>
  <c r="BW289" i="1"/>
  <c r="AQ234" i="1"/>
  <c r="BW128" i="1"/>
  <c r="H333" i="1"/>
  <c r="BS287" i="1"/>
  <c r="BS296" i="1" s="1"/>
  <c r="CL271" i="1"/>
  <c r="BY287" i="1"/>
  <c r="BY296" i="1" s="1"/>
  <c r="R234" i="1"/>
  <c r="V285" i="1"/>
  <c r="CG285" i="1"/>
  <c r="O332" i="1"/>
  <c r="R287" i="1"/>
  <c r="D287" i="1"/>
  <c r="D296" i="1" s="1"/>
  <c r="CH287" i="1"/>
  <c r="CH296" i="1" s="1"/>
  <c r="CT116" i="1"/>
  <c r="BK218" i="1"/>
  <c r="BK235" i="1"/>
  <c r="AV268" i="1"/>
  <c r="Y218" i="1"/>
  <c r="Y234" i="1"/>
  <c r="Y276" i="1"/>
  <c r="Z277" i="1" s="1"/>
  <c r="Y235" i="1"/>
  <c r="M285" i="1"/>
  <c r="BK305" i="1"/>
  <c r="Y219" i="1"/>
  <c r="BK203" i="1"/>
  <c r="CB289" i="1"/>
  <c r="AJ136" i="1"/>
  <c r="CM271" i="1"/>
  <c r="AG285" i="1"/>
  <c r="AC285" i="1"/>
  <c r="G287" i="1"/>
  <c r="G296" i="1" s="1"/>
  <c r="CG287" i="1"/>
  <c r="CG296" i="1" s="1"/>
  <c r="CA219" i="1"/>
  <c r="AO268" i="1"/>
  <c r="BS268" i="1"/>
  <c r="W198" i="1"/>
  <c r="BC271" i="1"/>
  <c r="CB271" i="1"/>
  <c r="BO287" i="1"/>
  <c r="BO296" i="1" s="1"/>
  <c r="AI287" i="1"/>
  <c r="AI296" i="1" s="1"/>
  <c r="AC287" i="1"/>
  <c r="AC296" i="1" s="1"/>
  <c r="BJ136" i="1"/>
  <c r="CE285" i="1"/>
  <c r="BZ136" i="1"/>
  <c r="CK235" i="1"/>
  <c r="AI268" i="1"/>
  <c r="AM235" i="1"/>
  <c r="CA234" i="1"/>
  <c r="BT268" i="1"/>
  <c r="P287" i="1"/>
  <c r="P296" i="1" s="1"/>
  <c r="BB268" i="1"/>
  <c r="CJ283" i="1"/>
  <c r="CJ285" i="1" s="1"/>
  <c r="AL285" i="1"/>
  <c r="M271" i="1"/>
  <c r="BY268" i="1"/>
  <c r="BP234" i="1"/>
  <c r="BC219" i="1"/>
  <c r="AA271" i="1"/>
  <c r="AD219" i="1"/>
  <c r="BY179" i="1"/>
  <c r="BP203" i="1"/>
  <c r="BU332" i="1" s="1"/>
  <c r="AA268" i="1"/>
  <c r="BU235" i="1"/>
  <c r="AM234" i="1"/>
  <c r="O268" i="1"/>
  <c r="BV287" i="1"/>
  <c r="BY271" i="1"/>
  <c r="CG271" i="1"/>
  <c r="CP285" i="1"/>
  <c r="J268" i="1"/>
  <c r="CO126" i="1"/>
  <c r="CO128" i="1" s="1"/>
  <c r="CC276" i="1"/>
  <c r="CC277" i="1" s="1"/>
  <c r="P268" i="1"/>
  <c r="BG268" i="1"/>
  <c r="BZ285" i="1"/>
  <c r="BJ128" i="1"/>
  <c r="BE136" i="1"/>
  <c r="AM218" i="1"/>
  <c r="AM219" i="1" s="1"/>
  <c r="BC234" i="1"/>
  <c r="AV285" i="1"/>
  <c r="AA285" i="1"/>
  <c r="CP78" i="1"/>
  <c r="CP82" i="1"/>
  <c r="AU287" i="1"/>
  <c r="AU296" i="1" s="1"/>
  <c r="AU285" i="1"/>
  <c r="AP285" i="1"/>
  <c r="AP287" i="1"/>
  <c r="AP296" i="1" s="1"/>
  <c r="BJ285" i="1"/>
  <c r="BJ287" i="1"/>
  <c r="BJ296" i="1" s="1"/>
  <c r="W285" i="1"/>
  <c r="W287" i="1"/>
  <c r="BL218" i="1"/>
  <c r="BL219" i="1" s="1"/>
  <c r="BL234" i="1"/>
  <c r="BL276" i="1"/>
  <c r="BL235" i="1"/>
  <c r="X285" i="1"/>
  <c r="X287" i="1"/>
  <c r="X296" i="1" s="1"/>
  <c r="BM218" i="1"/>
  <c r="BM219" i="1" s="1"/>
  <c r="BM235" i="1"/>
  <c r="BM234" i="1"/>
  <c r="BM276" i="1"/>
  <c r="BN277" i="1" s="1"/>
  <c r="AM285" i="1"/>
  <c r="AM287" i="1"/>
  <c r="CG219" i="1"/>
  <c r="AS197" i="1"/>
  <c r="AU197" i="1" s="1"/>
  <c r="AU198" i="1" s="1"/>
  <c r="BI234" i="1"/>
  <c r="AX194" i="1"/>
  <c r="AX195" i="1" s="1"/>
  <c r="CL268" i="1"/>
  <c r="BK126" i="1"/>
  <c r="AX136" i="1"/>
  <c r="AQ235" i="1"/>
  <c r="AR235" i="1"/>
  <c r="BT179" i="1"/>
  <c r="BH268" i="1"/>
  <c r="N271" i="1"/>
  <c r="AU218" i="1"/>
  <c r="AU219" i="1" s="1"/>
  <c r="AU235" i="1"/>
  <c r="AU276" i="1"/>
  <c r="AU277" i="1" s="1"/>
  <c r="AU234" i="1"/>
  <c r="CM289" i="1"/>
  <c r="BB285" i="1"/>
  <c r="BB287" i="1"/>
  <c r="AW285" i="1"/>
  <c r="BK238" i="1"/>
  <c r="BK239" i="1" s="1"/>
  <c r="BK241" i="1" s="1"/>
  <c r="BK281" i="1"/>
  <c r="BK283" i="1" s="1"/>
  <c r="BL287" i="1" s="1"/>
  <c r="AD285" i="1"/>
  <c r="AD287" i="1"/>
  <c r="AD296" i="1" s="1"/>
  <c r="AX285" i="1"/>
  <c r="AX287" i="1"/>
  <c r="AX296" i="1" s="1"/>
  <c r="CK289" i="1"/>
  <c r="X218" i="1"/>
  <c r="X219" i="1" s="1"/>
  <c r="X276" i="1"/>
  <c r="Y277" i="1" s="1"/>
  <c r="AR285" i="1"/>
  <c r="AR287" i="1"/>
  <c r="CA285" i="1"/>
  <c r="CA287" i="1"/>
  <c r="BG218" i="1"/>
  <c r="BG219" i="1" s="1"/>
  <c r="BG234" i="1"/>
  <c r="BG276" i="1"/>
  <c r="BH277" i="1" s="1"/>
  <c r="BG235" i="1"/>
  <c r="BT287" i="1"/>
  <c r="BT296" i="1" s="1"/>
  <c r="BT285" i="1"/>
  <c r="CF285" i="1"/>
  <c r="E285" i="1"/>
  <c r="F285" i="1"/>
  <c r="F287" i="1"/>
  <c r="F296" i="1" s="1"/>
  <c r="BA285" i="1"/>
  <c r="CB285" i="1"/>
  <c r="CB287" i="1"/>
  <c r="CB296" i="1" s="1"/>
  <c r="BI285" i="1"/>
  <c r="BI287" i="1"/>
  <c r="BI296" i="1" s="1"/>
  <c r="AW287" i="1"/>
  <c r="AK285" i="1"/>
  <c r="CK218" i="1"/>
  <c r="CK219" i="1" s="1"/>
  <c r="CK276" i="1"/>
  <c r="AY285" i="1"/>
  <c r="CA276" i="1"/>
  <c r="CA235" i="1"/>
  <c r="AS285" i="1"/>
  <c r="AS287" i="1"/>
  <c r="AS296" i="1" s="1"/>
  <c r="BN285" i="1"/>
  <c r="BN287" i="1"/>
  <c r="AY136" i="1"/>
  <c r="D268" i="1"/>
  <c r="AJ219" i="1"/>
  <c r="AF234" i="1"/>
  <c r="AO136" i="1"/>
  <c r="AD136" i="1"/>
  <c r="AK179" i="1"/>
  <c r="BF238" i="1"/>
  <c r="BF239" i="1" s="1"/>
  <c r="BF241" i="1" s="1"/>
  <c r="BF281" i="1"/>
  <c r="BF283" i="1" s="1"/>
  <c r="BF285" i="1" s="1"/>
  <c r="V203" i="1"/>
  <c r="V219" i="1" s="1"/>
  <c r="Q268" i="1"/>
  <c r="BX268" i="1"/>
  <c r="AF136" i="1"/>
  <c r="BP305" i="1"/>
  <c r="AY276" i="1"/>
  <c r="AY277" i="1" s="1"/>
  <c r="BU276" i="1"/>
  <c r="BV277" i="1" s="1"/>
  <c r="G268" i="1"/>
  <c r="BA268" i="1"/>
  <c r="BN268" i="1"/>
  <c r="AF218" i="1"/>
  <c r="AF219" i="1" s="1"/>
  <c r="BN235" i="1"/>
  <c r="CF271" i="1"/>
  <c r="CA271" i="1"/>
  <c r="K287" i="1"/>
  <c r="K296" i="1" s="1"/>
  <c r="K285" i="1"/>
  <c r="L287" i="1"/>
  <c r="L296" i="1" s="1"/>
  <c r="L285" i="1"/>
  <c r="BA218" i="1"/>
  <c r="BA219" i="1" s="1"/>
  <c r="BA235" i="1"/>
  <c r="BA305" i="1"/>
  <c r="BA234" i="1"/>
  <c r="BA276" i="1"/>
  <c r="BP281" i="1"/>
  <c r="BP283" i="1" s="1"/>
  <c r="BP238" i="1"/>
  <c r="BP239" i="1" s="1"/>
  <c r="BP241" i="1" s="1"/>
  <c r="CF287" i="1"/>
  <c r="AF235" i="1"/>
  <c r="AG332" i="1"/>
  <c r="AG333" i="1"/>
  <c r="BC285" i="1"/>
  <c r="BC287" i="1"/>
  <c r="BC296" i="1" s="1"/>
  <c r="BD285" i="1"/>
  <c r="BD287" i="1"/>
  <c r="BD296" i="1" s="1"/>
  <c r="AE285" i="1"/>
  <c r="AE287" i="1"/>
  <c r="AE296" i="1" s="1"/>
  <c r="CL285" i="1"/>
  <c r="CL287" i="1"/>
  <c r="CL296" i="1" s="1"/>
  <c r="Y287" i="1"/>
  <c r="Y296" i="1" s="1"/>
  <c r="BI219" i="1"/>
  <c r="H332" i="1"/>
  <c r="BP235" i="1"/>
  <c r="Q285" i="1"/>
  <c r="Q287" i="1"/>
  <c r="Q296" i="1" s="1"/>
  <c r="AN285" i="1"/>
  <c r="AN287" i="1"/>
  <c r="AN296" i="1" s="1"/>
  <c r="AO285" i="1"/>
  <c r="BH287" i="1"/>
  <c r="BH296" i="1" s="1"/>
  <c r="CM285" i="1"/>
  <c r="CM287" i="1"/>
  <c r="CM296" i="1" s="1"/>
  <c r="AH285" i="1"/>
  <c r="AH287" i="1"/>
  <c r="AI285" i="1"/>
  <c r="CN287" i="1"/>
  <c r="CN296" i="1" s="1"/>
  <c r="AJ287" i="1"/>
  <c r="AJ296" i="1" s="1"/>
  <c r="AJ285" i="1"/>
  <c r="CI235" i="1"/>
  <c r="CI218" i="1"/>
  <c r="CI219" i="1" s="1"/>
  <c r="BD218" i="1"/>
  <c r="BD219" i="1" s="1"/>
  <c r="BD276" i="1"/>
  <c r="BD235" i="1"/>
  <c r="CJ238" i="1"/>
  <c r="CJ239" i="1" s="1"/>
  <c r="CJ241" i="1" s="1"/>
  <c r="BE285" i="1"/>
  <c r="BE287" i="1"/>
  <c r="BE296" i="1" s="1"/>
  <c r="CL218" i="1"/>
  <c r="CL219" i="1" s="1"/>
  <c r="CL276" i="1"/>
  <c r="Y285" i="1"/>
  <c r="AZ285" i="1"/>
  <c r="AZ287" i="1"/>
  <c r="AZ296" i="1" s="1"/>
  <c r="BO277" i="1"/>
  <c r="CE120" i="1"/>
  <c r="AX128" i="1"/>
  <c r="AR219" i="1"/>
  <c r="AP234" i="1"/>
  <c r="BI276" i="1"/>
  <c r="BJ277" i="1" s="1"/>
  <c r="CT124" i="1"/>
  <c r="CT128" i="1" s="1"/>
  <c r="AI136" i="1"/>
  <c r="CI276" i="1"/>
  <c r="CI277" i="1" s="1"/>
  <c r="AQ218" i="1"/>
  <c r="AQ219" i="1" s="1"/>
  <c r="AY218" i="1"/>
  <c r="AY219" i="1" s="1"/>
  <c r="BU305" i="1"/>
  <c r="AN198" i="1"/>
  <c r="BN234" i="1"/>
  <c r="BM268" i="1"/>
  <c r="AF285" i="1"/>
  <c r="AF287" i="1"/>
  <c r="AF296" i="1" s="1"/>
  <c r="AN218" i="1"/>
  <c r="AN219" i="1" s="1"/>
  <c r="AN276" i="1"/>
  <c r="AN277" i="1" s="1"/>
  <c r="AN235" i="1"/>
  <c r="AN234" i="1"/>
  <c r="BH285" i="1"/>
  <c r="CC285" i="1"/>
  <c r="CI285" i="1"/>
  <c r="CI287" i="1"/>
  <c r="CI296" i="1" s="1"/>
  <c r="AQ285" i="1"/>
  <c r="AL218" i="1"/>
  <c r="AL219" i="1" s="1"/>
  <c r="AL234" i="1"/>
  <c r="AL305" i="1"/>
  <c r="AL235" i="1"/>
  <c r="AL276" i="1"/>
  <c r="AL277" i="1" s="1"/>
  <c r="BM287" i="1"/>
  <c r="BM296" i="1" s="1"/>
  <c r="BM285" i="1"/>
  <c r="AZ218" i="1"/>
  <c r="AZ219" i="1" s="1"/>
  <c r="AZ235" i="1"/>
  <c r="AZ234" i="1"/>
  <c r="AZ276" i="1"/>
  <c r="H268" i="1"/>
  <c r="CF268" i="1"/>
  <c r="AV305" i="1"/>
  <c r="I268" i="1"/>
  <c r="AP198" i="1"/>
  <c r="BQ235" i="1"/>
  <c r="BQ218" i="1"/>
  <c r="BQ219" i="1" s="1"/>
  <c r="BQ276" i="1"/>
  <c r="BD198" i="1"/>
  <c r="BC198" i="1" s="1"/>
  <c r="BB198" i="1" s="1"/>
  <c r="BB197" i="1" s="1"/>
  <c r="AX219" i="1"/>
  <c r="AJ235" i="1"/>
  <c r="AD268" i="1"/>
  <c r="H271" i="1"/>
  <c r="I271" i="1"/>
  <c r="BH128" i="1"/>
  <c r="BD136" i="1"/>
  <c r="AN128" i="1"/>
  <c r="AD276" i="1"/>
  <c r="AP276" i="1"/>
  <c r="AV235" i="1"/>
  <c r="BZ271" i="1"/>
  <c r="BI268" i="1"/>
  <c r="CM268" i="1"/>
  <c r="CC234" i="1"/>
  <c r="AO226" i="1"/>
  <c r="BO247" i="1"/>
  <c r="BL247" i="1"/>
  <c r="BI247" i="1" s="1"/>
  <c r="BJ247" i="1" s="1"/>
  <c r="BU247" i="1"/>
  <c r="BM247" i="1"/>
  <c r="BN247" i="1"/>
  <c r="E268" i="1"/>
  <c r="T218" i="1"/>
  <c r="T219" i="1" s="1"/>
  <c r="T234" i="1"/>
  <c r="T235" i="1"/>
  <c r="T276" i="1"/>
  <c r="AW218" i="1"/>
  <c r="AW219" i="1" s="1"/>
  <c r="AW276" i="1"/>
  <c r="AX277" i="1" s="1"/>
  <c r="BD271" i="1"/>
  <c r="CH271" i="1"/>
  <c r="AI198" i="1"/>
  <c r="BK119" i="1"/>
  <c r="BK318" i="1" s="1"/>
  <c r="AJ276" i="1"/>
  <c r="AJ277" i="1" s="1"/>
  <c r="AJ234" i="1"/>
  <c r="BD268" i="1"/>
  <c r="BF203" i="1"/>
  <c r="BF332" i="1" s="1"/>
  <c r="BK124" i="1"/>
  <c r="AV276" i="1"/>
  <c r="K268" i="1"/>
  <c r="AZ268" i="1"/>
  <c r="CC235" i="1"/>
  <c r="CN271" i="1"/>
  <c r="S198" i="1"/>
  <c r="AD234" i="1"/>
  <c r="AP235" i="1"/>
  <c r="AV234" i="1"/>
  <c r="R268" i="1"/>
  <c r="AK227" i="1"/>
  <c r="AG126" i="1"/>
  <c r="AG128" i="1" s="1"/>
  <c r="AT268" i="1"/>
  <c r="AD128" i="1"/>
  <c r="CC219" i="1"/>
  <c r="Y198" i="1"/>
  <c r="AN268" i="1"/>
  <c r="BU234" i="1"/>
  <c r="AU268" i="1"/>
  <c r="BK234" i="1"/>
  <c r="BK276" i="1"/>
  <c r="BO271" i="1"/>
  <c r="AC235" i="1"/>
  <c r="AC218" i="1"/>
  <c r="AC219" i="1" s="1"/>
  <c r="AC234" i="1"/>
  <c r="AC276" i="1"/>
  <c r="AC277" i="1" s="1"/>
  <c r="AO218" i="1"/>
  <c r="AO219" i="1" s="1"/>
  <c r="AO235" i="1"/>
  <c r="AO234" i="1"/>
  <c r="AO276" i="1"/>
  <c r="BP276" i="1"/>
  <c r="AX197" i="1"/>
  <c r="E219" i="1"/>
  <c r="E332" i="1"/>
  <c r="E333" i="1"/>
  <c r="Y128" i="1"/>
  <c r="Y231" i="1"/>
  <c r="BV268" i="1"/>
  <c r="BW277" i="1"/>
  <c r="X128" i="1"/>
  <c r="CV110" i="1"/>
  <c r="CQ226" i="1"/>
  <c r="CT110" i="1"/>
  <c r="BU219" i="1"/>
  <c r="BZ332" i="1"/>
  <c r="AS226" i="1"/>
  <c r="AO128" i="1"/>
  <c r="AO231" i="1"/>
  <c r="V277" i="1"/>
  <c r="Q277" i="1"/>
  <c r="AV226" i="1"/>
  <c r="CO120" i="1"/>
  <c r="J219" i="1"/>
  <c r="J332" i="1"/>
  <c r="J333" i="1"/>
  <c r="Y268" i="1"/>
  <c r="AI226" i="1"/>
  <c r="AJ226" i="1"/>
  <c r="AL226" i="1"/>
  <c r="AK226" i="1"/>
  <c r="CE238" i="1"/>
  <c r="CE239" i="1" s="1"/>
  <c r="CE211" i="1"/>
  <c r="CE218" i="1" s="1"/>
  <c r="U197" i="1"/>
  <c r="U198" i="1" s="1"/>
  <c r="T198" i="1"/>
  <c r="BB195" i="1"/>
  <c r="BC194" i="1"/>
  <c r="BB227" i="1"/>
  <c r="AM226" i="1"/>
  <c r="BP119" i="1"/>
  <c r="BP318" i="1" s="1"/>
  <c r="BP120" i="1"/>
  <c r="BU126" i="1"/>
  <c r="BU128" i="1" s="1"/>
  <c r="BI128" i="1"/>
  <c r="BI231" i="1"/>
  <c r="CB268" i="1"/>
  <c r="AS268" i="1"/>
  <c r="W268" i="1"/>
  <c r="AP268" i="1"/>
  <c r="T268" i="1"/>
  <c r="R198" i="1"/>
  <c r="CC268" i="1"/>
  <c r="CE203" i="1"/>
  <c r="E277" i="1"/>
  <c r="F277" i="1"/>
  <c r="F219" i="1"/>
  <c r="G333" i="1"/>
  <c r="F332" i="1"/>
  <c r="G332" i="1"/>
  <c r="F333" i="1"/>
  <c r="BD128" i="1"/>
  <c r="BD231" i="1"/>
  <c r="AZ136" i="1"/>
  <c r="CD241" i="1"/>
  <c r="AX268" i="1"/>
  <c r="BW268" i="1"/>
  <c r="AE136" i="1"/>
  <c r="BI198" i="1"/>
  <c r="BG197" i="1"/>
  <c r="AT226" i="1"/>
  <c r="AU226" i="1"/>
  <c r="AX226" i="1"/>
  <c r="AW226" i="1"/>
  <c r="CJ126" i="1"/>
  <c r="CJ128" i="1" s="1"/>
  <c r="AI194" i="1"/>
  <c r="AI195" i="1" s="1"/>
  <c r="AI231" i="1"/>
  <c r="CZ186" i="1"/>
  <c r="DA186" i="1" s="1"/>
  <c r="DB186" i="1" s="1"/>
  <c r="DC186" i="1" s="1"/>
  <c r="CY186" i="1"/>
  <c r="P219" i="1"/>
  <c r="P332" i="1"/>
  <c r="Q332" i="1"/>
  <c r="P333" i="1"/>
  <c r="Q333" i="1"/>
  <c r="BR194" i="1"/>
  <c r="BQ195" i="1"/>
  <c r="K219" i="1"/>
  <c r="K332" i="1"/>
  <c r="K333" i="1"/>
  <c r="W277" i="1"/>
  <c r="AK268" i="1"/>
  <c r="AC195" i="1"/>
  <c r="AD194" i="1"/>
  <c r="AG268" i="1"/>
  <c r="AU136" i="1"/>
  <c r="BE234" i="1"/>
  <c r="BE276" i="1"/>
  <c r="BE218" i="1"/>
  <c r="BE219" i="1" s="1"/>
  <c r="BE235" i="1"/>
  <c r="CO235" i="1"/>
  <c r="CO218" i="1"/>
  <c r="CO219" i="1" s="1"/>
  <c r="CO234" i="1"/>
  <c r="L277" i="1"/>
  <c r="K277" i="1"/>
  <c r="S268" i="1"/>
  <c r="CN268" i="1"/>
  <c r="AM195" i="1"/>
  <c r="AM227" i="1"/>
  <c r="L268" i="1"/>
  <c r="AQ268" i="1"/>
  <c r="CG268" i="1"/>
  <c r="CX124" i="1"/>
  <c r="BE268" i="1"/>
  <c r="U268" i="1"/>
  <c r="CB241" i="1"/>
  <c r="Z268" i="1"/>
  <c r="BR268" i="1"/>
  <c r="CD218" i="1"/>
  <c r="CD219" i="1" s="1"/>
  <c r="CD234" i="1"/>
  <c r="CD235" i="1"/>
  <c r="CD276" i="1"/>
  <c r="CO241" i="1"/>
  <c r="BO268" i="1"/>
  <c r="AS194" i="1"/>
  <c r="AR195" i="1"/>
  <c r="AH226" i="1"/>
  <c r="AH227" i="1"/>
  <c r="CE126" i="1"/>
  <c r="CE128" i="1" s="1"/>
  <c r="AQ332" i="1"/>
  <c r="AL333" i="1"/>
  <c r="AL332" i="1"/>
  <c r="AQ333" i="1"/>
  <c r="U128" i="1"/>
  <c r="U231" i="1"/>
  <c r="CJ136" i="1"/>
  <c r="T128" i="1"/>
  <c r="T231" i="1"/>
  <c r="AR136" i="1"/>
  <c r="BM194" i="1"/>
  <c r="BL195" i="1"/>
  <c r="CU116" i="1"/>
  <c r="BH194" i="1"/>
  <c r="BG195" i="1"/>
  <c r="D332" i="1"/>
  <c r="D219" i="1"/>
  <c r="D333" i="1"/>
  <c r="AD235" i="1"/>
  <c r="AV219" i="1"/>
  <c r="BA332" i="1"/>
  <c r="AV332" i="1"/>
  <c r="AV333" i="1"/>
  <c r="BA333" i="1"/>
  <c r="CP238" i="1"/>
  <c r="W195" i="1"/>
  <c r="X194" i="1"/>
  <c r="F268" i="1"/>
  <c r="AW268" i="1"/>
  <c r="CA268" i="1"/>
  <c r="BF211" i="1"/>
  <c r="CO305" i="1"/>
  <c r="CO332" i="1"/>
  <c r="M268" i="1"/>
  <c r="AL268" i="1"/>
  <c r="BJ268" i="1"/>
  <c r="BL268" i="1"/>
  <c r="CD268" i="1"/>
  <c r="BY218" i="1"/>
  <c r="BY219" i="1" s="1"/>
  <c r="BY235" i="1"/>
  <c r="BY234" i="1"/>
  <c r="BY276" i="1"/>
  <c r="BY277" i="1" s="1"/>
  <c r="N268" i="1"/>
  <c r="Y136" i="1"/>
  <c r="L198" i="1"/>
  <c r="K197" i="1"/>
  <c r="BZ238" i="1"/>
  <c r="BZ239" i="1" s="1"/>
  <c r="BZ211" i="1"/>
  <c r="L219" i="1"/>
  <c r="M333" i="1"/>
  <c r="L332" i="1"/>
  <c r="M332" i="1"/>
  <c r="L333" i="1"/>
  <c r="CV190" i="1"/>
  <c r="CV116" i="1" s="1"/>
  <c r="BZ119" i="1"/>
  <c r="BZ318" i="1" s="1"/>
  <c r="CO136" i="1"/>
  <c r="AJ128" i="1"/>
  <c r="AK128" i="1"/>
  <c r="AK231" i="1"/>
  <c r="AP136" i="1"/>
  <c r="AY128" i="1"/>
  <c r="AY231" i="1"/>
  <c r="BB136" i="1"/>
  <c r="CW124" i="1"/>
  <c r="CR128" i="1"/>
  <c r="E310" i="1"/>
  <c r="E327" i="1" s="1"/>
  <c r="X268" i="1"/>
  <c r="BC268" i="1"/>
  <c r="CO276" i="1"/>
  <c r="AJ265" i="1"/>
  <c r="AJ266" i="1" s="1"/>
  <c r="W227" i="1"/>
  <c r="S194" i="1"/>
  <c r="R195" i="1"/>
  <c r="CW110" i="1"/>
  <c r="CN277" i="1"/>
  <c r="CX110" i="1"/>
  <c r="CS226" i="1"/>
  <c r="CT226" i="1"/>
  <c r="BK130" i="1"/>
  <c r="CA128" i="1"/>
  <c r="BK132" i="1"/>
  <c r="CJ116" i="1"/>
  <c r="CJ119" i="1" s="1"/>
  <c r="CJ318" i="1" s="1"/>
  <c r="CE116" i="1"/>
  <c r="CE119" i="1" s="1"/>
  <c r="CE318" i="1" s="1"/>
  <c r="CA119" i="1"/>
  <c r="BQ136" i="1"/>
  <c r="BU130" i="1"/>
  <c r="BU136" i="1" s="1"/>
  <c r="CE136" i="1"/>
  <c r="BP130" i="1"/>
  <c r="BP136" i="1" s="1"/>
  <c r="BL136" i="1"/>
  <c r="BT128" i="1"/>
  <c r="BP126" i="1"/>
  <c r="BP128" i="1" s="1"/>
  <c r="BL128" i="1"/>
  <c r="AS136" i="1"/>
  <c r="BD168" i="1"/>
  <c r="BD179" i="1"/>
  <c r="AI128" i="1"/>
  <c r="CO119" i="1"/>
  <c r="CO318" i="1" s="1"/>
  <c r="BU119" i="1"/>
  <c r="BU318" i="1" s="1"/>
  <c r="CF119" i="1"/>
  <c r="CZ124" i="1"/>
  <c r="DE124" i="1" s="1"/>
  <c r="CU128" i="1"/>
  <c r="BI136" i="1"/>
  <c r="AP128" i="1"/>
  <c r="Z128" i="1"/>
  <c r="CJ146" i="42"/>
  <c r="A158" i="42"/>
  <c r="A145" i="42"/>
  <c r="CO587" i="42"/>
  <c r="CJ587" i="42"/>
  <c r="CO560" i="42"/>
  <c r="CJ560" i="42"/>
  <c r="CO455" i="42"/>
  <c r="CJ455" i="42"/>
  <c r="CJ434" i="42"/>
  <c r="CO386" i="42"/>
  <c r="CJ386" i="42"/>
  <c r="CJ360" i="42"/>
  <c r="CO248" i="42"/>
  <c r="CJ248" i="42"/>
  <c r="CO317" i="42"/>
  <c r="CJ317" i="42"/>
  <c r="CO576" i="42"/>
  <c r="CJ576" i="42"/>
  <c r="CO574" i="42"/>
  <c r="CJ574" i="42"/>
  <c r="CO571" i="42"/>
  <c r="CJ571" i="42"/>
  <c r="CO543" i="42"/>
  <c r="CJ543" i="42"/>
  <c r="CO539" i="42"/>
  <c r="CJ539" i="42"/>
  <c r="CO534" i="42"/>
  <c r="CJ534" i="42"/>
  <c r="CO438" i="42"/>
  <c r="CJ438" i="42"/>
  <c r="CO434" i="42"/>
  <c r="CO429" i="42"/>
  <c r="CJ429" i="42"/>
  <c r="CO369" i="42"/>
  <c r="CJ369" i="42"/>
  <c r="CO365" i="42"/>
  <c r="CJ365" i="42"/>
  <c r="CO360" i="42"/>
  <c r="CJ300" i="42"/>
  <c r="CJ296" i="42"/>
  <c r="CJ291" i="42"/>
  <c r="CO231" i="42"/>
  <c r="CJ231" i="42"/>
  <c r="CO227" i="42"/>
  <c r="CJ227" i="42"/>
  <c r="CO577" i="42"/>
  <c r="CT578" i="42" s="1"/>
  <c r="CJ577" i="42"/>
  <c r="CE577" i="42"/>
  <c r="CO546" i="42"/>
  <c r="CT547" i="42" s="1"/>
  <c r="CJ546" i="42"/>
  <c r="CE546" i="42"/>
  <c r="CO441" i="42"/>
  <c r="CT442" i="42" s="1"/>
  <c r="CJ441" i="42"/>
  <c r="CE441" i="42"/>
  <c r="CO372" i="42"/>
  <c r="CT373" i="42" s="1"/>
  <c r="CJ372" i="42"/>
  <c r="CE372" i="42"/>
  <c r="CJ303" i="42"/>
  <c r="CO304" i="42" s="1"/>
  <c r="CE303" i="42"/>
  <c r="CE234" i="42"/>
  <c r="CJ234" i="42"/>
  <c r="CO234" i="42"/>
  <c r="CT235" i="42" s="1"/>
  <c r="CO222" i="42"/>
  <c r="CJ222" i="42"/>
  <c r="CO100" i="1"/>
  <c r="CN88" i="1"/>
  <c r="CE128" i="42"/>
  <c r="CE127" i="42" s="1"/>
  <c r="CO127" i="42"/>
  <c r="CJ128" i="42"/>
  <c r="CJ123" i="42" s="1"/>
  <c r="CO125" i="42"/>
  <c r="CJ125" i="42"/>
  <c r="CO121" i="42"/>
  <c r="CO116" i="42"/>
  <c r="CO118" i="42" s="1"/>
  <c r="CO111" i="42"/>
  <c r="CO113" i="42" s="1"/>
  <c r="CO106" i="42"/>
  <c r="CO108" i="42" s="1"/>
  <c r="CO101" i="42"/>
  <c r="CO103" i="42" s="1"/>
  <c r="CJ121" i="42"/>
  <c r="CJ116" i="42"/>
  <c r="CJ118" i="42" s="1"/>
  <c r="CJ111" i="42"/>
  <c r="CJ113" i="42" s="1"/>
  <c r="CJ106" i="42"/>
  <c r="CJ108" i="42" s="1"/>
  <c r="CJ101" i="42"/>
  <c r="CJ103" i="42" s="1"/>
  <c r="CO568" i="42"/>
  <c r="CO529" i="42"/>
  <c r="CO531" i="42" s="1"/>
  <c r="CO524" i="42"/>
  <c r="CO526" i="42" s="1"/>
  <c r="CO519" i="42"/>
  <c r="CO521" i="42" s="1"/>
  <c r="CO514" i="42"/>
  <c r="CO516" i="42" s="1"/>
  <c r="CO509" i="42"/>
  <c r="CO511" i="42" s="1"/>
  <c r="CO504" i="42"/>
  <c r="CO506" i="42" s="1"/>
  <c r="CO499" i="42"/>
  <c r="CO501" i="42" s="1"/>
  <c r="CN528" i="42"/>
  <c r="CN523" i="42"/>
  <c r="CN518" i="42"/>
  <c r="CN513" i="42"/>
  <c r="CN508" i="42"/>
  <c r="CN503" i="42"/>
  <c r="CN498" i="42"/>
  <c r="CN398" i="42"/>
  <c r="CN397" i="42"/>
  <c r="CN405" i="42"/>
  <c r="CN404" i="42"/>
  <c r="CN413" i="42"/>
  <c r="CN420" i="42"/>
  <c r="CN336" i="42"/>
  <c r="CN335" i="42"/>
  <c r="CN329" i="42"/>
  <c r="CN328" i="42"/>
  <c r="CN267" i="42"/>
  <c r="CN266" i="42"/>
  <c r="CN260" i="42"/>
  <c r="CN259" i="42"/>
  <c r="CN282" i="42"/>
  <c r="CS284" i="42" s="1"/>
  <c r="CN275" i="42"/>
  <c r="CN211" i="42"/>
  <c r="CS212" i="42" s="1"/>
  <c r="CN206" i="42"/>
  <c r="CN198" i="42"/>
  <c r="CN197" i="42"/>
  <c r="CN191" i="42"/>
  <c r="CN190" i="42"/>
  <c r="CN37" i="42"/>
  <c r="CN36" i="42"/>
  <c r="CN30" i="42"/>
  <c r="CN29" i="42"/>
  <c r="CN140" i="42"/>
  <c r="CN139" i="42"/>
  <c r="CN137" i="42"/>
  <c r="CO141" i="42"/>
  <c r="BK128" i="1" l="1"/>
  <c r="BI277" i="1"/>
  <c r="CB277" i="1"/>
  <c r="AV277" i="1"/>
  <c r="BP219" i="1"/>
  <c r="R277" i="1"/>
  <c r="BU277" i="1"/>
  <c r="CJ218" i="1"/>
  <c r="CJ219" i="1" s="1"/>
  <c r="AR277" i="1"/>
  <c r="AS198" i="1"/>
  <c r="BD277" i="1"/>
  <c r="BZ287" i="1"/>
  <c r="V287" i="1"/>
  <c r="BK219" i="1"/>
  <c r="AZ277" i="1"/>
  <c r="AA333" i="1"/>
  <c r="CS422" i="42"/>
  <c r="CS421" i="42"/>
  <c r="CS530" i="42"/>
  <c r="CS529" i="42"/>
  <c r="CS417" i="42"/>
  <c r="CS415" i="42"/>
  <c r="CS414" i="42"/>
  <c r="CS505" i="42"/>
  <c r="CS504" i="42"/>
  <c r="CS279" i="42"/>
  <c r="CS277" i="42"/>
  <c r="CS510" i="42"/>
  <c r="CS509" i="42"/>
  <c r="CS525" i="42"/>
  <c r="CS524" i="42"/>
  <c r="CS500" i="42"/>
  <c r="CS499" i="42"/>
  <c r="CS515" i="42"/>
  <c r="CS514" i="42"/>
  <c r="CS520" i="42"/>
  <c r="CS519" i="42"/>
  <c r="DE128" i="1"/>
  <c r="CQ56" i="53"/>
  <c r="DG215" i="1"/>
  <c r="DH214" i="1"/>
  <c r="DH209" i="1"/>
  <c r="DH206" i="1"/>
  <c r="DH201" i="1"/>
  <c r="DH200" i="1"/>
  <c r="DH189" i="1"/>
  <c r="DD186" i="1"/>
  <c r="DE186" i="1"/>
  <c r="BP332" i="1"/>
  <c r="CJ305" i="1"/>
  <c r="R296" i="1"/>
  <c r="BV296" i="1"/>
  <c r="CD277" i="1"/>
  <c r="CJ234" i="1"/>
  <c r="CJ235" i="1"/>
  <c r="CE305" i="1"/>
  <c r="BL277" i="1"/>
  <c r="CK287" i="1"/>
  <c r="CK296" i="1" s="1"/>
  <c r="BA277" i="1"/>
  <c r="BG287" i="1"/>
  <c r="BG296" i="1" s="1"/>
  <c r="CL277" i="1"/>
  <c r="AA332" i="1"/>
  <c r="CE276" i="1"/>
  <c r="CJ277" i="1" s="1"/>
  <c r="AM277" i="1"/>
  <c r="BB277" i="1"/>
  <c r="V333" i="1"/>
  <c r="CE235" i="1"/>
  <c r="CO285" i="1"/>
  <c r="X277" i="1"/>
  <c r="V332" i="1"/>
  <c r="CE234" i="1"/>
  <c r="CK285" i="1"/>
  <c r="BK285" i="1"/>
  <c r="CJ151" i="42"/>
  <c r="CJ155" i="42"/>
  <c r="CO155" i="42"/>
  <c r="CJ158" i="42"/>
  <c r="CO158" i="42"/>
  <c r="CT159" i="42" s="1"/>
  <c r="CO146" i="42"/>
  <c r="CE158" i="42"/>
  <c r="CO151" i="42"/>
  <c r="CP86" i="1"/>
  <c r="CP84" i="1"/>
  <c r="BK287" i="1"/>
  <c r="AQ287" i="1"/>
  <c r="AM296" i="1"/>
  <c r="BL296" i="1"/>
  <c r="BP287" i="1"/>
  <c r="AL287" i="1"/>
  <c r="AH296" i="1"/>
  <c r="CJ287" i="1"/>
  <c r="CF296" i="1"/>
  <c r="CY124" i="1"/>
  <c r="CY128" i="1" s="1"/>
  <c r="AY194" i="1"/>
  <c r="AY195" i="1" s="1"/>
  <c r="AD277" i="1"/>
  <c r="BL285" i="1"/>
  <c r="AG287" i="1"/>
  <c r="BP285" i="1"/>
  <c r="BQ285" i="1"/>
  <c r="BQ287" i="1"/>
  <c r="BN296" i="1"/>
  <c r="AV287" i="1"/>
  <c r="AR296" i="1"/>
  <c r="AA287" i="1"/>
  <c r="W296" i="1"/>
  <c r="AX227" i="1"/>
  <c r="BA287" i="1"/>
  <c r="AW296" i="1"/>
  <c r="CE287" i="1"/>
  <c r="CA296" i="1"/>
  <c r="CM277" i="1"/>
  <c r="CO277" i="1"/>
  <c r="AW277" i="1"/>
  <c r="AQ277" i="1"/>
  <c r="BC197" i="1"/>
  <c r="BK332" i="1"/>
  <c r="AO277" i="1"/>
  <c r="BE277" i="1"/>
  <c r="BU285" i="1"/>
  <c r="BF287" i="1"/>
  <c r="BB296" i="1"/>
  <c r="BG285" i="1"/>
  <c r="BM277" i="1"/>
  <c r="AK277" i="1"/>
  <c r="BD197" i="1"/>
  <c r="BP277" i="1"/>
  <c r="BQ277" i="1"/>
  <c r="BR277" i="1"/>
  <c r="T277" i="1"/>
  <c r="U277" i="1"/>
  <c r="BQ247" i="1"/>
  <c r="BZ247" i="1"/>
  <c r="BS247" i="1"/>
  <c r="BT247" i="1"/>
  <c r="BR247" i="1"/>
  <c r="AE277" i="1"/>
  <c r="CZ226" i="1"/>
  <c r="AP277" i="1"/>
  <c r="AS195" i="1"/>
  <c r="AT194" i="1"/>
  <c r="K198" i="1"/>
  <c r="J197" i="1"/>
  <c r="Y194" i="1"/>
  <c r="X195" i="1"/>
  <c r="X227" i="1"/>
  <c r="BS194" i="1"/>
  <c r="BR195" i="1"/>
  <c r="BR227" i="1"/>
  <c r="BZ241" i="1"/>
  <c r="CQ238" i="1"/>
  <c r="BC195" i="1"/>
  <c r="BD195" i="1" s="1"/>
  <c r="BD194" i="1" s="1"/>
  <c r="BD227" i="1" s="1"/>
  <c r="BC227" i="1"/>
  <c r="DA110" i="1"/>
  <c r="DF110" i="1" s="1"/>
  <c r="CV226" i="1"/>
  <c r="CY110" i="1"/>
  <c r="BI194" i="1"/>
  <c r="BH195" i="1"/>
  <c r="BH227" i="1"/>
  <c r="CK277" i="1"/>
  <c r="DC110" i="1"/>
  <c r="CX226" i="1"/>
  <c r="CY226" i="1"/>
  <c r="BF218" i="1"/>
  <c r="BF219" i="1" s="1"/>
  <c r="BF276" i="1"/>
  <c r="BF234" i="1"/>
  <c r="BF235" i="1"/>
  <c r="BF305" i="1"/>
  <c r="AD195" i="1"/>
  <c r="AE194" i="1"/>
  <c r="AD227" i="1"/>
  <c r="BJ198" i="1"/>
  <c r="BI197" i="1"/>
  <c r="BJ197" i="1" s="1"/>
  <c r="BK197" i="1" s="1"/>
  <c r="CE219" i="1"/>
  <c r="CE332" i="1"/>
  <c r="AI227" i="1"/>
  <c r="DC124" i="1"/>
  <c r="CX128" i="1"/>
  <c r="DB124" i="1"/>
  <c r="CW128" i="1"/>
  <c r="CW226" i="1"/>
  <c r="DB110" i="1"/>
  <c r="DG110" i="1" s="1"/>
  <c r="T194" i="1"/>
  <c r="T195" i="1" s="1"/>
  <c r="S195" i="1"/>
  <c r="CW190" i="1"/>
  <c r="BZ218" i="1"/>
  <c r="BZ219" i="1" s="1"/>
  <c r="BZ276" i="1"/>
  <c r="BZ305" i="1"/>
  <c r="BZ234" i="1"/>
  <c r="BZ235" i="1"/>
  <c r="BM195" i="1"/>
  <c r="BN194" i="1"/>
  <c r="BM227" i="1"/>
  <c r="CJ332" i="1"/>
  <c r="CE241" i="1"/>
  <c r="AS227" i="1"/>
  <c r="CZ128" i="1"/>
  <c r="BK136" i="1"/>
  <c r="CJ304" i="42"/>
  <c r="CJ442" i="42"/>
  <c r="CJ235" i="42"/>
  <c r="CO235" i="42"/>
  <c r="CO578" i="42"/>
  <c r="CO547" i="42"/>
  <c r="CJ373" i="42"/>
  <c r="CO442" i="42"/>
  <c r="CJ547" i="42"/>
  <c r="CJ578" i="42"/>
  <c r="CO373" i="42"/>
  <c r="CJ104" i="42"/>
  <c r="CO104" i="42"/>
  <c r="CJ114" i="42"/>
  <c r="CE119" i="42"/>
  <c r="CE114" i="42"/>
  <c r="CE104" i="42"/>
  <c r="CE123" i="42"/>
  <c r="CE109" i="42"/>
  <c r="CJ109" i="42"/>
  <c r="CJ127" i="42"/>
  <c r="CJ119" i="42"/>
  <c r="CO123" i="42"/>
  <c r="CO114" i="42"/>
  <c r="CO109" i="42"/>
  <c r="CO119" i="42"/>
  <c r="CJ129" i="42"/>
  <c r="CO129" i="42"/>
  <c r="CS521" i="42" l="1"/>
  <c r="CS526" i="42"/>
  <c r="CF277" i="1"/>
  <c r="AY227" i="1"/>
  <c r="CS501" i="42"/>
  <c r="CS506" i="42"/>
  <c r="CS531" i="42"/>
  <c r="CS516" i="42"/>
  <c r="CS511" i="42"/>
  <c r="CS416" i="42"/>
  <c r="CS423" i="42"/>
  <c r="DB128" i="1"/>
  <c r="DG124" i="1"/>
  <c r="CO287" i="1"/>
  <c r="DH110" i="1"/>
  <c r="DE226" i="1"/>
  <c r="DG226" i="1"/>
  <c r="DF226" i="1"/>
  <c r="DC128" i="1"/>
  <c r="DH124" i="1"/>
  <c r="DH215" i="1"/>
  <c r="DI214" i="1"/>
  <c r="DI209" i="1"/>
  <c r="DI206" i="1"/>
  <c r="DI201" i="1"/>
  <c r="DI200" i="1"/>
  <c r="DI189" i="1"/>
  <c r="DF186" i="1"/>
  <c r="CR281" i="1"/>
  <c r="CP107" i="1"/>
  <c r="CP109" i="1" s="1"/>
  <c r="CP122" i="1" s="1"/>
  <c r="CP145" i="1"/>
  <c r="CE277" i="1"/>
  <c r="CO159" i="42"/>
  <c r="CJ159" i="42"/>
  <c r="CP288" i="1"/>
  <c r="CP289" i="1" s="1"/>
  <c r="CR282" i="1"/>
  <c r="BU287" i="1"/>
  <c r="BQ296" i="1"/>
  <c r="BY247" i="1"/>
  <c r="CE247" i="1"/>
  <c r="BV247" i="1"/>
  <c r="BX247" i="1"/>
  <c r="BW247" i="1"/>
  <c r="DD124" i="1"/>
  <c r="DD128" i="1" s="1"/>
  <c r="AT195" i="1"/>
  <c r="AT227" i="1"/>
  <c r="BZ277" i="1"/>
  <c r="CA277" i="1"/>
  <c r="CS281" i="1"/>
  <c r="CR238" i="1"/>
  <c r="DD226" i="1"/>
  <c r="DC226" i="1"/>
  <c r="BS195" i="1"/>
  <c r="BT194" i="1"/>
  <c r="BS227" i="1"/>
  <c r="BF277" i="1"/>
  <c r="BG277" i="1"/>
  <c r="BK277" i="1"/>
  <c r="BN195" i="1"/>
  <c r="BN227" i="1"/>
  <c r="Y195" i="1"/>
  <c r="Y227" i="1"/>
  <c r="CX190" i="1"/>
  <c r="AE195" i="1"/>
  <c r="AE227" i="1"/>
  <c r="CW116" i="1"/>
  <c r="DB226" i="1"/>
  <c r="BK198" i="1"/>
  <c r="BM198" i="1" s="1"/>
  <c r="BL198" i="1"/>
  <c r="BI195" i="1"/>
  <c r="BI227" i="1"/>
  <c r="DA226" i="1"/>
  <c r="DD110" i="1"/>
  <c r="I197" i="1"/>
  <c r="J198" i="1"/>
  <c r="J314" i="1"/>
  <c r="CS56" i="53" l="1"/>
  <c r="DG128" i="1"/>
  <c r="DI124" i="1"/>
  <c r="CT56" i="53"/>
  <c r="DH128" i="1"/>
  <c r="DH226" i="1"/>
  <c r="DI110" i="1"/>
  <c r="DI226" i="1"/>
  <c r="DI215" i="1"/>
  <c r="DG186" i="1"/>
  <c r="CR283" i="1"/>
  <c r="CR287" i="1" s="1"/>
  <c r="CR296" i="1" s="1"/>
  <c r="CP148" i="1"/>
  <c r="CP161" i="1" s="1"/>
  <c r="CP179" i="1" s="1"/>
  <c r="CQ145" i="1"/>
  <c r="CP138" i="1"/>
  <c r="CP142" i="1"/>
  <c r="CT213" i="1"/>
  <c r="CS282" i="1"/>
  <c r="CS283" i="1" s="1"/>
  <c r="CJ247" i="1"/>
  <c r="CA247" i="1"/>
  <c r="CC247" i="1"/>
  <c r="CD247" i="1"/>
  <c r="CB247" i="1"/>
  <c r="CZ190" i="1"/>
  <c r="CY190" i="1"/>
  <c r="BM197" i="1"/>
  <c r="BO198" i="1"/>
  <c r="H197" i="1"/>
  <c r="I198" i="1"/>
  <c r="I314" i="1"/>
  <c r="J315" i="1" s="1"/>
  <c r="BN198" i="1"/>
  <c r="BN197" i="1" s="1"/>
  <c r="BL197" i="1"/>
  <c r="CX116" i="1"/>
  <c r="CY116" i="1" s="1"/>
  <c r="BT195" i="1"/>
  <c r="BU195" i="1" s="1"/>
  <c r="BU194" i="1"/>
  <c r="BT227" i="1"/>
  <c r="CT207" i="1"/>
  <c r="CT281" i="1" s="1"/>
  <c r="CS238" i="1"/>
  <c r="CR285" i="1" l="1"/>
  <c r="CP168" i="1"/>
  <c r="CU56" i="53"/>
  <c r="DI128" i="1"/>
  <c r="DH186" i="1"/>
  <c r="CQ148" i="1"/>
  <c r="CQ161" i="1" s="1"/>
  <c r="CQ168" i="1" s="1"/>
  <c r="CS285" i="1"/>
  <c r="CS287" i="1"/>
  <c r="CS296" i="1" s="1"/>
  <c r="CT282" i="1"/>
  <c r="CT283" i="1" s="1"/>
  <c r="CT285" i="1" s="1"/>
  <c r="CZ116" i="1"/>
  <c r="CG247" i="1"/>
  <c r="CH247" i="1"/>
  <c r="CI247" i="1"/>
  <c r="CO247" i="1"/>
  <c r="CF247" i="1"/>
  <c r="BP198" i="1"/>
  <c r="BR198" i="1" s="1"/>
  <c r="BQ198" i="1"/>
  <c r="BO197" i="1"/>
  <c r="BP197" i="1" s="1"/>
  <c r="CT238" i="1"/>
  <c r="BV194" i="1"/>
  <c r="BU227" i="1"/>
  <c r="DA190" i="1"/>
  <c r="DA116" i="1" s="1"/>
  <c r="G197" i="1"/>
  <c r="H198" i="1"/>
  <c r="H314" i="1"/>
  <c r="I315" i="1" s="1"/>
  <c r="CN350" i="1"/>
  <c r="CN349" i="1"/>
  <c r="CN348" i="1"/>
  <c r="CO563" i="42"/>
  <c r="CN51" i="42"/>
  <c r="CN45" i="42"/>
  <c r="CS46" i="42" s="1"/>
  <c r="CS48" i="42" s="1"/>
  <c r="CN41" i="42"/>
  <c r="CQ179" i="1" l="1"/>
  <c r="DI186" i="1"/>
  <c r="CU281" i="1"/>
  <c r="CT45" i="42"/>
  <c r="CT51" i="42"/>
  <c r="CS52" i="42"/>
  <c r="CS54" i="42" s="1"/>
  <c r="CT287" i="1"/>
  <c r="CV213" i="1"/>
  <c r="CU282" i="1"/>
  <c r="CM247" i="1"/>
  <c r="CK247" i="1"/>
  <c r="CL247" i="1"/>
  <c r="CN247" i="1"/>
  <c r="CT247" i="1"/>
  <c r="G198" i="1"/>
  <c r="F197" i="1"/>
  <c r="G314" i="1"/>
  <c r="H315" i="1" s="1"/>
  <c r="CV207" i="1"/>
  <c r="CV281" i="1" s="1"/>
  <c r="CU238" i="1"/>
  <c r="DB190" i="1"/>
  <c r="DB116" i="1" s="1"/>
  <c r="BQ197" i="1"/>
  <c r="BS198" i="1"/>
  <c r="BS197" i="1" s="1"/>
  <c r="BV195" i="1"/>
  <c r="BW194" i="1"/>
  <c r="BV227" i="1"/>
  <c r="BT198" i="1"/>
  <c r="BR197" i="1"/>
  <c r="CN351" i="1"/>
  <c r="CT59" i="42" l="1"/>
  <c r="CU283" i="1"/>
  <c r="CU287" i="1" s="1"/>
  <c r="CU296" i="1" s="1"/>
  <c r="CU285" i="1"/>
  <c r="CW213" i="1"/>
  <c r="CV282" i="1"/>
  <c r="CV283" i="1" s="1"/>
  <c r="CR247" i="1"/>
  <c r="CP247" i="1"/>
  <c r="CS247" i="1"/>
  <c r="CY247" i="1"/>
  <c r="CQ247" i="1"/>
  <c r="CW207" i="1"/>
  <c r="CV238" i="1"/>
  <c r="E197" i="1"/>
  <c r="F198" i="1"/>
  <c r="F314" i="1"/>
  <c r="G315" i="1" s="1"/>
  <c r="DC190" i="1"/>
  <c r="BX194" i="1"/>
  <c r="BW195" i="1"/>
  <c r="BX195" i="1" s="1"/>
  <c r="BW227" i="1"/>
  <c r="BV198" i="1"/>
  <c r="BU198" i="1"/>
  <c r="BT197" i="1"/>
  <c r="BU197" i="1" s="1"/>
  <c r="CN69" i="1"/>
  <c r="CS70" i="1" s="1"/>
  <c r="CN65" i="1"/>
  <c r="CS66" i="1" s="1"/>
  <c r="CN60" i="1"/>
  <c r="CN555" i="42"/>
  <c r="CN554" i="42"/>
  <c r="CN459" i="42"/>
  <c r="CN450" i="42"/>
  <c r="CN449" i="42"/>
  <c r="CO421" i="42"/>
  <c r="CO423" i="42" s="1"/>
  <c r="CO414" i="42"/>
  <c r="CO416" i="42" s="1"/>
  <c r="CN395" i="42"/>
  <c r="CN399" i="42" s="1"/>
  <c r="CN381" i="42"/>
  <c r="CN380" i="42"/>
  <c r="CN312" i="42"/>
  <c r="CN311" i="42"/>
  <c r="CO276" i="42"/>
  <c r="CO278" i="42" s="1"/>
  <c r="CO283" i="42"/>
  <c r="CO285" i="42" s="1"/>
  <c r="CO212" i="42"/>
  <c r="CO214" i="42" s="1"/>
  <c r="CO207" i="42"/>
  <c r="CO209" i="42" s="1"/>
  <c r="CN243" i="42"/>
  <c r="CN242" i="42"/>
  <c r="CN58" i="42"/>
  <c r="CN59" i="42" s="1"/>
  <c r="CO45" i="42"/>
  <c r="CT46" i="42" s="1"/>
  <c r="CT48" i="42" s="1"/>
  <c r="CO51" i="42"/>
  <c r="CT52" i="42" s="1"/>
  <c r="CT54" i="42" s="1"/>
  <c r="CP57" i="53"/>
  <c r="CO57" i="53"/>
  <c r="CN57" i="53"/>
  <c r="CM57" i="53"/>
  <c r="CL57" i="53"/>
  <c r="CN56" i="53"/>
  <c r="CM56" i="53"/>
  <c r="CL56" i="53"/>
  <c r="CO48" i="53"/>
  <c r="CN48" i="53"/>
  <c r="CM48" i="53"/>
  <c r="CL48" i="53"/>
  <c r="CO32" i="53"/>
  <c r="CN32" i="53"/>
  <c r="CM32" i="53"/>
  <c r="CL32" i="53"/>
  <c r="CO26" i="53"/>
  <c r="CN26" i="53"/>
  <c r="CM26" i="53"/>
  <c r="CL26" i="53"/>
  <c r="CO19" i="53"/>
  <c r="CN19" i="53"/>
  <c r="CM19" i="53"/>
  <c r="CL19" i="53"/>
  <c r="CP6" i="53"/>
  <c r="CO6" i="53"/>
  <c r="CN6" i="53"/>
  <c r="CM6" i="53"/>
  <c r="CL6" i="53"/>
  <c r="CP5" i="53"/>
  <c r="CO5" i="53"/>
  <c r="CN5" i="53"/>
  <c r="CM5" i="53"/>
  <c r="CL5" i="53"/>
  <c r="DD357" i="1"/>
  <c r="DC564" i="42"/>
  <c r="DB564" i="42"/>
  <c r="DA564" i="42"/>
  <c r="CZ564" i="42"/>
  <c r="DD563" i="42"/>
  <c r="DI564" i="42" s="1"/>
  <c r="DC411" i="42"/>
  <c r="DB411" i="42"/>
  <c r="DA411" i="42"/>
  <c r="CZ411" i="42"/>
  <c r="DC406" i="42"/>
  <c r="DB406" i="42"/>
  <c r="DA406" i="42"/>
  <c r="CZ406" i="42"/>
  <c r="DC399" i="42"/>
  <c r="DB399" i="42"/>
  <c r="DA399" i="42"/>
  <c r="CZ399" i="42"/>
  <c r="DC342" i="42"/>
  <c r="DB342" i="42"/>
  <c r="DA342" i="42"/>
  <c r="CZ342" i="42"/>
  <c r="DC337" i="42"/>
  <c r="DB337" i="42"/>
  <c r="DA337" i="42"/>
  <c r="CZ337" i="42"/>
  <c r="DC330" i="42"/>
  <c r="DB330" i="42"/>
  <c r="DA330" i="42"/>
  <c r="CZ330" i="42"/>
  <c r="DC273" i="42"/>
  <c r="DB273" i="42"/>
  <c r="DA273" i="42"/>
  <c r="CZ273" i="42"/>
  <c r="DC268" i="42"/>
  <c r="DB268" i="42"/>
  <c r="DA268" i="42"/>
  <c r="CZ268" i="42"/>
  <c r="DC261" i="42"/>
  <c r="DB261" i="42"/>
  <c r="DA261" i="42"/>
  <c r="CZ261" i="42"/>
  <c r="DC204" i="42"/>
  <c r="DB204" i="42"/>
  <c r="DA204" i="42"/>
  <c r="CZ204" i="42"/>
  <c r="DC199" i="42"/>
  <c r="DB199" i="42"/>
  <c r="DA199" i="42"/>
  <c r="CZ199" i="42"/>
  <c r="DC192" i="42"/>
  <c r="DB192" i="42"/>
  <c r="DA192" i="42"/>
  <c r="CZ192" i="42"/>
  <c r="DC19" i="42"/>
  <c r="DC16" i="1" s="1"/>
  <c r="CO20" i="53" s="1"/>
  <c r="DB19" i="42"/>
  <c r="DB16" i="1" s="1"/>
  <c r="CN20" i="53" s="1"/>
  <c r="DA19" i="42"/>
  <c r="DA16" i="1" s="1"/>
  <c r="CM20" i="53" s="1"/>
  <c r="CZ19" i="42"/>
  <c r="DD6" i="42"/>
  <c r="DC6" i="42"/>
  <c r="DB6" i="42"/>
  <c r="DA6" i="42"/>
  <c r="CZ6" i="42"/>
  <c r="DD5" i="42"/>
  <c r="DC5" i="42"/>
  <c r="DB5" i="42"/>
  <c r="DA5" i="42"/>
  <c r="CZ5" i="42"/>
  <c r="DC357" i="1"/>
  <c r="DB357" i="1"/>
  <c r="DA357" i="1"/>
  <c r="CZ357" i="1"/>
  <c r="DD75" i="1"/>
  <c r="CP32" i="53" s="1"/>
  <c r="DD190" i="1" l="1"/>
  <c r="DE190" i="1"/>
  <c r="CN61" i="1"/>
  <c r="CS62" i="1" s="1"/>
  <c r="CW281" i="1"/>
  <c r="DC116" i="1"/>
  <c r="DD116" i="1" s="1"/>
  <c r="CX213" i="1"/>
  <c r="CW282" i="1"/>
  <c r="CV285" i="1"/>
  <c r="CV287" i="1"/>
  <c r="CV295" i="1" s="1"/>
  <c r="CW247" i="1"/>
  <c r="CX247" i="1"/>
  <c r="CV247" i="1"/>
  <c r="DD247" i="1"/>
  <c r="DI247" i="1" s="1"/>
  <c r="CU247" i="1"/>
  <c r="E198" i="1"/>
  <c r="D197" i="1"/>
  <c r="E314" i="1"/>
  <c r="F315" i="1" s="1"/>
  <c r="BY194" i="1"/>
  <c r="BX227" i="1"/>
  <c r="CX207" i="1"/>
  <c r="CX281" i="1" s="1"/>
  <c r="CW238" i="1"/>
  <c r="BW198" i="1"/>
  <c r="BV197" i="1"/>
  <c r="CO59" i="42"/>
  <c r="DD19" i="42"/>
  <c r="DD16" i="1" s="1"/>
  <c r="CP20" i="53" s="1"/>
  <c r="CZ16" i="1"/>
  <c r="CL20" i="53" s="1"/>
  <c r="DH247" i="1" l="1"/>
  <c r="DG247" i="1"/>
  <c r="DF247" i="1"/>
  <c r="DE247" i="1"/>
  <c r="DF190" i="1"/>
  <c r="DF116" i="1" s="1"/>
  <c r="DE116" i="1"/>
  <c r="CW283" i="1"/>
  <c r="CW285" i="1" s="1"/>
  <c r="CY213" i="1"/>
  <c r="CX282" i="1"/>
  <c r="CX283" i="1" s="1"/>
  <c r="DC247" i="1"/>
  <c r="CZ247" i="1"/>
  <c r="DA247" i="1"/>
  <c r="DB247" i="1"/>
  <c r="BW197" i="1"/>
  <c r="BX198" i="1"/>
  <c r="BX197" i="1" s="1"/>
  <c r="BY198" i="1"/>
  <c r="BZ194" i="1"/>
  <c r="BY195" i="1"/>
  <c r="BZ195" i="1" s="1"/>
  <c r="BY227" i="1"/>
  <c r="CY207" i="1"/>
  <c r="CY281" i="1" s="1"/>
  <c r="CX238" i="1"/>
  <c r="D198" i="1"/>
  <c r="C197" i="1"/>
  <c r="C198" i="1" s="1"/>
  <c r="D314" i="1"/>
  <c r="CW287" i="1" l="1"/>
  <c r="DG190" i="1"/>
  <c r="DG116" i="1" s="1"/>
  <c r="CX285" i="1"/>
  <c r="CX287" i="1"/>
  <c r="CX295" i="1" s="1"/>
  <c r="CW295" i="1"/>
  <c r="CZ213" i="1"/>
  <c r="CY282" i="1"/>
  <c r="CY283" i="1" s="1"/>
  <c r="CY285" i="1" s="1"/>
  <c r="D315" i="1"/>
  <c r="E315" i="1"/>
  <c r="CA194" i="1"/>
  <c r="BZ227" i="1"/>
  <c r="BY197" i="1"/>
  <c r="BZ197" i="1" s="1"/>
  <c r="BZ198" i="1"/>
  <c r="CA198" i="1"/>
  <c r="CZ207" i="1"/>
  <c r="CZ281" i="1" s="1"/>
  <c r="CY238" i="1"/>
  <c r="CM529" i="42"/>
  <c r="CM531" i="42" s="1"/>
  <c r="CM524" i="42"/>
  <c r="CM526" i="42" s="1"/>
  <c r="CM519" i="42"/>
  <c r="CM521" i="42" s="1"/>
  <c r="CM514" i="42"/>
  <c r="CM516" i="42" s="1"/>
  <c r="CM509" i="42"/>
  <c r="CM511" i="42" s="1"/>
  <c r="CM504" i="42"/>
  <c r="CM506" i="42" s="1"/>
  <c r="CM499" i="42"/>
  <c r="CM501" i="42" s="1"/>
  <c r="CM421" i="42"/>
  <c r="CM423" i="42" s="1"/>
  <c r="CM414" i="42"/>
  <c r="CM416" i="42" s="1"/>
  <c r="CM352" i="42"/>
  <c r="CM354" i="42" s="1"/>
  <c r="CM345" i="42"/>
  <c r="CM347" i="42" s="1"/>
  <c r="CM283" i="42"/>
  <c r="CM285" i="42" s="1"/>
  <c r="CM276" i="42"/>
  <c r="CM212" i="42"/>
  <c r="CM214" i="42" s="1"/>
  <c r="CM207" i="42"/>
  <c r="CM209" i="42" s="1"/>
  <c r="CM141" i="42"/>
  <c r="CM88" i="1"/>
  <c r="CY287" i="1" l="1"/>
  <c r="DH190" i="1"/>
  <c r="DH116" i="1" s="1"/>
  <c r="DI116" i="1" s="1"/>
  <c r="DA213" i="1"/>
  <c r="CZ282" i="1"/>
  <c r="CZ283" i="1" s="1"/>
  <c r="DA207" i="1"/>
  <c r="DA281" i="1" s="1"/>
  <c r="CZ238" i="1"/>
  <c r="CB198" i="1"/>
  <c r="CA197" i="1"/>
  <c r="CA195" i="1"/>
  <c r="CB194" i="1"/>
  <c r="CA227" i="1"/>
  <c r="CI67" i="1"/>
  <c r="CI59" i="1"/>
  <c r="CM278" i="42"/>
  <c r="DI190" i="1" l="1"/>
  <c r="CZ285" i="1"/>
  <c r="CZ287" i="1"/>
  <c r="DB213" i="1"/>
  <c r="DA282" i="1"/>
  <c r="DA283" i="1" s="1"/>
  <c r="CM223" i="1"/>
  <c r="CI258" i="1"/>
  <c r="CC198" i="1"/>
  <c r="CB197" i="1"/>
  <c r="DB207" i="1"/>
  <c r="DB281" i="1" s="1"/>
  <c r="DA238" i="1"/>
  <c r="CB195" i="1"/>
  <c r="CC194" i="1"/>
  <c r="CB227" i="1"/>
  <c r="CM350" i="1"/>
  <c r="CM349" i="1"/>
  <c r="CM348" i="1"/>
  <c r="CM69" i="1"/>
  <c r="CR70" i="1" s="1"/>
  <c r="CM65" i="1"/>
  <c r="CR66" i="1" s="1"/>
  <c r="CM60" i="1"/>
  <c r="CM61" i="1" s="1"/>
  <c r="CR62" i="1" s="1"/>
  <c r="CM484" i="42"/>
  <c r="CM486" i="42" s="1"/>
  <c r="CM459" i="42"/>
  <c r="CM409" i="42"/>
  <c r="CM411" i="42" s="1"/>
  <c r="CM402" i="42"/>
  <c r="CM406" i="42" s="1"/>
  <c r="CM395" i="42"/>
  <c r="CM399" i="42" s="1"/>
  <c r="CM390" i="42"/>
  <c r="CM392" i="42" s="1"/>
  <c r="CM340" i="42"/>
  <c r="CM342" i="42" s="1"/>
  <c r="CM333" i="42"/>
  <c r="CM337" i="42" s="1"/>
  <c r="CM321" i="42"/>
  <c r="CM323" i="42" s="1"/>
  <c r="CM271" i="42"/>
  <c r="CM273" i="42" s="1"/>
  <c r="CM257" i="42"/>
  <c r="CM261" i="42" s="1"/>
  <c r="DA285" i="1" l="1"/>
  <c r="DA287" i="1"/>
  <c r="DA295" i="1" s="1"/>
  <c r="DC213" i="1"/>
  <c r="DB282" i="1"/>
  <c r="DB283" i="1" s="1"/>
  <c r="CZ295" i="1"/>
  <c r="DC207" i="1"/>
  <c r="DC281" i="1" s="1"/>
  <c r="DB238" i="1"/>
  <c r="CM229" i="1"/>
  <c r="CM230" i="1"/>
  <c r="CW230" i="1" s="1"/>
  <c r="DB230" i="1" s="1"/>
  <c r="DG230" i="1" s="1"/>
  <c r="CD194" i="1"/>
  <c r="CC195" i="1"/>
  <c r="CC227" i="1"/>
  <c r="CD198" i="1"/>
  <c r="CC197" i="1"/>
  <c r="CI260" i="1"/>
  <c r="CI261" i="1" s="1"/>
  <c r="CI263" i="1"/>
  <c r="CI265" i="1" s="1"/>
  <c r="CI266" i="1" s="1"/>
  <c r="CM351" i="1"/>
  <c r="CM59" i="42"/>
  <c r="CM52" i="42"/>
  <c r="CM54" i="42" s="1"/>
  <c r="CM46" i="42"/>
  <c r="CM48" i="42" s="1"/>
  <c r="CW229" i="1" l="1"/>
  <c r="DB229" i="1" s="1"/>
  <c r="DG229" i="1" s="1"/>
  <c r="DB285" i="1"/>
  <c r="DB287" i="1"/>
  <c r="DD213" i="1"/>
  <c r="DC282" i="1"/>
  <c r="DC283" i="1" s="1"/>
  <c r="CE194" i="1"/>
  <c r="CD195" i="1"/>
  <c r="CE195" i="1" s="1"/>
  <c r="CD227" i="1"/>
  <c r="CI268" i="1"/>
  <c r="CE198" i="1"/>
  <c r="CF198" i="1"/>
  <c r="CD197" i="1"/>
  <c r="CE197" i="1" s="1"/>
  <c r="DC238" i="1"/>
  <c r="DD207" i="1"/>
  <c r="DE207" i="1" s="1"/>
  <c r="CL555" i="42"/>
  <c r="CQ556" i="42" s="1"/>
  <c r="CL554" i="42"/>
  <c r="CL529" i="42"/>
  <c r="CL531" i="42" s="1"/>
  <c r="CL524" i="42"/>
  <c r="CL526" i="42" s="1"/>
  <c r="CL519" i="42"/>
  <c r="CL521" i="42" s="1"/>
  <c r="CL514" i="42"/>
  <c r="CL516" i="42" s="1"/>
  <c r="CL509" i="42"/>
  <c r="CL511" i="42" s="1"/>
  <c r="CL504" i="42"/>
  <c r="CL506" i="42" s="1"/>
  <c r="CL499" i="42"/>
  <c r="CL501" i="42" s="1"/>
  <c r="CL141" i="42"/>
  <c r="CL88" i="1"/>
  <c r="DD282" i="1" l="1"/>
  <c r="DE213" i="1"/>
  <c r="DE238" i="1" s="1"/>
  <c r="DF207" i="1"/>
  <c r="DE281" i="1"/>
  <c r="DC287" i="1"/>
  <c r="DC295" i="1" s="1"/>
  <c r="DC285" i="1"/>
  <c r="DD238" i="1"/>
  <c r="DD281" i="1"/>
  <c r="DD283" i="1" s="1"/>
  <c r="DD285" i="1" s="1"/>
  <c r="DB295" i="1"/>
  <c r="CG198" i="1"/>
  <c r="CF197" i="1"/>
  <c r="CF194" i="1"/>
  <c r="CE227" i="1"/>
  <c r="CH67" i="1"/>
  <c r="DF213" i="1" l="1"/>
  <c r="DE282" i="1"/>
  <c r="DE283" i="1" s="1"/>
  <c r="DF238" i="1"/>
  <c r="DF281" i="1"/>
  <c r="DG207" i="1"/>
  <c r="DD287" i="1"/>
  <c r="CG194" i="1"/>
  <c r="CF195" i="1"/>
  <c r="CF227" i="1"/>
  <c r="CH198" i="1"/>
  <c r="CG197" i="1"/>
  <c r="CK59" i="42"/>
  <c r="DE287" i="1" l="1"/>
  <c r="DE295" i="1" s="1"/>
  <c r="DE81" i="1" s="1"/>
  <c r="DE285" i="1"/>
  <c r="DF282" i="1"/>
  <c r="DG213" i="1"/>
  <c r="DG238" i="1" s="1"/>
  <c r="DF283" i="1"/>
  <c r="DF287" i="1" s="1"/>
  <c r="DF295" i="1" s="1"/>
  <c r="DF81" i="1" s="1"/>
  <c r="DG281" i="1"/>
  <c r="DH207" i="1"/>
  <c r="CI198" i="1"/>
  <c r="CH197" i="1"/>
  <c r="CG195" i="1"/>
  <c r="CH194" i="1"/>
  <c r="CG227" i="1"/>
  <c r="CL41" i="42"/>
  <c r="CL183" i="42"/>
  <c r="DH213" i="1" l="1"/>
  <c r="DG282" i="1"/>
  <c r="DG283" i="1"/>
  <c r="DG287" i="1" s="1"/>
  <c r="DF285" i="1"/>
  <c r="DH281" i="1"/>
  <c r="DH238" i="1"/>
  <c r="DI207" i="1"/>
  <c r="CQ45" i="53"/>
  <c r="CR45" i="53"/>
  <c r="CH195" i="1"/>
  <c r="CI194" i="1"/>
  <c r="CH227" i="1"/>
  <c r="CI197" i="1"/>
  <c r="CJ197" i="1" s="1"/>
  <c r="CJ198" i="1"/>
  <c r="CK198" i="1"/>
  <c r="CK459" i="42"/>
  <c r="CL350" i="1"/>
  <c r="CL349" i="1"/>
  <c r="CL348" i="1"/>
  <c r="CL343" i="1"/>
  <c r="CL344" i="1" s="1"/>
  <c r="CL342" i="1"/>
  <c r="CL341" i="1"/>
  <c r="CL71" i="1"/>
  <c r="CL69" i="1"/>
  <c r="CQ70" i="1" s="1"/>
  <c r="CL68" i="1"/>
  <c r="CL60" i="1"/>
  <c r="CL65" i="1"/>
  <c r="CQ66" i="1" s="1"/>
  <c r="CL64" i="1"/>
  <c r="CL484" i="42"/>
  <c r="CL486" i="42" s="1"/>
  <c r="CL476" i="42"/>
  <c r="CL459" i="42"/>
  <c r="CL450" i="42"/>
  <c r="CL449" i="42"/>
  <c r="CL421" i="42"/>
  <c r="CL423" i="42" s="1"/>
  <c r="CL414" i="42"/>
  <c r="CL416" i="42" s="1"/>
  <c r="CL409" i="42"/>
  <c r="CL411" i="42" s="1"/>
  <c r="CL402" i="42"/>
  <c r="CL406" i="42" s="1"/>
  <c r="CL395" i="42"/>
  <c r="CL399" i="42" s="1"/>
  <c r="CL390" i="42"/>
  <c r="CL352" i="42"/>
  <c r="CL354" i="42" s="1"/>
  <c r="CL345" i="42"/>
  <c r="CL347" i="42" s="1"/>
  <c r="CL381" i="42"/>
  <c r="CQ382" i="42" s="1"/>
  <c r="CL380" i="42"/>
  <c r="CL340" i="42"/>
  <c r="CL342" i="42" s="1"/>
  <c r="CL333" i="42"/>
  <c r="CL337" i="42" s="1"/>
  <c r="CL326" i="42"/>
  <c r="CL330" i="42" s="1"/>
  <c r="CL321" i="42"/>
  <c r="CL276" i="42"/>
  <c r="CL278" i="42" s="1"/>
  <c r="CL283" i="42"/>
  <c r="CL285" i="42" s="1"/>
  <c r="CL312" i="42"/>
  <c r="CQ313" i="42" s="1"/>
  <c r="CL311" i="42"/>
  <c r="CL271" i="42"/>
  <c r="CL273" i="42" s="1"/>
  <c r="CL264" i="42"/>
  <c r="CL268" i="42" s="1"/>
  <c r="CL257" i="42"/>
  <c r="CL261" i="42" s="1"/>
  <c r="CL252" i="42"/>
  <c r="CL254" i="42" s="1"/>
  <c r="CL212" i="42"/>
  <c r="CL214" i="42" s="1"/>
  <c r="CL207" i="42"/>
  <c r="CL209" i="42" s="1"/>
  <c r="CL243" i="42"/>
  <c r="CQ244" i="42" s="1"/>
  <c r="CL242" i="42"/>
  <c r="CL185" i="42"/>
  <c r="CL163" i="42"/>
  <c r="CL20" i="1" s="1"/>
  <c r="CL59" i="42"/>
  <c r="CL52" i="42"/>
  <c r="CL54" i="42" s="1"/>
  <c r="CL46" i="42"/>
  <c r="CL48" i="42" s="1"/>
  <c r="DG285" i="1" l="1"/>
  <c r="DH282" i="1"/>
  <c r="DI213" i="1"/>
  <c r="DH283" i="1"/>
  <c r="DH285" i="1" s="1"/>
  <c r="DI238" i="1"/>
  <c r="DI281" i="1"/>
  <c r="DG295" i="1"/>
  <c r="DG81" i="1" s="1"/>
  <c r="CL73" i="1"/>
  <c r="CQ74" i="1" s="1"/>
  <c r="CQ72" i="1"/>
  <c r="CL474" i="42"/>
  <c r="CL61" i="1"/>
  <c r="CQ62" i="1" s="1"/>
  <c r="CL198" i="1"/>
  <c r="CK197" i="1"/>
  <c r="CI195" i="1"/>
  <c r="CJ195" i="1" s="1"/>
  <c r="CJ194" i="1"/>
  <c r="CI227" i="1"/>
  <c r="CL351" i="1"/>
  <c r="CL76" i="1"/>
  <c r="CL392" i="42"/>
  <c r="CL323" i="42"/>
  <c r="DI282" i="1" l="1"/>
  <c r="DH287" i="1"/>
  <c r="DI283" i="1"/>
  <c r="DI285" i="1" s="1"/>
  <c r="CS45" i="53"/>
  <c r="CL82" i="1"/>
  <c r="CL84" i="1" s="1"/>
  <c r="CQ77" i="1"/>
  <c r="CK194" i="1"/>
  <c r="CJ227" i="1"/>
  <c r="CM198" i="1"/>
  <c r="CL197" i="1"/>
  <c r="CL78" i="1"/>
  <c r="CQ79" i="1" s="1"/>
  <c r="CL27" i="42"/>
  <c r="CL31" i="42" s="1"/>
  <c r="CL19" i="42"/>
  <c r="CL16" i="1" s="1"/>
  <c r="CL18" i="42"/>
  <c r="CL15" i="1" s="1"/>
  <c r="CL13" i="42"/>
  <c r="CL13" i="1" s="1"/>
  <c r="CL12" i="42"/>
  <c r="CL12" i="1" s="1"/>
  <c r="CL11" i="42"/>
  <c r="CL11" i="1" s="1"/>
  <c r="CL10" i="42"/>
  <c r="CL10" i="1" s="1"/>
  <c r="CL9" i="42"/>
  <c r="DH295" i="1" l="1"/>
  <c r="DH81" i="1" s="1"/>
  <c r="DI287" i="1"/>
  <c r="CL9" i="1"/>
  <c r="CL14" i="1" s="1"/>
  <c r="CL242" i="1"/>
  <c r="CM242" i="1"/>
  <c r="CL86" i="1"/>
  <c r="CN198" i="1"/>
  <c r="CM197" i="1"/>
  <c r="CK195" i="1"/>
  <c r="CL194" i="1"/>
  <c r="CK227" i="1"/>
  <c r="CL14" i="42"/>
  <c r="DI81" i="1" l="1"/>
  <c r="CT45" i="53"/>
  <c r="CL147" i="42"/>
  <c r="CQ148" i="42" s="1"/>
  <c r="CL156" i="42"/>
  <c r="CQ157" i="42" s="1"/>
  <c r="CL160" i="42"/>
  <c r="CQ161" i="42" s="1"/>
  <c r="CL152" i="42"/>
  <c r="CQ153" i="42" s="1"/>
  <c r="CQ15" i="42"/>
  <c r="CL107" i="1"/>
  <c r="CL109" i="1" s="1"/>
  <c r="CL122" i="1" s="1"/>
  <c r="CM194" i="1"/>
  <c r="CL195" i="1"/>
  <c r="CL227" i="1"/>
  <c r="CO198" i="1"/>
  <c r="CQ198" i="1" s="1"/>
  <c r="CQ197" i="1" s="1"/>
  <c r="CP198" i="1"/>
  <c r="CN197" i="1"/>
  <c r="CL20" i="42"/>
  <c r="CQ21" i="42" s="1"/>
  <c r="CQ23" i="42" s="1"/>
  <c r="CL49" i="42"/>
  <c r="CL17" i="1"/>
  <c r="CR198" i="1" l="1"/>
  <c r="CU45" i="53"/>
  <c r="DI295" i="1"/>
  <c r="DI296" i="1" s="1"/>
  <c r="CS198" i="1"/>
  <c r="CS197" i="1" s="1"/>
  <c r="CR197" i="1"/>
  <c r="CQ17" i="42"/>
  <c r="CL138" i="1"/>
  <c r="CL142" i="1"/>
  <c r="CO197" i="1"/>
  <c r="CM195" i="1"/>
  <c r="CN194" i="1"/>
  <c r="CM227" i="1"/>
  <c r="CK499" i="42"/>
  <c r="CK501" i="42" s="1"/>
  <c r="CK504" i="42"/>
  <c r="CK506" i="42" s="1"/>
  <c r="CK509" i="42"/>
  <c r="CK511" i="42" s="1"/>
  <c r="CK514" i="42"/>
  <c r="CK516" i="42" s="1"/>
  <c r="CK519" i="42"/>
  <c r="CK521" i="42" s="1"/>
  <c r="CK524" i="42"/>
  <c r="CK526" i="42" s="1"/>
  <c r="CK529" i="42"/>
  <c r="CK531" i="42" s="1"/>
  <c r="CK141" i="42"/>
  <c r="CK88" i="1"/>
  <c r="CU198" i="1" l="1"/>
  <c r="CV198" i="1" s="1"/>
  <c r="CW198" i="1" s="1"/>
  <c r="CX198" i="1" s="1"/>
  <c r="CT198" i="1"/>
  <c r="CU197" i="1"/>
  <c r="CN195" i="1"/>
  <c r="CO195" i="1" s="1"/>
  <c r="CO194" i="1"/>
  <c r="CN227" i="1"/>
  <c r="CK421" i="42"/>
  <c r="CK423" i="42" s="1"/>
  <c r="CK414" i="42"/>
  <c r="CK416" i="42" s="1"/>
  <c r="CK352" i="42"/>
  <c r="CK354" i="42" s="1"/>
  <c r="CK345" i="42"/>
  <c r="CK347" i="42" s="1"/>
  <c r="CK283" i="42"/>
  <c r="CK285" i="42" s="1"/>
  <c r="CK276" i="42"/>
  <c r="CK278" i="42" s="1"/>
  <c r="CK207" i="42"/>
  <c r="CK209" i="42" s="1"/>
  <c r="CK212" i="42"/>
  <c r="CK214" i="42" s="1"/>
  <c r="CZ198" i="1" l="1"/>
  <c r="DA198" i="1" s="1"/>
  <c r="DB198" i="1" s="1"/>
  <c r="DC198" i="1" s="1"/>
  <c r="DD198" i="1" s="1"/>
  <c r="CY198" i="1"/>
  <c r="CP194" i="1"/>
  <c r="CQ194" i="1" s="1"/>
  <c r="CQ195" i="1" s="1"/>
  <c r="CO227" i="1"/>
  <c r="DE198" i="1" l="1"/>
  <c r="DF198" i="1" s="1"/>
  <c r="DG198" i="1" s="1"/>
  <c r="DH198" i="1" s="1"/>
  <c r="DI198" i="1" s="1"/>
  <c r="CP227" i="1"/>
  <c r="CP195" i="1"/>
  <c r="CK350" i="1"/>
  <c r="CK349" i="1"/>
  <c r="CK348" i="1"/>
  <c r="CK343" i="1"/>
  <c r="CK344" i="1" s="1"/>
  <c r="CK342" i="1"/>
  <c r="CK341" i="1"/>
  <c r="CK102" i="1"/>
  <c r="CK71" i="1"/>
  <c r="CK69" i="1"/>
  <c r="CP70" i="1" s="1"/>
  <c r="CK68" i="1"/>
  <c r="CK65" i="1"/>
  <c r="CP66" i="1" s="1"/>
  <c r="CK64" i="1"/>
  <c r="CK60" i="1"/>
  <c r="CK555" i="42"/>
  <c r="CP556" i="42" s="1"/>
  <c r="CK554" i="42"/>
  <c r="CK484" i="42"/>
  <c r="CK450" i="42"/>
  <c r="CP451" i="42" s="1"/>
  <c r="CK449" i="42"/>
  <c r="CK390" i="42"/>
  <c r="CK381" i="42"/>
  <c r="CP382" i="42" s="1"/>
  <c r="CK380" i="42"/>
  <c r="CK326" i="42"/>
  <c r="CK330" i="42" s="1"/>
  <c r="CK321" i="42"/>
  <c r="CK312" i="42"/>
  <c r="CP313" i="42" s="1"/>
  <c r="CK311" i="42"/>
  <c r="CK264" i="42"/>
  <c r="CK268" i="42" s="1"/>
  <c r="CK252" i="42"/>
  <c r="CK243" i="42"/>
  <c r="CP244" i="42" s="1"/>
  <c r="CK242" i="42"/>
  <c r="CK202" i="42"/>
  <c r="CK204" i="42" s="1"/>
  <c r="CK195" i="42"/>
  <c r="CK199" i="42" s="1"/>
  <c r="CK188" i="42"/>
  <c r="CK192" i="42" s="1"/>
  <c r="CK73" i="1" l="1"/>
  <c r="CP74" i="1" s="1"/>
  <c r="CP72" i="1"/>
  <c r="CK474" i="42"/>
  <c r="CK323" i="42"/>
  <c r="CK254" i="42"/>
  <c r="CK392" i="42"/>
  <c r="CK486" i="42"/>
  <c r="CR194" i="1"/>
  <c r="CQ227" i="1"/>
  <c r="CK351" i="1"/>
  <c r="CK61" i="1"/>
  <c r="CP62" i="1" s="1"/>
  <c r="CK76" i="1"/>
  <c r="CR227" i="1" l="1"/>
  <c r="CR195" i="1"/>
  <c r="CP77" i="1"/>
  <c r="CS194" i="1"/>
  <c r="CK78" i="1"/>
  <c r="CP79" i="1" s="1"/>
  <c r="CK98" i="1"/>
  <c r="CK46" i="42"/>
  <c r="CK19" i="42"/>
  <c r="CK18" i="42"/>
  <c r="CJ100" i="1"/>
  <c r="CI93" i="1"/>
  <c r="CI83" i="1"/>
  <c r="CI88" i="1"/>
  <c r="CI58" i="42"/>
  <c r="CJ568" i="42"/>
  <c r="CJ529" i="42"/>
  <c r="CJ531" i="42" s="1"/>
  <c r="CI528" i="42"/>
  <c r="CJ524" i="42"/>
  <c r="CJ526" i="42" s="1"/>
  <c r="CI523" i="42"/>
  <c r="CJ519" i="42"/>
  <c r="CJ521" i="42" s="1"/>
  <c r="CI518" i="42"/>
  <c r="CJ514" i="42"/>
  <c r="CJ516" i="42" s="1"/>
  <c r="CI513" i="42"/>
  <c r="CJ509" i="42"/>
  <c r="CJ511" i="42" s="1"/>
  <c r="CI508" i="42"/>
  <c r="CJ504" i="42"/>
  <c r="CJ506" i="42" s="1"/>
  <c r="CI503" i="42"/>
  <c r="CJ499" i="42"/>
  <c r="CJ501" i="42" s="1"/>
  <c r="CI498" i="42"/>
  <c r="CI398" i="42"/>
  <c r="CI397" i="42"/>
  <c r="CI405" i="42"/>
  <c r="CI404" i="42"/>
  <c r="CJ421" i="42"/>
  <c r="CJ423" i="42" s="1"/>
  <c r="CI420" i="42"/>
  <c r="CN421" i="42" s="1"/>
  <c r="CN423" i="42" s="1"/>
  <c r="CJ414" i="42"/>
  <c r="CJ416" i="42" s="1"/>
  <c r="CI413" i="42"/>
  <c r="CI329" i="42"/>
  <c r="CI328" i="42"/>
  <c r="CI336" i="42"/>
  <c r="CI335" i="42"/>
  <c r="CJ352" i="42"/>
  <c r="CJ354" i="42" s="1"/>
  <c r="CI351" i="42"/>
  <c r="CJ345" i="42"/>
  <c r="CJ347" i="42" s="1"/>
  <c r="CI344" i="42"/>
  <c r="CN348" i="42" s="1"/>
  <c r="CI267" i="42"/>
  <c r="CI266" i="42"/>
  <c r="CI260" i="42"/>
  <c r="CI259" i="42"/>
  <c r="CJ283" i="42"/>
  <c r="CJ285" i="42" s="1"/>
  <c r="CI282" i="42"/>
  <c r="CN283" i="42" s="1"/>
  <c r="CN285" i="42" s="1"/>
  <c r="CJ276" i="42"/>
  <c r="CJ278" i="42" s="1"/>
  <c r="CI275" i="42"/>
  <c r="CN279" i="42" s="1"/>
  <c r="CI198" i="42"/>
  <c r="CI197" i="42"/>
  <c r="CI191" i="42"/>
  <c r="CI190" i="42"/>
  <c r="CJ212" i="42"/>
  <c r="CJ214" i="42" s="1"/>
  <c r="CJ207" i="42"/>
  <c r="CJ209" i="42" s="1"/>
  <c r="CI211" i="42"/>
  <c r="CN212" i="42" s="1"/>
  <c r="CN214" i="42" s="1"/>
  <c r="CI206" i="42"/>
  <c r="CN207" i="42" s="1"/>
  <c r="CN209" i="42" s="1"/>
  <c r="CJ141" i="42"/>
  <c r="CI140" i="42"/>
  <c r="CI139" i="42"/>
  <c r="CI138" i="42"/>
  <c r="CI37" i="42"/>
  <c r="CI36" i="42"/>
  <c r="CI30" i="42"/>
  <c r="CI29" i="42"/>
  <c r="CS227" i="1" l="1"/>
  <c r="CS195" i="1"/>
  <c r="CT195" i="1" s="1"/>
  <c r="CT196" i="1"/>
  <c r="CT194" i="1"/>
  <c r="CI108" i="1"/>
  <c r="CN276" i="42"/>
  <c r="CN278" i="42" s="1"/>
  <c r="CN500" i="42"/>
  <c r="CN499" i="42"/>
  <c r="CN515" i="42"/>
  <c r="CN514" i="42"/>
  <c r="CN530" i="42"/>
  <c r="CN529" i="42"/>
  <c r="CN505" i="42"/>
  <c r="CN504" i="42"/>
  <c r="CN520" i="42"/>
  <c r="CN519" i="42"/>
  <c r="CN417" i="42"/>
  <c r="CN414" i="42"/>
  <c r="CN416" i="42" s="1"/>
  <c r="CN510" i="42"/>
  <c r="CN509" i="42"/>
  <c r="CN525" i="42"/>
  <c r="CN524" i="42"/>
  <c r="CK48" i="42"/>
  <c r="CI45" i="42"/>
  <c r="CN46" i="42" s="1"/>
  <c r="CI51" i="42"/>
  <c r="CI63" i="1"/>
  <c r="CU194" i="1" l="1"/>
  <c r="CT227" i="1"/>
  <c r="CN531" i="42"/>
  <c r="CN511" i="42"/>
  <c r="CN526" i="42"/>
  <c r="CN506" i="42"/>
  <c r="CN501" i="42"/>
  <c r="CN516" i="42"/>
  <c r="CN521" i="42"/>
  <c r="CN48" i="42"/>
  <c r="CI59" i="42"/>
  <c r="CN52" i="42"/>
  <c r="CN54" i="42" s="1"/>
  <c r="CJ57" i="53"/>
  <c r="CI57" i="53"/>
  <c r="CH57" i="53"/>
  <c r="CG57" i="53"/>
  <c r="CH56" i="53"/>
  <c r="CJ48" i="53"/>
  <c r="CI48" i="53"/>
  <c r="CH48" i="53"/>
  <c r="CJ32" i="53"/>
  <c r="CI32" i="53"/>
  <c r="CH32" i="53"/>
  <c r="CG32" i="53"/>
  <c r="CJ26" i="53"/>
  <c r="CI26" i="53"/>
  <c r="CH26" i="53"/>
  <c r="CG26" i="53"/>
  <c r="CJ19" i="53"/>
  <c r="CI19" i="53"/>
  <c r="CH19" i="53"/>
  <c r="CG19" i="53"/>
  <c r="CK6" i="53"/>
  <c r="CJ6" i="53"/>
  <c r="CI6" i="53"/>
  <c r="CH6" i="53"/>
  <c r="CG6" i="53"/>
  <c r="CK5" i="53"/>
  <c r="CJ5" i="53"/>
  <c r="CI5" i="53"/>
  <c r="CH5" i="53"/>
  <c r="CG5" i="53"/>
  <c r="CH93" i="1"/>
  <c r="CH59" i="1"/>
  <c r="CH83" i="1"/>
  <c r="CI350" i="1"/>
  <c r="CI349" i="1"/>
  <c r="CI348" i="1"/>
  <c r="CJ348" i="1" s="1"/>
  <c r="CJ408" i="42"/>
  <c r="CJ45" i="42"/>
  <c r="CJ51" i="42"/>
  <c r="CO52" i="42" s="1"/>
  <c r="CO54" i="42" s="1"/>
  <c r="AO59" i="42"/>
  <c r="AN59" i="42"/>
  <c r="AM59" i="42"/>
  <c r="AU59" i="42"/>
  <c r="AT59" i="42"/>
  <c r="AS59" i="42"/>
  <c r="AR59" i="42"/>
  <c r="AZ59" i="42"/>
  <c r="AY59" i="42"/>
  <c r="AX59" i="42"/>
  <c r="AW59" i="42"/>
  <c r="BF59" i="42"/>
  <c r="BD59" i="42"/>
  <c r="BC59" i="42"/>
  <c r="BB59" i="42"/>
  <c r="BK59" i="42"/>
  <c r="BI59" i="42"/>
  <c r="BH59" i="42"/>
  <c r="BG59" i="42"/>
  <c r="BN59" i="42"/>
  <c r="BM59" i="42"/>
  <c r="BL59" i="42"/>
  <c r="BS59" i="42"/>
  <c r="BR59" i="42"/>
  <c r="BQ59" i="42"/>
  <c r="BX59" i="42"/>
  <c r="BW59" i="42"/>
  <c r="BV59" i="42"/>
  <c r="CC59" i="42"/>
  <c r="CB59" i="42"/>
  <c r="CA59" i="42"/>
  <c r="CH59" i="42"/>
  <c r="CG59" i="42"/>
  <c r="CU195" i="1" l="1"/>
  <c r="CV195" i="1" s="1"/>
  <c r="CW195" i="1" s="1"/>
  <c r="CX195" i="1" s="1"/>
  <c r="CY195" i="1" s="1"/>
  <c r="CZ195" i="1" s="1"/>
  <c r="DA195" i="1" s="1"/>
  <c r="DB195" i="1" s="1"/>
  <c r="DC195" i="1" s="1"/>
  <c r="DD195" i="1" s="1"/>
  <c r="DE195" i="1" s="1"/>
  <c r="DF195" i="1" s="1"/>
  <c r="CU227" i="1"/>
  <c r="CV194" i="1"/>
  <c r="CH223" i="1"/>
  <c r="CH258" i="1"/>
  <c r="CI223" i="1"/>
  <c r="CL223" i="1"/>
  <c r="CJ223" i="1"/>
  <c r="CK223" i="1"/>
  <c r="CH108" i="1"/>
  <c r="CH146" i="1"/>
  <c r="CI146" i="1" s="1"/>
  <c r="CO46" i="42"/>
  <c r="CJ59" i="42"/>
  <c r="CI351" i="1"/>
  <c r="CK57" i="53"/>
  <c r="CX357" i="1"/>
  <c r="CW357" i="1"/>
  <c r="CV357" i="1"/>
  <c r="CU357" i="1"/>
  <c r="CY75" i="1"/>
  <c r="CX564" i="42"/>
  <c r="CW564" i="42"/>
  <c r="CV564" i="42"/>
  <c r="CU564" i="42"/>
  <c r="CY563" i="42"/>
  <c r="DD564" i="42" s="1"/>
  <c r="CX411" i="42"/>
  <c r="CW411" i="42"/>
  <c r="CV411" i="42"/>
  <c r="CX406" i="42"/>
  <c r="CW406" i="42"/>
  <c r="CV406" i="42"/>
  <c r="CX399" i="42"/>
  <c r="CW399" i="42"/>
  <c r="CV399" i="42"/>
  <c r="CX342" i="42"/>
  <c r="CW342" i="42"/>
  <c r="CV342" i="42"/>
  <c r="CX337" i="42"/>
  <c r="CW337" i="42"/>
  <c r="CV337" i="42"/>
  <c r="CX330" i="42"/>
  <c r="CW330" i="42"/>
  <c r="CV330" i="42"/>
  <c r="CX273" i="42"/>
  <c r="CW273" i="42"/>
  <c r="CV273" i="42"/>
  <c r="CX268" i="42"/>
  <c r="CW268" i="42"/>
  <c r="CV268" i="42"/>
  <c r="CU268" i="42"/>
  <c r="CX261" i="42"/>
  <c r="CW261" i="42"/>
  <c r="CV261" i="42"/>
  <c r="CX204" i="42"/>
  <c r="CW204" i="42"/>
  <c r="CV204" i="42"/>
  <c r="CX199" i="42"/>
  <c r="CW199" i="42"/>
  <c r="CV199" i="42"/>
  <c r="CX192" i="42"/>
  <c r="CW192" i="42"/>
  <c r="CV192" i="42"/>
  <c r="CX19" i="42"/>
  <c r="CX16" i="1" s="1"/>
  <c r="CJ20" i="53" s="1"/>
  <c r="CW19" i="42"/>
  <c r="CW16" i="1" s="1"/>
  <c r="CI20" i="53" s="1"/>
  <c r="CV19" i="42"/>
  <c r="CV16" i="1" s="1"/>
  <c r="CH20" i="53" s="1"/>
  <c r="CU19" i="42"/>
  <c r="CU16" i="1" s="1"/>
  <c r="CY6" i="42"/>
  <c r="CX6" i="42"/>
  <c r="CW6" i="42"/>
  <c r="CV6" i="42"/>
  <c r="CU6" i="42"/>
  <c r="CY5" i="42"/>
  <c r="CX5" i="42"/>
  <c r="CW5" i="42"/>
  <c r="CV5" i="42"/>
  <c r="CU5" i="42"/>
  <c r="CI69" i="1"/>
  <c r="CN70" i="1" s="1"/>
  <c r="CI65" i="1"/>
  <c r="CN66" i="1" s="1"/>
  <c r="CI60" i="1"/>
  <c r="CI459" i="42"/>
  <c r="DG195" i="1" l="1"/>
  <c r="CG20" i="53"/>
  <c r="CI229" i="1"/>
  <c r="CI230" i="1"/>
  <c r="CH263" i="1"/>
  <c r="CH265" i="1" s="1"/>
  <c r="CH266" i="1" s="1"/>
  <c r="CH260" i="1"/>
  <c r="CH261" i="1" s="1"/>
  <c r="CH230" i="1"/>
  <c r="CH229" i="1"/>
  <c r="CK230" i="1"/>
  <c r="CZ230" i="1" s="1"/>
  <c r="DE230" i="1" s="1"/>
  <c r="CK229" i="1"/>
  <c r="CZ229" i="1" s="1"/>
  <c r="DE229" i="1" s="1"/>
  <c r="CJ229" i="1"/>
  <c r="CJ230" i="1"/>
  <c r="CW194" i="1"/>
  <c r="CV196" i="1"/>
  <c r="CV227" i="1"/>
  <c r="CL229" i="1"/>
  <c r="CL230" i="1"/>
  <c r="CO48" i="42"/>
  <c r="CY357" i="1"/>
  <c r="CI61" i="1"/>
  <c r="CN62" i="1" s="1"/>
  <c r="CK32" i="53"/>
  <c r="CY19" i="42"/>
  <c r="CY16" i="1" s="1"/>
  <c r="CK20" i="53" s="1"/>
  <c r="CJ91" i="42"/>
  <c r="CJ88" i="42"/>
  <c r="CJ83" i="42"/>
  <c r="CJ85" i="42" s="1"/>
  <c r="CJ78" i="42"/>
  <c r="CJ80" i="42" s="1"/>
  <c r="CJ73" i="42"/>
  <c r="CJ75" i="42" s="1"/>
  <c r="CJ68" i="42"/>
  <c r="CJ70" i="42" s="1"/>
  <c r="DH195" i="1" l="1"/>
  <c r="CH268" i="1"/>
  <c r="CX194" i="1"/>
  <c r="CW196" i="1"/>
  <c r="CW227" i="1"/>
  <c r="CJ90" i="42"/>
  <c r="CJ81" i="42"/>
  <c r="CJ71" i="42"/>
  <c r="CJ76" i="42"/>
  <c r="CJ86" i="42"/>
  <c r="CJ94" i="42"/>
  <c r="DI195" i="1" l="1"/>
  <c r="CX196" i="1"/>
  <c r="CY196" i="1" s="1"/>
  <c r="CY194" i="1"/>
  <c r="CX227" i="1"/>
  <c r="CJ97" i="42"/>
  <c r="CZ194" i="1" l="1"/>
  <c r="CY227" i="1"/>
  <c r="CH88" i="1"/>
  <c r="DA194" i="1" l="1"/>
  <c r="CZ196" i="1"/>
  <c r="CZ227" i="1"/>
  <c r="DB194" i="1" l="1"/>
  <c r="DA196" i="1"/>
  <c r="DA227" i="1"/>
  <c r="DC194" i="1" l="1"/>
  <c r="DB196" i="1"/>
  <c r="DB227" i="1"/>
  <c r="CH75" i="1"/>
  <c r="DD194" i="1" l="1"/>
  <c r="DE194" i="1" s="1"/>
  <c r="DC196" i="1"/>
  <c r="DD196" i="1" s="1"/>
  <c r="DC227" i="1"/>
  <c r="CH350" i="1"/>
  <c r="CH349" i="1"/>
  <c r="CH348" i="1"/>
  <c r="CH71" i="1"/>
  <c r="CH69" i="1"/>
  <c r="CM70" i="1" s="1"/>
  <c r="CH68" i="1"/>
  <c r="CH65" i="1"/>
  <c r="CM66" i="1" s="1"/>
  <c r="CH64" i="1"/>
  <c r="CH60" i="1"/>
  <c r="CH58" i="1"/>
  <c r="CH564" i="42"/>
  <c r="CH555" i="42"/>
  <c r="CH554" i="42"/>
  <c r="CH529" i="42"/>
  <c r="CH531" i="42" s="1"/>
  <c r="CH524" i="42"/>
  <c r="CH526" i="42" s="1"/>
  <c r="CH519" i="42"/>
  <c r="CH521" i="42" s="1"/>
  <c r="CH514" i="42"/>
  <c r="CH516" i="42" s="1"/>
  <c r="CH509" i="42"/>
  <c r="CH511" i="42" s="1"/>
  <c r="CH504" i="42"/>
  <c r="CH506" i="42" s="1"/>
  <c r="CH499" i="42"/>
  <c r="CH501" i="42" s="1"/>
  <c r="CH484" i="42"/>
  <c r="CH486" i="42" s="1"/>
  <c r="CG484" i="42"/>
  <c r="CH476" i="42"/>
  <c r="CH459" i="42"/>
  <c r="CH450" i="42"/>
  <c r="CH449" i="42"/>
  <c r="CH421" i="42"/>
  <c r="CH423" i="42" s="1"/>
  <c r="CH414" i="42"/>
  <c r="CH416" i="42" s="1"/>
  <c r="CH409" i="42"/>
  <c r="CH411" i="42" s="1"/>
  <c r="CH402" i="42"/>
  <c r="CH406" i="42" s="1"/>
  <c r="CH395" i="42"/>
  <c r="CH399" i="42" s="1"/>
  <c r="CH390" i="42"/>
  <c r="CH392" i="42" s="1"/>
  <c r="CH381" i="42"/>
  <c r="CH380" i="42"/>
  <c r="CH352" i="42"/>
  <c r="CH354" i="42" s="1"/>
  <c r="CH345" i="42"/>
  <c r="CH347" i="42" s="1"/>
  <c r="CH340" i="42"/>
  <c r="CH342" i="42" s="1"/>
  <c r="CH333" i="42"/>
  <c r="CH337" i="42" s="1"/>
  <c r="CH326" i="42"/>
  <c r="CH330" i="42" s="1"/>
  <c r="CH321" i="42"/>
  <c r="CH323" i="42" s="1"/>
  <c r="CH312" i="42"/>
  <c r="CH311" i="42"/>
  <c r="CH283" i="42"/>
  <c r="CH285" i="42" s="1"/>
  <c r="CH276" i="42"/>
  <c r="CH278" i="42" s="1"/>
  <c r="CH271" i="42"/>
  <c r="CH273" i="42" s="1"/>
  <c r="CH264" i="42"/>
  <c r="CH268" i="42" s="1"/>
  <c r="CH257" i="42"/>
  <c r="CH261" i="42" s="1"/>
  <c r="CH252" i="42"/>
  <c r="CH243" i="42"/>
  <c r="CH242" i="42"/>
  <c r="CH212" i="42"/>
  <c r="CH214" i="42" s="1"/>
  <c r="CH207" i="42"/>
  <c r="CH209" i="42" s="1"/>
  <c r="CH202" i="42"/>
  <c r="CH204" i="42" s="1"/>
  <c r="CH195" i="42"/>
  <c r="CH199" i="42" s="1"/>
  <c r="CH188" i="42"/>
  <c r="CH192" i="42" s="1"/>
  <c r="CH183" i="42"/>
  <c r="CH185" i="42" s="1"/>
  <c r="CH173" i="42"/>
  <c r="CH167" i="42"/>
  <c r="CH166" i="42"/>
  <c r="CH165" i="42"/>
  <c r="CH164" i="42"/>
  <c r="CH163" i="42"/>
  <c r="CH52" i="42"/>
  <c r="CH54" i="42" s="1"/>
  <c r="CH46" i="42"/>
  <c r="CH48" i="42" s="1"/>
  <c r="CH41" i="42"/>
  <c r="CH43" i="42" s="1"/>
  <c r="CH34" i="42"/>
  <c r="CH38" i="42" s="1"/>
  <c r="CH27" i="42"/>
  <c r="CH31" i="42" s="1"/>
  <c r="CH19" i="42"/>
  <c r="CH18" i="42"/>
  <c r="CH13" i="42"/>
  <c r="CH12" i="42"/>
  <c r="CH11" i="42"/>
  <c r="CH10" i="42"/>
  <c r="CH9" i="42"/>
  <c r="CG137" i="42"/>
  <c r="CI137" i="42" s="1"/>
  <c r="CG46" i="42"/>
  <c r="CG48" i="42" s="1"/>
  <c r="CG88" i="1"/>
  <c r="CG348" i="1" s="1"/>
  <c r="CG357" i="1"/>
  <c r="CG359" i="1" s="1"/>
  <c r="CG350" i="1"/>
  <c r="CG349" i="1"/>
  <c r="CG69" i="1"/>
  <c r="CL70" i="1" s="1"/>
  <c r="CG65" i="1"/>
  <c r="CL66" i="1" s="1"/>
  <c r="CG60" i="1"/>
  <c r="CG529" i="42"/>
  <c r="CG531" i="42" s="1"/>
  <c r="CG524" i="42"/>
  <c r="CG526" i="42" s="1"/>
  <c r="CG519" i="42"/>
  <c r="CG521" i="42" s="1"/>
  <c r="CG514" i="42"/>
  <c r="CG516" i="42" s="1"/>
  <c r="CG509" i="42"/>
  <c r="CG511" i="42" s="1"/>
  <c r="CG504" i="42"/>
  <c r="CG506" i="42" s="1"/>
  <c r="CG499" i="42"/>
  <c r="CG501" i="42" s="1"/>
  <c r="CG459" i="42"/>
  <c r="CG421" i="42"/>
  <c r="CG423" i="42" s="1"/>
  <c r="CG414" i="42"/>
  <c r="CG416" i="42" s="1"/>
  <c r="CG352" i="42"/>
  <c r="CG354" i="42" s="1"/>
  <c r="CG345" i="42"/>
  <c r="CG347" i="42" s="1"/>
  <c r="CG283" i="42"/>
  <c r="CG285" i="42" s="1"/>
  <c r="CG276" i="42"/>
  <c r="CG278" i="42" s="1"/>
  <c r="CG212" i="42"/>
  <c r="CG214" i="42" s="1"/>
  <c r="CG207" i="42"/>
  <c r="CG209" i="42" s="1"/>
  <c r="CG52" i="42"/>
  <c r="CG54" i="42" s="1"/>
  <c r="DF194" i="1" l="1"/>
  <c r="DE227" i="1"/>
  <c r="DE196" i="1"/>
  <c r="DD227" i="1"/>
  <c r="CH351" i="1"/>
  <c r="CH76" i="1"/>
  <c r="CH78" i="1" s="1"/>
  <c r="CH73" i="1"/>
  <c r="CH61" i="1"/>
  <c r="CM62" i="1" s="1"/>
  <c r="CH168" i="42"/>
  <c r="CH14" i="42"/>
  <c r="CH49" i="42" s="1"/>
  <c r="CH254" i="42"/>
  <c r="CG351" i="1"/>
  <c r="CG61" i="1"/>
  <c r="CL62" i="1" s="1"/>
  <c r="DF227" i="1" l="1"/>
  <c r="DG194" i="1"/>
  <c r="DF196" i="1"/>
  <c r="CH20" i="42"/>
  <c r="CH170" i="42"/>
  <c r="CH82" i="1"/>
  <c r="CH84" i="1" s="1"/>
  <c r="DG227" i="1" l="1"/>
  <c r="DH194" i="1"/>
  <c r="DG196" i="1"/>
  <c r="CH86" i="1"/>
  <c r="CH107" i="1" s="1"/>
  <c r="CH109" i="1" s="1"/>
  <c r="CH122" i="1" s="1"/>
  <c r="DI194" i="1" l="1"/>
  <c r="DI227" i="1" s="1"/>
  <c r="DH227" i="1"/>
  <c r="DH196" i="1"/>
  <c r="CH138" i="1"/>
  <c r="CH142" i="1"/>
  <c r="DI196" i="1" l="1"/>
  <c r="CF59" i="42" l="1"/>
  <c r="CF212" i="42" l="1"/>
  <c r="CF214" i="42" s="1"/>
  <c r="CF207" i="42"/>
  <c r="CF88" i="1"/>
  <c r="CD88" i="1" l="1"/>
  <c r="CE57" i="53" l="1"/>
  <c r="CD57" i="53"/>
  <c r="CC57" i="53"/>
  <c r="CB57" i="53"/>
  <c r="CC56" i="53"/>
  <c r="CC48" i="53"/>
  <c r="CB48" i="53"/>
  <c r="CE32" i="53"/>
  <c r="CD32" i="53"/>
  <c r="CC32" i="53"/>
  <c r="CB32" i="53"/>
  <c r="CE19" i="53"/>
  <c r="CD19" i="53"/>
  <c r="CC19" i="53"/>
  <c r="CB19" i="53"/>
  <c r="CF6" i="53"/>
  <c r="CE6" i="53"/>
  <c r="CD6" i="53"/>
  <c r="CC6" i="53"/>
  <c r="CB6" i="53"/>
  <c r="CF5" i="53"/>
  <c r="CE5" i="53"/>
  <c r="CD5" i="53"/>
  <c r="CC5" i="53"/>
  <c r="CB5" i="53"/>
  <c r="CF350" i="1"/>
  <c r="CJ350" i="1" s="1"/>
  <c r="CF349" i="1"/>
  <c r="CJ349" i="1" s="1"/>
  <c r="CF348" i="1"/>
  <c r="CF69" i="1"/>
  <c r="CK70" i="1" s="1"/>
  <c r="CF65" i="1"/>
  <c r="CK66" i="1" s="1"/>
  <c r="CF60" i="1"/>
  <c r="CF529" i="42"/>
  <c r="CF531" i="42" s="1"/>
  <c r="CF524" i="42"/>
  <c r="CF526" i="42" s="1"/>
  <c r="CF519" i="42"/>
  <c r="CF521" i="42" s="1"/>
  <c r="CF514" i="42"/>
  <c r="CF516" i="42" s="1"/>
  <c r="CF509" i="42"/>
  <c r="CF511" i="42" s="1"/>
  <c r="CF504" i="42"/>
  <c r="CF506" i="42" s="1"/>
  <c r="CF499" i="42"/>
  <c r="CF501" i="42" s="1"/>
  <c r="CF459" i="42"/>
  <c r="CF421" i="42"/>
  <c r="CF423" i="42" s="1"/>
  <c r="CF414" i="42"/>
  <c r="CF416" i="42" s="1"/>
  <c r="CF352" i="42"/>
  <c r="CF354" i="42" s="1"/>
  <c r="CF345" i="42"/>
  <c r="CF347" i="42" s="1"/>
  <c r="CF283" i="42"/>
  <c r="CF285" i="42" s="1"/>
  <c r="CF276" i="42"/>
  <c r="CF278" i="42" s="1"/>
  <c r="CF209" i="42"/>
  <c r="CJ351" i="1" l="1"/>
  <c r="CF61" i="1"/>
  <c r="CK62" i="1" s="1"/>
  <c r="CF351" i="1"/>
  <c r="BU88" i="42" l="1"/>
  <c r="BU68" i="42"/>
  <c r="BU70" i="42" s="1"/>
  <c r="BU73" i="42"/>
  <c r="BU75" i="42" s="1"/>
  <c r="BU78" i="42"/>
  <c r="BU80" i="42" s="1"/>
  <c r="BU83" i="42"/>
  <c r="BU85" i="42" s="1"/>
  <c r="BP91" i="42"/>
  <c r="BZ88" i="42"/>
  <c r="BZ83" i="42"/>
  <c r="BZ85" i="42" s="1"/>
  <c r="BZ78" i="42"/>
  <c r="BZ80" i="42" s="1"/>
  <c r="BZ73" i="42"/>
  <c r="BZ75" i="42" s="1"/>
  <c r="BZ68" i="42"/>
  <c r="BZ70" i="42" s="1"/>
  <c r="BU91" i="42"/>
  <c r="BZ91" i="42"/>
  <c r="CE91" i="42"/>
  <c r="BP81" i="42" l="1"/>
  <c r="BU86" i="42"/>
  <c r="CE81" i="42"/>
  <c r="BZ90" i="42"/>
  <c r="CE71" i="42"/>
  <c r="CJ92" i="42"/>
  <c r="CE90" i="42"/>
  <c r="CE86" i="42"/>
  <c r="BU90" i="42"/>
  <c r="BP90" i="42"/>
  <c r="BP76" i="42"/>
  <c r="CE92" i="42"/>
  <c r="BZ71" i="42"/>
  <c r="BZ76" i="42"/>
  <c r="BU76" i="42"/>
  <c r="BP71" i="42"/>
  <c r="BU92" i="42"/>
  <c r="BZ92" i="42"/>
  <c r="BP86" i="42"/>
  <c r="BZ81" i="42"/>
  <c r="BU71" i="42"/>
  <c r="BU81" i="42"/>
  <c r="BZ86" i="42"/>
  <c r="CE76" i="42"/>
  <c r="BX139" i="42" l="1"/>
  <c r="BW139" i="42"/>
  <c r="CD140" i="42"/>
  <c r="CD139" i="42"/>
  <c r="CD138" i="42"/>
  <c r="CD137" i="42"/>
  <c r="BY140" i="42"/>
  <c r="BY138" i="42"/>
  <c r="BY137" i="42"/>
  <c r="BT139" i="42"/>
  <c r="BO140" i="42"/>
  <c r="BO139" i="42"/>
  <c r="BO138" i="42"/>
  <c r="BO137" i="42"/>
  <c r="BJ140" i="42"/>
  <c r="BE138" i="42"/>
  <c r="BY139" i="42" l="1"/>
  <c r="AK137" i="42"/>
  <c r="BY58" i="42" l="1"/>
  <c r="CD58" i="42" l="1"/>
  <c r="CD37" i="42"/>
  <c r="CD36" i="42"/>
  <c r="CD30" i="42"/>
  <c r="CD29" i="42"/>
  <c r="CE568" i="42"/>
  <c r="CD528" i="42"/>
  <c r="CD523" i="42"/>
  <c r="CD518" i="42"/>
  <c r="CD513" i="42"/>
  <c r="CD508" i="42"/>
  <c r="CD503" i="42"/>
  <c r="CD498" i="42"/>
  <c r="CE529" i="42"/>
  <c r="CE531" i="42" s="1"/>
  <c r="CE524" i="42"/>
  <c r="CE526" i="42" s="1"/>
  <c r="CE519" i="42"/>
  <c r="CE521" i="42" s="1"/>
  <c r="CE514" i="42"/>
  <c r="CE516" i="42" s="1"/>
  <c r="CE509" i="42"/>
  <c r="CE511" i="42" s="1"/>
  <c r="CE504" i="42"/>
  <c r="CE506" i="42" s="1"/>
  <c r="CE499" i="42"/>
  <c r="CE501" i="42" s="1"/>
  <c r="CD420" i="42"/>
  <c r="CD413" i="42"/>
  <c r="CE421" i="42"/>
  <c r="CE423" i="42" s="1"/>
  <c r="CE414" i="42"/>
  <c r="CE416" i="42" s="1"/>
  <c r="CD405" i="42"/>
  <c r="CD404" i="42"/>
  <c r="BY405" i="42"/>
  <c r="BY404" i="42"/>
  <c r="CD398" i="42"/>
  <c r="CD397" i="42"/>
  <c r="BY398" i="42"/>
  <c r="BY397" i="42"/>
  <c r="CD351" i="42"/>
  <c r="CD344" i="42"/>
  <c r="CE352" i="42"/>
  <c r="CE354" i="42" s="1"/>
  <c r="CE345" i="42"/>
  <c r="CE347" i="42" s="1"/>
  <c r="CD336" i="42"/>
  <c r="CD335" i="42"/>
  <c r="CD329" i="42"/>
  <c r="CD328" i="42"/>
  <c r="CI530" i="42" l="1"/>
  <c r="CI529" i="42"/>
  <c r="CI525" i="42"/>
  <c r="CI524" i="42"/>
  <c r="CI505" i="42"/>
  <c r="CI504" i="42"/>
  <c r="CI500" i="42"/>
  <c r="CI499" i="42"/>
  <c r="CI510" i="42"/>
  <c r="CI509" i="42"/>
  <c r="CI348" i="42"/>
  <c r="CI346" i="42"/>
  <c r="CI345" i="42"/>
  <c r="CI415" i="42"/>
  <c r="CI417" i="42"/>
  <c r="CI414" i="42"/>
  <c r="CI515" i="42"/>
  <c r="CI514" i="42"/>
  <c r="CI353" i="42"/>
  <c r="CI352" i="42"/>
  <c r="CI422" i="42"/>
  <c r="CI421" i="42"/>
  <c r="CI520" i="42"/>
  <c r="CI519" i="42"/>
  <c r="CE283" i="42"/>
  <c r="CE285" i="42" s="1"/>
  <c r="CD282" i="42"/>
  <c r="CE276" i="42"/>
  <c r="CE278" i="42" s="1"/>
  <c r="CD275" i="42"/>
  <c r="CE270" i="42"/>
  <c r="CD267" i="42"/>
  <c r="CD266" i="42"/>
  <c r="CD260" i="42"/>
  <c r="CD259" i="42"/>
  <c r="CE212" i="42"/>
  <c r="CE214" i="42" s="1"/>
  <c r="CE207" i="42"/>
  <c r="CE209" i="42" s="1"/>
  <c r="CD211" i="42"/>
  <c r="CD206" i="42"/>
  <c r="CD197" i="42"/>
  <c r="CD198" i="42"/>
  <c r="CD191" i="42"/>
  <c r="CD190" i="42"/>
  <c r="BY36" i="42"/>
  <c r="CE88" i="42"/>
  <c r="CE83" i="42"/>
  <c r="CE85" i="42" s="1"/>
  <c r="CE78" i="42"/>
  <c r="CE80" i="42" s="1"/>
  <c r="CE73" i="42"/>
  <c r="CE75" i="42" s="1"/>
  <c r="CE68" i="42"/>
  <c r="CE70" i="42" s="1"/>
  <c r="CI416" i="42" l="1"/>
  <c r="CI516" i="42"/>
  <c r="CI423" i="42"/>
  <c r="CI521" i="42"/>
  <c r="CI506" i="42"/>
  <c r="CI511" i="42"/>
  <c r="CI354" i="42"/>
  <c r="CI501" i="42"/>
  <c r="CI531" i="42"/>
  <c r="CI526" i="42"/>
  <c r="CI213" i="42"/>
  <c r="CI212" i="42"/>
  <c r="CI279" i="42"/>
  <c r="CI277" i="42"/>
  <c r="CI276" i="42"/>
  <c r="CI208" i="42"/>
  <c r="CI207" i="42"/>
  <c r="CI284" i="42"/>
  <c r="CI283" i="42"/>
  <c r="CI347" i="42"/>
  <c r="CI285" i="42" l="1"/>
  <c r="CI214" i="42"/>
  <c r="CI278" i="42"/>
  <c r="CI209" i="42"/>
  <c r="BT58" i="42"/>
  <c r="CE100" i="1" l="1"/>
  <c r="BZ100" i="1"/>
  <c r="BU100" i="1"/>
  <c r="CD45" i="42" l="1"/>
  <c r="CI46" i="42" s="1"/>
  <c r="CD51" i="42"/>
  <c r="CI52" i="42" l="1"/>
  <c r="CI54" i="42" s="1"/>
  <c r="CD59" i="42"/>
  <c r="CI48" i="42"/>
  <c r="CE45" i="42"/>
  <c r="CE51" i="42"/>
  <c r="CJ52" i="42" s="1"/>
  <c r="CJ54" i="42" s="1"/>
  <c r="CE358" i="1"/>
  <c r="CD357" i="1"/>
  <c r="CE355" i="1"/>
  <c r="CD350" i="1"/>
  <c r="CD349" i="1"/>
  <c r="CD348" i="1"/>
  <c r="CE348" i="1" s="1"/>
  <c r="CE88" i="1" s="1"/>
  <c r="CE340" i="1"/>
  <c r="CE102" i="1" s="1"/>
  <c r="CD343" i="1"/>
  <c r="CD342" i="1"/>
  <c r="CD341" i="1"/>
  <c r="CD102" i="1"/>
  <c r="CD71" i="1"/>
  <c r="CD69" i="1"/>
  <c r="CI70" i="1" s="1"/>
  <c r="CD68" i="1"/>
  <c r="CD65" i="1"/>
  <c r="CI66" i="1" s="1"/>
  <c r="CD64" i="1"/>
  <c r="CD60" i="1"/>
  <c r="CD58" i="1"/>
  <c r="CE83" i="1"/>
  <c r="CE81" i="1"/>
  <c r="CE295" i="1" s="1"/>
  <c r="CE75" i="1"/>
  <c r="CE67" i="1"/>
  <c r="CE63" i="1"/>
  <c r="CE59" i="1"/>
  <c r="CD564" i="42"/>
  <c r="CD555" i="42"/>
  <c r="CD554" i="42"/>
  <c r="CD484" i="42"/>
  <c r="CD476" i="42"/>
  <c r="CD459" i="42"/>
  <c r="CD450" i="42"/>
  <c r="CD449" i="42"/>
  <c r="CD409" i="42"/>
  <c r="CD411" i="42" s="1"/>
  <c r="CD402" i="42"/>
  <c r="CD406" i="42" s="1"/>
  <c r="CD395" i="42"/>
  <c r="CD399" i="42" s="1"/>
  <c r="CD390" i="42"/>
  <c r="CD381" i="42"/>
  <c r="CD380" i="42"/>
  <c r="CD340" i="42"/>
  <c r="CD342" i="42" s="1"/>
  <c r="CD333" i="42"/>
  <c r="CD337" i="42" s="1"/>
  <c r="CD326" i="42"/>
  <c r="CD330" i="42" s="1"/>
  <c r="CD321" i="42"/>
  <c r="CD312" i="42"/>
  <c r="CD311" i="42"/>
  <c r="CD271" i="42"/>
  <c r="CD273" i="42" s="1"/>
  <c r="CD257" i="42"/>
  <c r="CD261" i="42" s="1"/>
  <c r="CD252" i="42"/>
  <c r="CE241" i="42"/>
  <c r="CD243" i="42"/>
  <c r="CD242" i="42"/>
  <c r="CD202" i="42"/>
  <c r="CD204" i="42" s="1"/>
  <c r="CD195" i="42"/>
  <c r="CD199" i="42" s="1"/>
  <c r="CD188" i="42"/>
  <c r="CD192" i="42" s="1"/>
  <c r="CD173" i="42"/>
  <c r="CD167" i="42"/>
  <c r="CD166" i="42"/>
  <c r="CD165" i="42"/>
  <c r="CD164" i="42"/>
  <c r="CD163" i="42"/>
  <c r="CE132" i="42"/>
  <c r="CD132" i="42"/>
  <c r="CD41" i="42"/>
  <c r="CD43" i="42" s="1"/>
  <c r="CE40" i="42"/>
  <c r="CD34" i="42"/>
  <c r="CD38" i="42" s="1"/>
  <c r="CD27" i="42"/>
  <c r="CD31" i="42" s="1"/>
  <c r="CE563" i="42"/>
  <c r="CE553" i="42"/>
  <c r="CE483" i="42"/>
  <c r="CE475" i="42"/>
  <c r="CE458" i="42"/>
  <c r="CE448" i="42"/>
  <c r="CE408" i="42"/>
  <c r="CE401" i="42"/>
  <c r="CE394" i="42"/>
  <c r="CE389" i="42"/>
  <c r="CE379" i="42"/>
  <c r="CE339" i="42"/>
  <c r="CE325" i="42"/>
  <c r="CE320" i="42"/>
  <c r="CE310" i="42"/>
  <c r="CE263" i="42"/>
  <c r="CE256" i="42"/>
  <c r="CE251" i="42"/>
  <c r="BY206" i="42"/>
  <c r="CE33" i="42"/>
  <c r="CE26" i="42"/>
  <c r="CE288" i="1" l="1"/>
  <c r="CE289" i="1" s="1"/>
  <c r="CE296" i="1"/>
  <c r="CE258" i="1"/>
  <c r="CE544" i="42"/>
  <c r="CE548" i="42"/>
  <c r="CE540" i="42"/>
  <c r="CE535" i="42"/>
  <c r="CE430" i="42"/>
  <c r="CE435" i="42"/>
  <c r="CE439" i="42"/>
  <c r="CE443" i="42"/>
  <c r="CE366" i="42"/>
  <c r="CE361" i="42"/>
  <c r="CE370" i="42"/>
  <c r="CE374" i="42"/>
  <c r="CE301" i="42"/>
  <c r="CE292" i="42"/>
  <c r="CE297" i="42"/>
  <c r="CE305" i="42"/>
  <c r="CJ410" i="42"/>
  <c r="CJ409" i="42"/>
  <c r="CJ46" i="42"/>
  <c r="CE342" i="1"/>
  <c r="CD351" i="1"/>
  <c r="CE71" i="1"/>
  <c r="CD344" i="1"/>
  <c r="CD359" i="1"/>
  <c r="CE59" i="42"/>
  <c r="CE94" i="42"/>
  <c r="CJ95" i="42" s="1"/>
  <c r="CD208" i="42"/>
  <c r="CD207" i="42"/>
  <c r="CE381" i="42"/>
  <c r="CD486" i="42"/>
  <c r="CE312" i="42"/>
  <c r="CD474" i="42"/>
  <c r="CD73" i="1"/>
  <c r="CD133" i="42"/>
  <c r="CD76" i="1"/>
  <c r="CD392" i="42"/>
  <c r="CE450" i="42"/>
  <c r="CD323" i="42"/>
  <c r="CD254" i="42"/>
  <c r="CE555" i="42"/>
  <c r="CE473" i="42"/>
  <c r="CD168" i="42"/>
  <c r="CD61" i="1"/>
  <c r="CI62" i="1" s="1"/>
  <c r="CF57" i="53"/>
  <c r="CS357" i="1"/>
  <c r="CR357" i="1"/>
  <c r="CQ357" i="1"/>
  <c r="CQ358" i="1" s="1"/>
  <c r="CT75" i="1"/>
  <c r="CF32" i="53" s="1"/>
  <c r="CS564" i="42"/>
  <c r="CR564" i="42"/>
  <c r="CQ564" i="42"/>
  <c r="CT563" i="42"/>
  <c r="CY564" i="42" s="1"/>
  <c r="CR406" i="42"/>
  <c r="CS19" i="42"/>
  <c r="CR19" i="42"/>
  <c r="CT6" i="42"/>
  <c r="CS6" i="42"/>
  <c r="CR6" i="42"/>
  <c r="CQ6" i="42"/>
  <c r="CP6" i="42"/>
  <c r="CT5" i="42"/>
  <c r="CS5" i="42"/>
  <c r="CR5" i="42"/>
  <c r="CQ5" i="42"/>
  <c r="CP5" i="42"/>
  <c r="CD19" i="42"/>
  <c r="CD18" i="42"/>
  <c r="CD13" i="42"/>
  <c r="CD12" i="42"/>
  <c r="CD11" i="42"/>
  <c r="CD10" i="42"/>
  <c r="CD9" i="42"/>
  <c r="CS16" i="1" l="1"/>
  <c r="CC20" i="53"/>
  <c r="CR16" i="1"/>
  <c r="CE260" i="1"/>
  <c r="CE261" i="1" s="1"/>
  <c r="CE263" i="1"/>
  <c r="CE265" i="1" s="1"/>
  <c r="CE266" i="1" s="1"/>
  <c r="CT357" i="1"/>
  <c r="CJ411" i="42"/>
  <c r="CZ340" i="1"/>
  <c r="DE340" i="1" s="1"/>
  <c r="CJ48" i="42"/>
  <c r="CP102" i="1"/>
  <c r="CE97" i="42"/>
  <c r="CD209" i="42"/>
  <c r="CT19" i="42"/>
  <c r="CP16" i="1"/>
  <c r="CD98" i="1"/>
  <c r="CD82" i="1"/>
  <c r="CD78" i="1"/>
  <c r="CD582" i="42"/>
  <c r="CD174" i="42" s="1"/>
  <c r="CD14" i="42"/>
  <c r="DE342" i="1" l="1"/>
  <c r="DE341" i="1"/>
  <c r="DE102" i="1"/>
  <c r="DF343" i="1"/>
  <c r="CE20" i="53"/>
  <c r="CD20" i="53"/>
  <c r="CB20" i="53"/>
  <c r="CZ102" i="1"/>
  <c r="CZ342" i="1"/>
  <c r="DA343" i="1"/>
  <c r="DA344" i="1" s="1"/>
  <c r="CZ341" i="1"/>
  <c r="CU342" i="1"/>
  <c r="CU102" i="1"/>
  <c r="CU341" i="1"/>
  <c r="CV343" i="1"/>
  <c r="CV344" i="1" s="1"/>
  <c r="CT16" i="1"/>
  <c r="CF20" i="53" s="1"/>
  <c r="CD49" i="42"/>
  <c r="CD86" i="1"/>
  <c r="CD107" i="1" s="1"/>
  <c r="CD109" i="1" s="1"/>
  <c r="CD122" i="1" s="1"/>
  <c r="CD84" i="1"/>
  <c r="CD170" i="42"/>
  <c r="CD175" i="42"/>
  <c r="CD20" i="42"/>
  <c r="DF344" i="1" l="1"/>
  <c r="CD142" i="1"/>
  <c r="CD138" i="1"/>
  <c r="CD134" i="42"/>
  <c r="CD177" i="42"/>
  <c r="CC88" i="1" l="1"/>
  <c r="CC568" i="42"/>
  <c r="CC564" i="42" l="1"/>
  <c r="CC529" i="42"/>
  <c r="CC531" i="42" s="1"/>
  <c r="CC524" i="42"/>
  <c r="CC526" i="42" s="1"/>
  <c r="CC519" i="42"/>
  <c r="CC521" i="42" s="1"/>
  <c r="CC514" i="42"/>
  <c r="CC516" i="42" s="1"/>
  <c r="CC509" i="42"/>
  <c r="CC511" i="42" s="1"/>
  <c r="CC504" i="42"/>
  <c r="CC506" i="42" s="1"/>
  <c r="CC499" i="42"/>
  <c r="CC501" i="42" s="1"/>
  <c r="CC555" i="42"/>
  <c r="CH556" i="42" s="1"/>
  <c r="CC554" i="42"/>
  <c r="CC484" i="42"/>
  <c r="CC476" i="42"/>
  <c r="CC459" i="42"/>
  <c r="CC450" i="42"/>
  <c r="CH451" i="42" s="1"/>
  <c r="CC449" i="42"/>
  <c r="CC421" i="42"/>
  <c r="CC423" i="42" s="1"/>
  <c r="CC414" i="42"/>
  <c r="CC416" i="42" s="1"/>
  <c r="CC409" i="42"/>
  <c r="CC411" i="42" s="1"/>
  <c r="CC402" i="42"/>
  <c r="CC406" i="42" s="1"/>
  <c r="CC395" i="42"/>
  <c r="CC399" i="42" s="1"/>
  <c r="CC390" i="42"/>
  <c r="CC381" i="42"/>
  <c r="CH382" i="42" s="1"/>
  <c r="CC380" i="42"/>
  <c r="CC352" i="42"/>
  <c r="CC354" i="42" s="1"/>
  <c r="CC345" i="42"/>
  <c r="CC347" i="42" s="1"/>
  <c r="CC340" i="42"/>
  <c r="CC342" i="42" s="1"/>
  <c r="CC333" i="42"/>
  <c r="CC337" i="42" s="1"/>
  <c r="CC326" i="42"/>
  <c r="CC330" i="42" s="1"/>
  <c r="CC321" i="42"/>
  <c r="CC312" i="42"/>
  <c r="CH313" i="42" s="1"/>
  <c r="CC311" i="42"/>
  <c r="CC283" i="42"/>
  <c r="CC285" i="42" s="1"/>
  <c r="CC276" i="42"/>
  <c r="CC278" i="42" s="1"/>
  <c r="CC271" i="42"/>
  <c r="CC273" i="42" s="1"/>
  <c r="CC264" i="42"/>
  <c r="CC268" i="42" s="1"/>
  <c r="CC257" i="42"/>
  <c r="CC261" i="42" s="1"/>
  <c r="CC252" i="42"/>
  <c r="CC243" i="42"/>
  <c r="CH244" i="42" s="1"/>
  <c r="CC242" i="42"/>
  <c r="CC212" i="42"/>
  <c r="CC214" i="42" s="1"/>
  <c r="CC207" i="42"/>
  <c r="CC209" i="42" s="1"/>
  <c r="CC202" i="42"/>
  <c r="CC204" i="42" s="1"/>
  <c r="CC195" i="42"/>
  <c r="CC199" i="42" s="1"/>
  <c r="CC188" i="42"/>
  <c r="CC192" i="42" s="1"/>
  <c r="CC183" i="42"/>
  <c r="CC132" i="42"/>
  <c r="CC52" i="42"/>
  <c r="CC54" i="42" s="1"/>
  <c r="CC46" i="42"/>
  <c r="CC41" i="42"/>
  <c r="CC43" i="42" s="1"/>
  <c r="CC34" i="42"/>
  <c r="CC38" i="42" s="1"/>
  <c r="CC27" i="42"/>
  <c r="CC31" i="42" s="1"/>
  <c r="CC19" i="42"/>
  <c r="CC16" i="1" s="1"/>
  <c r="CC18" i="42"/>
  <c r="CC13" i="42"/>
  <c r="CC12" i="42"/>
  <c r="CC12" i="1" s="1"/>
  <c r="CC11" i="42"/>
  <c r="CC11" i="1" s="1"/>
  <c r="CC10" i="42"/>
  <c r="CC9" i="42"/>
  <c r="CC9" i="1" s="1"/>
  <c r="CC357" i="1"/>
  <c r="CC359" i="1" s="1"/>
  <c r="CC350" i="1"/>
  <c r="CC349" i="1"/>
  <c r="CC348" i="1"/>
  <c r="CC343" i="1"/>
  <c r="CC342" i="1"/>
  <c r="CC341" i="1"/>
  <c r="CC102" i="1"/>
  <c r="CC71" i="1"/>
  <c r="CC69" i="1"/>
  <c r="CH70" i="1" s="1"/>
  <c r="CC68" i="1"/>
  <c r="CC65" i="1"/>
  <c r="CH66" i="1" s="1"/>
  <c r="CC64" i="1"/>
  <c r="CC474" i="42" s="1"/>
  <c r="CC60" i="1"/>
  <c r="CH72" i="1" l="1"/>
  <c r="CC344" i="1"/>
  <c r="CC392" i="42"/>
  <c r="CC323" i="42"/>
  <c r="CC48" i="42"/>
  <c r="CC14" i="42"/>
  <c r="CH15" i="42" s="1"/>
  <c r="CH17" i="42" s="1"/>
  <c r="CC13" i="1"/>
  <c r="CC61" i="1"/>
  <c r="CH62" i="1" s="1"/>
  <c r="CC185" i="42"/>
  <c r="CC486" i="42"/>
  <c r="CC254" i="42"/>
  <c r="CC351" i="1"/>
  <c r="CC133" i="42"/>
  <c r="CC76" i="1"/>
  <c r="CC15" i="1"/>
  <c r="CC10" i="1"/>
  <c r="CC73" i="1"/>
  <c r="CH74" i="1" s="1"/>
  <c r="CH77" i="1" l="1"/>
  <c r="CC49" i="42"/>
  <c r="CC20" i="42"/>
  <c r="CC14" i="1"/>
  <c r="CC78" i="1"/>
  <c r="CH79" i="1" s="1"/>
  <c r="CC98" i="1"/>
  <c r="CC82" i="1"/>
  <c r="CC134" i="42" l="1"/>
  <c r="CH21" i="42"/>
  <c r="CH23" i="42" s="1"/>
  <c r="CC17" i="1"/>
  <c r="CC86" i="1"/>
  <c r="CC84" i="1"/>
  <c r="CC107" i="1" l="1"/>
  <c r="CC109" i="1" s="1"/>
  <c r="CC122" i="1" s="1"/>
  <c r="CB88" i="1"/>
  <c r="CC138" i="1" l="1"/>
  <c r="CC142" i="1"/>
  <c r="CB568" i="42"/>
  <c r="CB357" i="1"/>
  <c r="CB348" i="1"/>
  <c r="CB350" i="1"/>
  <c r="CB349" i="1"/>
  <c r="DB340" i="1"/>
  <c r="DG340" i="1" s="1"/>
  <c r="DA340" i="1"/>
  <c r="DF340" i="1" s="1"/>
  <c r="CB352" i="42"/>
  <c r="CB354" i="42" s="1"/>
  <c r="CB345" i="42"/>
  <c r="CB347" i="42" s="1"/>
  <c r="DG343" i="1" l="1"/>
  <c r="DG344" i="1" s="1"/>
  <c r="DF341" i="1"/>
  <c r="DF102" i="1"/>
  <c r="DF342" i="1"/>
  <c r="DG342" i="1"/>
  <c r="DG341" i="1"/>
  <c r="DH343" i="1"/>
  <c r="DG102" i="1"/>
  <c r="DC343" i="1"/>
  <c r="DC344" i="1" s="1"/>
  <c r="DB341" i="1"/>
  <c r="DB102" i="1"/>
  <c r="DB342" i="1"/>
  <c r="DA102" i="1"/>
  <c r="DB343" i="1"/>
  <c r="DB344" i="1" s="1"/>
  <c r="DA341" i="1"/>
  <c r="DA342" i="1"/>
  <c r="CW341" i="1"/>
  <c r="CW102" i="1"/>
  <c r="CW342" i="1"/>
  <c r="CX343" i="1"/>
  <c r="CX344" i="1" s="1"/>
  <c r="CV342" i="1"/>
  <c r="CV102" i="1"/>
  <c r="CW343" i="1"/>
  <c r="CW344" i="1" s="1"/>
  <c r="CV341" i="1"/>
  <c r="CR341" i="1"/>
  <c r="CR102" i="1"/>
  <c r="CS343" i="1"/>
  <c r="CS344" i="1" s="1"/>
  <c r="CR342" i="1"/>
  <c r="CQ102" i="1"/>
  <c r="CR343" i="1"/>
  <c r="CR344" i="1" s="1"/>
  <c r="CB351" i="1"/>
  <c r="DH344" i="1" l="1"/>
  <c r="CU343" i="1"/>
  <c r="CS342" i="1"/>
  <c r="CS102" i="1"/>
  <c r="CS341" i="1"/>
  <c r="CT340" i="1"/>
  <c r="CT343" i="1"/>
  <c r="CT344" i="1" s="1"/>
  <c r="CB71" i="1"/>
  <c r="CB69" i="1"/>
  <c r="CG70" i="1" s="1"/>
  <c r="CB68" i="1"/>
  <c r="CB65" i="1"/>
  <c r="CG66" i="1" s="1"/>
  <c r="CB64" i="1"/>
  <c r="CB60" i="1"/>
  <c r="CB555" i="42"/>
  <c r="CB554" i="42"/>
  <c r="CB529" i="42"/>
  <c r="CB531" i="42" s="1"/>
  <c r="CB524" i="42"/>
  <c r="CB526" i="42" s="1"/>
  <c r="CB519" i="42"/>
  <c r="CB521" i="42" s="1"/>
  <c r="CB514" i="42"/>
  <c r="CB516" i="42" s="1"/>
  <c r="CB509" i="42"/>
  <c r="CB511" i="42" s="1"/>
  <c r="CB504" i="42"/>
  <c r="CB506" i="42" s="1"/>
  <c r="CB499" i="42"/>
  <c r="CB501" i="42" s="1"/>
  <c r="CB459" i="42"/>
  <c r="CB450" i="42"/>
  <c r="CB449" i="42"/>
  <c r="CB421" i="42"/>
  <c r="CB423" i="42" s="1"/>
  <c r="CB414" i="42"/>
  <c r="CB416" i="42" s="1"/>
  <c r="CB381" i="42"/>
  <c r="CB380" i="42"/>
  <c r="CB312" i="42"/>
  <c r="CB311" i="42"/>
  <c r="CB283" i="42"/>
  <c r="CB285" i="42" s="1"/>
  <c r="CB276" i="42"/>
  <c r="CB278" i="42" s="1"/>
  <c r="CB243" i="42"/>
  <c r="CB242" i="42"/>
  <c r="CB212" i="42"/>
  <c r="CB214" i="42" s="1"/>
  <c r="CB207" i="42"/>
  <c r="CB209" i="42" s="1"/>
  <c r="CB46" i="42"/>
  <c r="DC340" i="1" l="1"/>
  <c r="CZ343" i="1"/>
  <c r="CU344" i="1"/>
  <c r="CY343" i="1"/>
  <c r="CY344" i="1" s="1"/>
  <c r="CX342" i="1"/>
  <c r="CX341" i="1"/>
  <c r="CX102" i="1"/>
  <c r="CY340" i="1"/>
  <c r="CB48" i="42"/>
  <c r="CT342" i="1"/>
  <c r="CT102" i="1"/>
  <c r="CB76" i="1"/>
  <c r="CB73" i="1"/>
  <c r="CB61" i="1"/>
  <c r="CG62" i="1" s="1"/>
  <c r="DH340" i="1" l="1"/>
  <c r="DE343" i="1"/>
  <c r="CZ344" i="1"/>
  <c r="DD343" i="1"/>
  <c r="DD344" i="1" s="1"/>
  <c r="DC342" i="1"/>
  <c r="DD340" i="1"/>
  <c r="DC102" i="1"/>
  <c r="DC341" i="1"/>
  <c r="CY102" i="1"/>
  <c r="CY342" i="1"/>
  <c r="CY341" i="1"/>
  <c r="CB78" i="1"/>
  <c r="DE344" i="1" l="1"/>
  <c r="DI343" i="1"/>
  <c r="DI344" i="1" s="1"/>
  <c r="DH341" i="1"/>
  <c r="DH102" i="1"/>
  <c r="DH342" i="1"/>
  <c r="DI340" i="1"/>
  <c r="DD102" i="1"/>
  <c r="DD341" i="1"/>
  <c r="DD342" i="1"/>
  <c r="DI342" i="1" l="1"/>
  <c r="DI102" i="1"/>
  <c r="DI341" i="1"/>
  <c r="BV88" i="1"/>
  <c r="BW88" i="1"/>
  <c r="BX88" i="1"/>
  <c r="BY88" i="1"/>
  <c r="CE357" i="1"/>
  <c r="CA52" i="42"/>
  <c r="CA54" i="42" s="1"/>
  <c r="CA41" i="42"/>
  <c r="CA509" i="42"/>
  <c r="CA511" i="42" s="1"/>
  <c r="BX509" i="42"/>
  <c r="BW509" i="42"/>
  <c r="BV509" i="42"/>
  <c r="CA529" i="42"/>
  <c r="CA531" i="42" s="1"/>
  <c r="CA524" i="42"/>
  <c r="CA526" i="42" s="1"/>
  <c r="CA519" i="42"/>
  <c r="CA521" i="42" s="1"/>
  <c r="CA514" i="42"/>
  <c r="CA516" i="42" s="1"/>
  <c r="CA504" i="42"/>
  <c r="CA506" i="42" s="1"/>
  <c r="CA499" i="42"/>
  <c r="CA501" i="42" s="1"/>
  <c r="CA414" i="42"/>
  <c r="CA421" i="42"/>
  <c r="CA423" i="42" s="1"/>
  <c r="BY336" i="42"/>
  <c r="BY335" i="42"/>
  <c r="BY329" i="42"/>
  <c r="BY328" i="42"/>
  <c r="CA345" i="42"/>
  <c r="CA352" i="42"/>
  <c r="CA354" i="42" s="1"/>
  <c r="CA276" i="42"/>
  <c r="CA278" i="42" s="1"/>
  <c r="CA283" i="42"/>
  <c r="CA285" i="42" s="1"/>
  <c r="CA212" i="42"/>
  <c r="CA214" i="42" s="1"/>
  <c r="CA207" i="42"/>
  <c r="CA209" i="42" s="1"/>
  <c r="CA88" i="1"/>
  <c r="CA347" i="42" l="1"/>
  <c r="CA416" i="42"/>
  <c r="BZ57" i="53"/>
  <c r="BY57" i="53"/>
  <c r="BX57" i="53"/>
  <c r="BW57" i="53"/>
  <c r="BX56" i="53"/>
  <c r="BX48" i="53"/>
  <c r="BZ32" i="53"/>
  <c r="BY32" i="53"/>
  <c r="BX32" i="53"/>
  <c r="BW32" i="53"/>
  <c r="BZ26" i="53"/>
  <c r="BY26" i="53"/>
  <c r="BX26" i="53"/>
  <c r="BW26" i="53"/>
  <c r="BZ19" i="53"/>
  <c r="BY19" i="53"/>
  <c r="BX19" i="53"/>
  <c r="BW19" i="53"/>
  <c r="CA6" i="53"/>
  <c r="BZ6" i="53"/>
  <c r="BY6" i="53"/>
  <c r="BX6" i="53"/>
  <c r="BW6" i="53"/>
  <c r="CA5" i="53"/>
  <c r="BZ5" i="53"/>
  <c r="BY5" i="53"/>
  <c r="BX5" i="53"/>
  <c r="BW5" i="53"/>
  <c r="BY30" i="42" l="1"/>
  <c r="BY29" i="42"/>
  <c r="BY37" i="42"/>
  <c r="CA46" i="42"/>
  <c r="CA183" i="42"/>
  <c r="CA185" i="42" l="1"/>
  <c r="CA48" i="42"/>
  <c r="CA459" i="42"/>
  <c r="CA450" i="42"/>
  <c r="CA449" i="42"/>
  <c r="CA381" i="42"/>
  <c r="CA380" i="42"/>
  <c r="CA312" i="42"/>
  <c r="CA311" i="42"/>
  <c r="CA243" i="42"/>
  <c r="CA242" i="42"/>
  <c r="CA34" i="42"/>
  <c r="CA27" i="42"/>
  <c r="CA19" i="42"/>
  <c r="CA18" i="42"/>
  <c r="CA350" i="1"/>
  <c r="CE350" i="1" s="1"/>
  <c r="CA343" i="1"/>
  <c r="CA342" i="1"/>
  <c r="CA341" i="1"/>
  <c r="CA69" i="1"/>
  <c r="CF70" i="1" s="1"/>
  <c r="CA68" i="1"/>
  <c r="CA65" i="1"/>
  <c r="CF66" i="1" s="1"/>
  <c r="CA64" i="1"/>
  <c r="CA60" i="1"/>
  <c r="CA61" i="1" s="1"/>
  <c r="CF62" i="1" s="1"/>
  <c r="CA58" i="1"/>
  <c r="CA555" i="42"/>
  <c r="CA554" i="42"/>
  <c r="BY350" i="1"/>
  <c r="BX350" i="1"/>
  <c r="BW350" i="1"/>
  <c r="BV350" i="1"/>
  <c r="BY349" i="1"/>
  <c r="BX349" i="1"/>
  <c r="BW349" i="1"/>
  <c r="BV349" i="1"/>
  <c r="BY348" i="1"/>
  <c r="BZ348" i="1" s="1"/>
  <c r="BX348" i="1"/>
  <c r="BW348" i="1"/>
  <c r="BV348" i="1"/>
  <c r="BZ529" i="42"/>
  <c r="BZ531" i="42" s="1"/>
  <c r="BZ524" i="42"/>
  <c r="BZ526" i="42" s="1"/>
  <c r="BZ519" i="42"/>
  <c r="BZ521" i="42" s="1"/>
  <c r="BZ514" i="42"/>
  <c r="BZ516" i="42" s="1"/>
  <c r="BZ509" i="42"/>
  <c r="BZ511" i="42" s="1"/>
  <c r="BZ504" i="42"/>
  <c r="BZ506" i="42" s="1"/>
  <c r="BZ499" i="42"/>
  <c r="BZ501" i="42" s="1"/>
  <c r="BY528" i="42"/>
  <c r="BY523" i="42"/>
  <c r="BY518" i="42"/>
  <c r="BY513" i="42"/>
  <c r="BY508" i="42"/>
  <c r="BY503" i="42"/>
  <c r="BY498" i="42"/>
  <c r="BY420" i="42"/>
  <c r="BY413" i="42"/>
  <c r="BZ421" i="42"/>
  <c r="BZ423" i="42" s="1"/>
  <c r="BZ414" i="42"/>
  <c r="BZ416" i="42" s="1"/>
  <c r="BY351" i="42"/>
  <c r="BZ345" i="42"/>
  <c r="BZ347" i="42" s="1"/>
  <c r="BY344" i="42"/>
  <c r="BZ352" i="42"/>
  <c r="BZ354" i="42" s="1"/>
  <c r="CA344" i="1" l="1"/>
  <c r="CE90" i="1"/>
  <c r="CE236" i="1" s="1"/>
  <c r="BZ349" i="1"/>
  <c r="BX351" i="1"/>
  <c r="CD500" i="42"/>
  <c r="CD499" i="42"/>
  <c r="CD530" i="42"/>
  <c r="CD529" i="42"/>
  <c r="CD505" i="42"/>
  <c r="CD504" i="42"/>
  <c r="CD417" i="42"/>
  <c r="CD415" i="42"/>
  <c r="CD414" i="42"/>
  <c r="CI418" i="42" s="1"/>
  <c r="CD520" i="42"/>
  <c r="CD519" i="42"/>
  <c r="CD353" i="42"/>
  <c r="CD352" i="42"/>
  <c r="CD510" i="42"/>
  <c r="CD509" i="42"/>
  <c r="CD515" i="42"/>
  <c r="CD514" i="42"/>
  <c r="CD348" i="42"/>
  <c r="CD346" i="42"/>
  <c r="CD345" i="42"/>
  <c r="CI349" i="42" s="1"/>
  <c r="CD422" i="42"/>
  <c r="CD421" i="42"/>
  <c r="CD525" i="42"/>
  <c r="CD524" i="42"/>
  <c r="BZ350" i="1"/>
  <c r="BW351" i="1"/>
  <c r="BY351" i="1"/>
  <c r="BV351" i="1"/>
  <c r="CD354" i="42" l="1"/>
  <c r="CD347" i="42"/>
  <c r="BZ351" i="1"/>
  <c r="CE93" i="1"/>
  <c r="CE108" i="1" s="1"/>
  <c r="CD506" i="42"/>
  <c r="CD516" i="42"/>
  <c r="CD501" i="42"/>
  <c r="CD511" i="42"/>
  <c r="CD416" i="42"/>
  <c r="CD423" i="42"/>
  <c r="CD531" i="42"/>
  <c r="CD521" i="42"/>
  <c r="CD526" i="42"/>
  <c r="BY267" i="42"/>
  <c r="BY266" i="42"/>
  <c r="BY260" i="42"/>
  <c r="BY259" i="42"/>
  <c r="BY282" i="42"/>
  <c r="BY275" i="42"/>
  <c r="BZ283" i="42"/>
  <c r="BZ285" i="42" s="1"/>
  <c r="BZ276" i="42"/>
  <c r="BZ278" i="42" s="1"/>
  <c r="BY191" i="42"/>
  <c r="BY190" i="42"/>
  <c r="BY198" i="42"/>
  <c r="BY197" i="42"/>
  <c r="BY211" i="42"/>
  <c r="BZ212" i="42"/>
  <c r="BZ214" i="42" s="1"/>
  <c r="BZ207" i="42"/>
  <c r="BZ209" i="42" s="1"/>
  <c r="CD277" i="42" l="1"/>
  <c r="CD279" i="42"/>
  <c r="CD276" i="42"/>
  <c r="CD284" i="42"/>
  <c r="CD283" i="42"/>
  <c r="CD213" i="42"/>
  <c r="CD212" i="42"/>
  <c r="BY45" i="42"/>
  <c r="BY51" i="42"/>
  <c r="BY59" i="42" l="1"/>
  <c r="CD278" i="42"/>
  <c r="CD285" i="42"/>
  <c r="CD52" i="42"/>
  <c r="CD54" i="42" s="1"/>
  <c r="CD214" i="42"/>
  <c r="BZ45" i="42"/>
  <c r="CD46" i="42"/>
  <c r="BT350" i="1"/>
  <c r="BT349" i="1"/>
  <c r="BO350" i="1"/>
  <c r="BO349" i="1"/>
  <c r="BU355" i="1"/>
  <c r="BS350" i="1"/>
  <c r="BR350" i="1"/>
  <c r="BQ350" i="1"/>
  <c r="BS349" i="1"/>
  <c r="BR349" i="1"/>
  <c r="BQ349" i="1"/>
  <c r="BS351" i="1" l="1"/>
  <c r="BU349" i="1"/>
  <c r="CD48" i="42"/>
  <c r="CE46" i="42"/>
  <c r="BO351" i="1"/>
  <c r="BQ351" i="1"/>
  <c r="BR351" i="1"/>
  <c r="BT351" i="1"/>
  <c r="BU350" i="1"/>
  <c r="BY69" i="1"/>
  <c r="CD70" i="1" s="1"/>
  <c r="BY68" i="1"/>
  <c r="BY65" i="1"/>
  <c r="CD66" i="1" s="1"/>
  <c r="BY64" i="1"/>
  <c r="BY60" i="1"/>
  <c r="BY555" i="42"/>
  <c r="CD556" i="42" s="1"/>
  <c r="BY554" i="42"/>
  <c r="BY459" i="42"/>
  <c r="BY381" i="42"/>
  <c r="CD382" i="42" s="1"/>
  <c r="BY380" i="42"/>
  <c r="BY312" i="42"/>
  <c r="CD313" i="42" s="1"/>
  <c r="BY311" i="42"/>
  <c r="BY243" i="42"/>
  <c r="CD244" i="42" s="1"/>
  <c r="BZ51" i="42"/>
  <c r="BU351" i="1" l="1"/>
  <c r="BZ59" i="42"/>
  <c r="BZ94" i="42"/>
  <c r="CE48" i="42"/>
  <c r="CE52" i="42"/>
  <c r="CE54" i="42" s="1"/>
  <c r="BY61" i="1"/>
  <c r="CD62" i="1" s="1"/>
  <c r="CE95" i="42" l="1"/>
  <c r="BZ97" i="42"/>
  <c r="CN564" i="42" l="1"/>
  <c r="CM564" i="42"/>
  <c r="CL564" i="42"/>
  <c r="CK564" i="42"/>
  <c r="CT564" i="42"/>
  <c r="CN19" i="42"/>
  <c r="CM19" i="42"/>
  <c r="BX20" i="53"/>
  <c r="CO6" i="42"/>
  <c r="CN6" i="42"/>
  <c r="CM6" i="42"/>
  <c r="CL6" i="42"/>
  <c r="CK6" i="42"/>
  <c r="CO5" i="42"/>
  <c r="CN5" i="42"/>
  <c r="CM5" i="42"/>
  <c r="CL5" i="42"/>
  <c r="CK5" i="42"/>
  <c r="CN357" i="1"/>
  <c r="CN359" i="1" s="1"/>
  <c r="CM357" i="1"/>
  <c r="CM359" i="1" s="1"/>
  <c r="CL357" i="1"/>
  <c r="CL359" i="1" s="1"/>
  <c r="CK357" i="1"/>
  <c r="CK359" i="1" s="1"/>
  <c r="CN343" i="1"/>
  <c r="CN344" i="1" s="1"/>
  <c r="CM343" i="1"/>
  <c r="CM344" i="1" s="1"/>
  <c r="CN342" i="1"/>
  <c r="CM342" i="1"/>
  <c r="CN341" i="1"/>
  <c r="CM341" i="1"/>
  <c r="CO340" i="1"/>
  <c r="CT341" i="1" s="1"/>
  <c r="CN102" i="1"/>
  <c r="CM102" i="1"/>
  <c r="CL102" i="1"/>
  <c r="CO75" i="1"/>
  <c r="CN16" i="1" l="1"/>
  <c r="CM16" i="1"/>
  <c r="CA57" i="53"/>
  <c r="CA32" i="53"/>
  <c r="CO343" i="1"/>
  <c r="CO344" i="1" s="1"/>
  <c r="CO357" i="1"/>
  <c r="CO19" i="42"/>
  <c r="CK16" i="1"/>
  <c r="CO342" i="1"/>
  <c r="CO102" i="1"/>
  <c r="BZ20" i="53" l="1"/>
  <c r="BY20" i="53"/>
  <c r="BW20" i="53"/>
  <c r="CO16" i="1"/>
  <c r="CA20" i="53" l="1"/>
  <c r="BW56" i="53" l="1"/>
  <c r="CG56" i="53" l="1"/>
  <c r="BY56" i="53"/>
  <c r="CB56" i="53"/>
  <c r="CI56" i="53" l="1"/>
  <c r="CE56" i="53"/>
  <c r="CD56" i="53"/>
  <c r="BZ56" i="53"/>
  <c r="CO56" i="53" l="1"/>
  <c r="CJ56" i="53"/>
  <c r="CF56" i="53"/>
  <c r="CA56" i="53"/>
  <c r="CP56" i="53" l="1"/>
  <c r="CK56" i="53"/>
  <c r="BX45" i="53" l="1"/>
  <c r="CC45" i="53" l="1"/>
  <c r="CB45" i="53" l="1"/>
  <c r="CD45" i="53" l="1"/>
  <c r="CE45" i="53"/>
  <c r="CV81" i="1" l="1"/>
  <c r="CT81" i="1"/>
  <c r="CT295" i="1" s="1"/>
  <c r="BX46" i="42"/>
  <c r="BX52" i="42"/>
  <c r="BX54" i="42" s="1"/>
  <c r="CT296" i="1" l="1"/>
  <c r="CH45" i="53"/>
  <c r="CF45" i="53"/>
  <c r="BX529" i="42"/>
  <c r="BX531" i="42" s="1"/>
  <c r="BX524" i="42"/>
  <c r="BX526" i="42" s="1"/>
  <c r="BX519" i="42"/>
  <c r="BX521" i="42" s="1"/>
  <c r="BX514" i="42"/>
  <c r="BX516" i="42" s="1"/>
  <c r="BX511" i="42"/>
  <c r="BX504" i="42"/>
  <c r="BX506" i="42" s="1"/>
  <c r="BX499" i="42"/>
  <c r="BX501" i="42" s="1"/>
  <c r="BX421" i="42"/>
  <c r="BX423" i="42" s="1"/>
  <c r="BX414" i="42"/>
  <c r="BX416" i="42" s="1"/>
  <c r="BX352" i="42"/>
  <c r="BX354" i="42" s="1"/>
  <c r="BX345" i="42"/>
  <c r="BX347" i="42" s="1"/>
  <c r="BX283" i="42"/>
  <c r="BX276" i="42"/>
  <c r="BX278" i="42" s="1"/>
  <c r="CG45" i="53" l="1"/>
  <c r="CX81" i="1"/>
  <c r="CW81" i="1"/>
  <c r="BX48" i="42"/>
  <c r="BW414" i="42"/>
  <c r="BW416" i="42" s="1"/>
  <c r="BW352" i="42"/>
  <c r="BW345" i="42"/>
  <c r="BX285" i="42"/>
  <c r="BW283" i="42"/>
  <c r="BW276" i="42"/>
  <c r="BW212" i="42"/>
  <c r="BX212" i="42"/>
  <c r="BX214" i="42" s="1"/>
  <c r="BX207" i="42"/>
  <c r="BX209" i="42" s="1"/>
  <c r="BW46" i="42"/>
  <c r="DA81" i="1" l="1"/>
  <c r="CI45" i="53"/>
  <c r="CJ45" i="53"/>
  <c r="CY81" i="1"/>
  <c r="CY295" i="1" s="1"/>
  <c r="BX555" i="42"/>
  <c r="CC556" i="42" s="1"/>
  <c r="BX554" i="42"/>
  <c r="BX459" i="42"/>
  <c r="BX450" i="42"/>
  <c r="CC451" i="42" s="1"/>
  <c r="BX449" i="42"/>
  <c r="BX381" i="42"/>
  <c r="CC382" i="42" s="1"/>
  <c r="BX380" i="42"/>
  <c r="BX312" i="42"/>
  <c r="CC313" i="42" s="1"/>
  <c r="BX311" i="42"/>
  <c r="BX243" i="42"/>
  <c r="CC244" i="42" s="1"/>
  <c r="BX242" i="42"/>
  <c r="BX69" i="1"/>
  <c r="CC70" i="1" s="1"/>
  <c r="BX68" i="1"/>
  <c r="BX65" i="1"/>
  <c r="CC66" i="1" s="1"/>
  <c r="BX64" i="1"/>
  <c r="BX60" i="1"/>
  <c r="BX58" i="1"/>
  <c r="BW567" i="42"/>
  <c r="BW555" i="42"/>
  <c r="CB556" i="42" s="1"/>
  <c r="BW554" i="42"/>
  <c r="BW529" i="42"/>
  <c r="BW531" i="42" s="1"/>
  <c r="BW524" i="42"/>
  <c r="BW526" i="42" s="1"/>
  <c r="BW519" i="42"/>
  <c r="BW521" i="42" s="1"/>
  <c r="BW514" i="42"/>
  <c r="BW516" i="42" s="1"/>
  <c r="BW511" i="42"/>
  <c r="BW504" i="42"/>
  <c r="BW506" i="42" s="1"/>
  <c r="BW499" i="42"/>
  <c r="BW501" i="42" s="1"/>
  <c r="BW421" i="42"/>
  <c r="BW423" i="42" s="1"/>
  <c r="BW207" i="42"/>
  <c r="BW209" i="42" s="1"/>
  <c r="CY296" i="1" l="1"/>
  <c r="CM45" i="53"/>
  <c r="CZ81" i="1"/>
  <c r="CK45" i="53"/>
  <c r="BW354" i="42"/>
  <c r="BW347" i="42"/>
  <c r="BW278" i="42"/>
  <c r="BW285" i="42"/>
  <c r="BW214" i="42"/>
  <c r="BW52" i="42"/>
  <c r="BW54" i="42" s="1"/>
  <c r="BV52" i="42"/>
  <c r="BV54" i="42" s="1"/>
  <c r="BW48" i="42"/>
  <c r="BV46" i="42"/>
  <c r="BW202" i="42"/>
  <c r="BW204" i="42" s="1"/>
  <c r="CL45" i="53" l="1"/>
  <c r="BV48" i="42"/>
  <c r="BW473" i="42"/>
  <c r="BW459" i="42"/>
  <c r="DB81" i="1" l="1"/>
  <c r="DC81" i="1"/>
  <c r="CN45" i="53" l="1"/>
  <c r="DD81" i="1"/>
  <c r="DD295" i="1" s="1"/>
  <c r="CO45" i="53"/>
  <c r="BW69" i="1"/>
  <c r="CB70" i="1" s="1"/>
  <c r="BW68" i="1"/>
  <c r="BW65" i="1"/>
  <c r="CB66" i="1" s="1"/>
  <c r="BW64" i="1"/>
  <c r="BW60" i="1"/>
  <c r="DD296" i="1" l="1"/>
  <c r="CP45" i="53"/>
  <c r="BV57" i="53"/>
  <c r="BU57" i="53"/>
  <c r="BT57" i="53"/>
  <c r="BS57" i="53"/>
  <c r="BR57" i="53"/>
  <c r="BV56" i="53"/>
  <c r="BU56" i="53"/>
  <c r="BT56" i="53"/>
  <c r="BS56" i="53"/>
  <c r="BR56" i="53"/>
  <c r="BT48" i="53"/>
  <c r="BU32" i="53"/>
  <c r="BT32" i="53"/>
  <c r="BS32" i="53"/>
  <c r="BR32" i="53"/>
  <c r="BT26" i="53"/>
  <c r="BR26" i="53"/>
  <c r="BU19" i="53"/>
  <c r="BT19" i="53"/>
  <c r="BS19" i="53"/>
  <c r="BR19" i="53"/>
  <c r="BV6" i="53"/>
  <c r="BU6" i="53"/>
  <c r="BT6" i="53"/>
  <c r="BS6" i="53"/>
  <c r="BR6" i="53"/>
  <c r="BV5" i="53"/>
  <c r="BU5" i="53"/>
  <c r="BT5" i="53"/>
  <c r="BS5" i="53"/>
  <c r="BR5" i="53"/>
  <c r="BV283" i="42" l="1"/>
  <c r="BV285" i="42" s="1"/>
  <c r="BV276" i="42"/>
  <c r="BV278" i="42" s="1"/>
  <c r="BV212" i="42"/>
  <c r="BV214" i="42" s="1"/>
  <c r="BV207" i="42"/>
  <c r="BV209" i="42" s="1"/>
  <c r="BV69" i="1"/>
  <c r="CA70" i="1" s="1"/>
  <c r="BV68" i="1"/>
  <c r="BV71" i="1"/>
  <c r="BV73" i="1" s="1"/>
  <c r="BV60" i="1"/>
  <c r="BV65" i="1"/>
  <c r="CA66" i="1" s="1"/>
  <c r="BV64" i="1"/>
  <c r="BV555" i="42"/>
  <c r="CA556" i="42" s="1"/>
  <c r="BV554" i="42"/>
  <c r="BV529" i="42"/>
  <c r="BV531" i="42" s="1"/>
  <c r="BV524" i="42"/>
  <c r="BV526" i="42" s="1"/>
  <c r="BV519" i="42"/>
  <c r="BV521" i="42" s="1"/>
  <c r="BV514" i="42"/>
  <c r="BV516" i="42" s="1"/>
  <c r="BV511" i="42"/>
  <c r="BV504" i="42"/>
  <c r="BV506" i="42" s="1"/>
  <c r="BV499" i="42"/>
  <c r="BV501" i="42" s="1"/>
  <c r="BV484" i="42"/>
  <c r="BV486" i="42" s="1"/>
  <c r="BV473" i="42"/>
  <c r="BV459" i="42"/>
  <c r="BV450" i="42"/>
  <c r="CA451" i="42" s="1"/>
  <c r="BV449" i="42"/>
  <c r="BV421" i="42"/>
  <c r="BV423" i="42" s="1"/>
  <c r="BV414" i="42"/>
  <c r="BV409" i="42"/>
  <c r="BV411" i="42" s="1"/>
  <c r="BV390" i="42"/>
  <c r="BV392" i="42" s="1"/>
  <c r="BV381" i="42"/>
  <c r="CA382" i="42" s="1"/>
  <c r="BV380" i="42"/>
  <c r="BV352" i="42"/>
  <c r="BV354" i="42" s="1"/>
  <c r="BV345" i="42"/>
  <c r="BV312" i="42"/>
  <c r="CA313" i="42" s="1"/>
  <c r="BV311" i="42"/>
  <c r="BV252" i="42"/>
  <c r="BV254" i="42" s="1"/>
  <c r="BV243" i="42"/>
  <c r="CA244" i="42" s="1"/>
  <c r="BV242" i="42"/>
  <c r="BV347" i="42" l="1"/>
  <c r="BV416" i="42"/>
  <c r="BU553" i="42" l="1"/>
  <c r="BU379" i="42"/>
  <c r="BU310" i="42"/>
  <c r="BU563" i="42"/>
  <c r="CJ357" i="1" l="1"/>
  <c r="CI357" i="1"/>
  <c r="CI359" i="1" s="1"/>
  <c r="CH357" i="1"/>
  <c r="CH359" i="1" s="1"/>
  <c r="CF357" i="1"/>
  <c r="CF359" i="1" s="1"/>
  <c r="CI343" i="1"/>
  <c r="CI344" i="1" s="1"/>
  <c r="CH343" i="1"/>
  <c r="CH344" i="1" s="1"/>
  <c r="CG343" i="1"/>
  <c r="CG344" i="1" s="1"/>
  <c r="CF343" i="1"/>
  <c r="CI342" i="1"/>
  <c r="CH342" i="1"/>
  <c r="CG342" i="1"/>
  <c r="CF342" i="1"/>
  <c r="CI341" i="1"/>
  <c r="CH341" i="1"/>
  <c r="CG341" i="1"/>
  <c r="CF341" i="1"/>
  <c r="CJ340" i="1"/>
  <c r="CI102" i="1"/>
  <c r="CH102" i="1"/>
  <c r="CG102" i="1"/>
  <c r="CF102" i="1"/>
  <c r="CJ75" i="1"/>
  <c r="CI564" i="42"/>
  <c r="CG564" i="42"/>
  <c r="CF564" i="42"/>
  <c r="CJ563" i="42"/>
  <c r="CI19" i="42"/>
  <c r="CG19" i="42"/>
  <c r="CF19" i="42"/>
  <c r="CJ6" i="42"/>
  <c r="CI6" i="42"/>
  <c r="CH6" i="42"/>
  <c r="CG6" i="42"/>
  <c r="CF6" i="42"/>
  <c r="CJ5" i="42"/>
  <c r="CI5" i="42"/>
  <c r="CH5" i="42"/>
  <c r="CG5" i="42"/>
  <c r="CF5" i="42"/>
  <c r="CO564" i="42" l="1"/>
  <c r="CH16" i="1"/>
  <c r="CI16" i="1"/>
  <c r="CG16" i="1"/>
  <c r="CF16" i="1"/>
  <c r="CJ102" i="1"/>
  <c r="CO341" i="1"/>
  <c r="CJ19" i="42"/>
  <c r="BV32" i="53"/>
  <c r="CJ342" i="1"/>
  <c r="CJ343" i="1"/>
  <c r="CJ344" i="1" s="1"/>
  <c r="CF344" i="1"/>
  <c r="BU20" i="53" l="1"/>
  <c r="BS20" i="53"/>
  <c r="BT20" i="53"/>
  <c r="BR20" i="53"/>
  <c r="CJ16" i="1"/>
  <c r="BU529" i="42"/>
  <c r="BU531" i="42" s="1"/>
  <c r="BU524" i="42"/>
  <c r="BU526" i="42" s="1"/>
  <c r="BU519" i="42"/>
  <c r="BU521" i="42" s="1"/>
  <c r="BU514" i="42"/>
  <c r="BU516" i="42" s="1"/>
  <c r="BU509" i="42"/>
  <c r="BU511" i="42" s="1"/>
  <c r="BU504" i="42"/>
  <c r="BU506" i="42" s="1"/>
  <c r="BU499" i="42"/>
  <c r="BU501" i="42" s="1"/>
  <c r="BT528" i="42"/>
  <c r="BT523" i="42"/>
  <c r="BT518" i="42"/>
  <c r="BT513" i="42"/>
  <c r="BT508" i="42"/>
  <c r="BY509" i="42" s="1"/>
  <c r="BT503" i="42"/>
  <c r="BT498" i="42"/>
  <c r="BT420" i="42"/>
  <c r="BT405" i="42"/>
  <c r="BT404" i="42"/>
  <c r="BT398" i="42"/>
  <c r="BT397" i="42"/>
  <c r="BT336" i="42"/>
  <c r="BT335" i="42"/>
  <c r="BT329" i="42"/>
  <c r="BT328" i="42"/>
  <c r="BT351" i="42"/>
  <c r="BT344" i="42"/>
  <c r="BT413" i="42"/>
  <c r="BT241" i="42"/>
  <c r="BY242" i="42" s="1"/>
  <c r="BT282" i="42"/>
  <c r="BT275" i="42"/>
  <c r="BT267" i="42"/>
  <c r="BT266" i="42"/>
  <c r="BT260" i="42"/>
  <c r="BT259" i="42"/>
  <c r="BT211" i="42"/>
  <c r="BT206" i="42"/>
  <c r="BT198" i="42"/>
  <c r="BT197" i="42"/>
  <c r="BT191" i="42"/>
  <c r="BT190" i="42"/>
  <c r="BU26" i="42"/>
  <c r="BU421" i="42"/>
  <c r="BU423" i="42" s="1"/>
  <c r="BU414" i="42"/>
  <c r="BU416" i="42" s="1"/>
  <c r="BU408" i="42"/>
  <c r="BU401" i="42"/>
  <c r="BU394" i="42"/>
  <c r="BU389" i="42"/>
  <c r="BU352" i="42"/>
  <c r="BU354" i="42" s="1"/>
  <c r="BU345" i="42"/>
  <c r="BU347" i="42" s="1"/>
  <c r="BU339" i="42"/>
  <c r="BU332" i="42"/>
  <c r="BU325" i="42"/>
  <c r="BU320" i="42"/>
  <c r="BU283" i="42"/>
  <c r="BU285" i="42" s="1"/>
  <c r="BU276" i="42"/>
  <c r="BU278" i="42" s="1"/>
  <c r="BU270" i="42"/>
  <c r="BU263" i="42"/>
  <c r="BU256" i="42"/>
  <c r="BU251" i="42"/>
  <c r="BU212" i="42"/>
  <c r="BU214" i="42" s="1"/>
  <c r="BU207" i="42"/>
  <c r="BU209" i="42" s="1"/>
  <c r="BU201" i="42"/>
  <c r="BU194" i="42"/>
  <c r="BU187" i="42"/>
  <c r="BU182" i="42"/>
  <c r="BT45" i="42"/>
  <c r="BT30" i="42"/>
  <c r="BT29" i="42"/>
  <c r="BT37" i="42"/>
  <c r="BT36" i="42"/>
  <c r="BT51" i="42"/>
  <c r="BT88" i="1"/>
  <c r="BT348" i="1" s="1"/>
  <c r="BU348" i="1" s="1"/>
  <c r="BT459" i="42"/>
  <c r="BT450" i="42"/>
  <c r="BT449" i="42"/>
  <c r="BT381" i="42"/>
  <c r="BY382" i="42" s="1"/>
  <c r="BT380" i="42"/>
  <c r="BT59" i="42" l="1"/>
  <c r="BT242" i="42"/>
  <c r="BT243" i="42"/>
  <c r="BY244" i="42" s="1"/>
  <c r="BV20" i="53"/>
  <c r="BY52" i="42"/>
  <c r="BY46" i="42"/>
  <c r="BU51" i="42"/>
  <c r="BY284" i="42"/>
  <c r="BY283" i="42"/>
  <c r="BY208" i="42"/>
  <c r="BY207" i="42"/>
  <c r="BY279" i="42"/>
  <c r="BY277" i="42"/>
  <c r="BY276" i="42"/>
  <c r="BY353" i="42"/>
  <c r="BY352" i="42"/>
  <c r="BY500" i="42"/>
  <c r="BY499" i="42"/>
  <c r="BY510" i="42"/>
  <c r="BY520" i="42"/>
  <c r="BY519" i="42"/>
  <c r="BY530" i="42"/>
  <c r="BY529" i="42"/>
  <c r="BY348" i="42"/>
  <c r="BY346" i="42"/>
  <c r="BY345" i="42"/>
  <c r="CD349" i="42" s="1"/>
  <c r="BU45" i="42"/>
  <c r="BY213" i="42"/>
  <c r="BY212" i="42"/>
  <c r="BY417" i="42"/>
  <c r="BY415" i="42"/>
  <c r="BY414" i="42"/>
  <c r="CD418" i="42" s="1"/>
  <c r="BY422" i="42"/>
  <c r="BY421" i="42"/>
  <c r="BY505" i="42"/>
  <c r="BY504" i="42"/>
  <c r="BY515" i="42"/>
  <c r="BY514" i="42"/>
  <c r="BY525" i="42"/>
  <c r="BY524" i="42"/>
  <c r="BT357" i="1"/>
  <c r="BT359" i="1" s="1"/>
  <c r="BT71" i="1"/>
  <c r="BT73" i="1" s="1"/>
  <c r="BT69" i="1"/>
  <c r="BY70" i="1" s="1"/>
  <c r="BT68" i="1"/>
  <c r="BT65" i="1"/>
  <c r="BY66" i="1" s="1"/>
  <c r="BT64" i="1"/>
  <c r="BT60" i="1"/>
  <c r="BY506" i="42" l="1"/>
  <c r="BU59" i="42"/>
  <c r="BU94" i="42"/>
  <c r="BZ52" i="42"/>
  <c r="BZ54" i="42" s="1"/>
  <c r="BY54" i="42" s="1"/>
  <c r="BY53" i="42" s="1"/>
  <c r="BY416" i="42"/>
  <c r="BY285" i="42"/>
  <c r="BY521" i="42"/>
  <c r="BY526" i="42"/>
  <c r="BY209" i="42"/>
  <c r="BY214" i="42"/>
  <c r="BY501" i="42"/>
  <c r="BY278" i="42"/>
  <c r="BY516" i="42"/>
  <c r="BY511" i="42"/>
  <c r="BZ46" i="42"/>
  <c r="BY423" i="42"/>
  <c r="BY347" i="42"/>
  <c r="BY531" i="42"/>
  <c r="BY354" i="42"/>
  <c r="BT76" i="1"/>
  <c r="BT78" i="1" s="1"/>
  <c r="BT61" i="1"/>
  <c r="BY62" i="1" s="1"/>
  <c r="BU97" i="42" l="1"/>
  <c r="BZ95" i="42"/>
  <c r="BZ48" i="42"/>
  <c r="BS568" i="42"/>
  <c r="BS140" i="42"/>
  <c r="BS138" i="42"/>
  <c r="BS137" i="42"/>
  <c r="BS88" i="1"/>
  <c r="BS348" i="1" s="1"/>
  <c r="BS102" i="1"/>
  <c r="BS71" i="1"/>
  <c r="BS73" i="1" s="1"/>
  <c r="BS69" i="1"/>
  <c r="BX70" i="1" s="1"/>
  <c r="BS68" i="1"/>
  <c r="BS65" i="1"/>
  <c r="BX66" i="1" s="1"/>
  <c r="BS64" i="1"/>
  <c r="BS60" i="1"/>
  <c r="BS61" i="1" s="1"/>
  <c r="BS58" i="1"/>
  <c r="BS583" i="42"/>
  <c r="BS564" i="42"/>
  <c r="BS555" i="42"/>
  <c r="BS554" i="42"/>
  <c r="BS529" i="42"/>
  <c r="BS531" i="42" s="1"/>
  <c r="BS524" i="42"/>
  <c r="BS526" i="42" s="1"/>
  <c r="BS519" i="42"/>
  <c r="BS521" i="42" s="1"/>
  <c r="BS514" i="42"/>
  <c r="BS516" i="42" s="1"/>
  <c r="BS509" i="42"/>
  <c r="BS511" i="42" s="1"/>
  <c r="BS504" i="42"/>
  <c r="BS506" i="42" s="1"/>
  <c r="BS499" i="42"/>
  <c r="BS501" i="42" s="1"/>
  <c r="BS484" i="42"/>
  <c r="BS486" i="42" s="1"/>
  <c r="BS476" i="42"/>
  <c r="BS473" i="42"/>
  <c r="BS459" i="42"/>
  <c r="BS450" i="42"/>
  <c r="BX451" i="42" s="1"/>
  <c r="BS449" i="42"/>
  <c r="BS421" i="42"/>
  <c r="BS423" i="42" s="1"/>
  <c r="BS414" i="42"/>
  <c r="BS416" i="42" s="1"/>
  <c r="BS409" i="42"/>
  <c r="BS411" i="42" s="1"/>
  <c r="BS402" i="42"/>
  <c r="BS406" i="42" s="1"/>
  <c r="BS395" i="42"/>
  <c r="BS399" i="42" s="1"/>
  <c r="BS390" i="42"/>
  <c r="BS392" i="42" s="1"/>
  <c r="BS381" i="42"/>
  <c r="BX382" i="42" s="1"/>
  <c r="BS380" i="42"/>
  <c r="BS352" i="42"/>
  <c r="BS354" i="42" s="1"/>
  <c r="BS345" i="42"/>
  <c r="BS347" i="42" s="1"/>
  <c r="BS340" i="42"/>
  <c r="BS342" i="42" s="1"/>
  <c r="BS333" i="42"/>
  <c r="BS337" i="42" s="1"/>
  <c r="BS326" i="42"/>
  <c r="BS330" i="42" s="1"/>
  <c r="BS321" i="42"/>
  <c r="BS323" i="42" s="1"/>
  <c r="BS312" i="42"/>
  <c r="BX313" i="42" s="1"/>
  <c r="BS311" i="42"/>
  <c r="BS283" i="42"/>
  <c r="BS285" i="42" s="1"/>
  <c r="BS276" i="42"/>
  <c r="BS278" i="42" s="1"/>
  <c r="BS271" i="42"/>
  <c r="BS273" i="42" s="1"/>
  <c r="BS264" i="42"/>
  <c r="BS268" i="42" s="1"/>
  <c r="BS257" i="42"/>
  <c r="BS261" i="42" s="1"/>
  <c r="BS252" i="42"/>
  <c r="BS254" i="42" s="1"/>
  <c r="BS243" i="42"/>
  <c r="BX244" i="42" s="1"/>
  <c r="BS242" i="42"/>
  <c r="BS212" i="42"/>
  <c r="BS214" i="42" s="1"/>
  <c r="BS207" i="42"/>
  <c r="BS209" i="42" s="1"/>
  <c r="BS202" i="42"/>
  <c r="BS204" i="42" s="1"/>
  <c r="BS195" i="42"/>
  <c r="BS199" i="42" s="1"/>
  <c r="BS188" i="42"/>
  <c r="BS192" i="42" s="1"/>
  <c r="BS183" i="42"/>
  <c r="BS185" i="42" s="1"/>
  <c r="BS174" i="42"/>
  <c r="BS27" i="1" s="1"/>
  <c r="BS173" i="42"/>
  <c r="BS26" i="1" s="1"/>
  <c r="BS167" i="42"/>
  <c r="BS24" i="1" s="1"/>
  <c r="BS166" i="42"/>
  <c r="BS23" i="1" s="1"/>
  <c r="BS165" i="42"/>
  <c r="BS22" i="1" s="1"/>
  <c r="BS164" i="42"/>
  <c r="BS21" i="1" s="1"/>
  <c r="BS163" i="42"/>
  <c r="BS52" i="42"/>
  <c r="BS54" i="42" s="1"/>
  <c r="BS46" i="42"/>
  <c r="BS41" i="42"/>
  <c r="BS43" i="42" s="1"/>
  <c r="BS34" i="42"/>
  <c r="BS38" i="42" s="1"/>
  <c r="BS27" i="42"/>
  <c r="BS31" i="42" s="1"/>
  <c r="BS19" i="42"/>
  <c r="BS16" i="1" s="1"/>
  <c r="BS18" i="42"/>
  <c r="BS15" i="1" s="1"/>
  <c r="BS13" i="42"/>
  <c r="BS13" i="1" s="1"/>
  <c r="BS12" i="42"/>
  <c r="BS12" i="1" s="1"/>
  <c r="BS11" i="42"/>
  <c r="BS11" i="1" s="1"/>
  <c r="BS10" i="42"/>
  <c r="BS10" i="1" s="1"/>
  <c r="BS9" i="42"/>
  <c r="BT138" i="42" l="1"/>
  <c r="BT140" i="42"/>
  <c r="BT137" i="42"/>
  <c r="BS48" i="42"/>
  <c r="BY48" i="42"/>
  <c r="BX556" i="42"/>
  <c r="BS168" i="42"/>
  <c r="BS20" i="1"/>
  <c r="BS25" i="1" s="1"/>
  <c r="BS28" i="1" s="1"/>
  <c r="BS14" i="42"/>
  <c r="BS9" i="1"/>
  <c r="BS14" i="1" s="1"/>
  <c r="BS17" i="1" s="1"/>
  <c r="BS76" i="1"/>
  <c r="BS78" i="1" s="1"/>
  <c r="BY47" i="42" l="1"/>
  <c r="BS170" i="42"/>
  <c r="BS175" i="42"/>
  <c r="BS20" i="42"/>
  <c r="BS49" i="42"/>
  <c r="BS82" i="1"/>
  <c r="BS86" i="1" s="1"/>
  <c r="BS107" i="1" s="1"/>
  <c r="BS109" i="1" s="1"/>
  <c r="BS122" i="1" s="1"/>
  <c r="BS98" i="1"/>
  <c r="BS138" i="1" l="1"/>
  <c r="BS142" i="1"/>
  <c r="BS177" i="42"/>
  <c r="BS84" i="1"/>
  <c r="BS92" i="1"/>
  <c r="BS103" i="1" s="1"/>
  <c r="BS94" i="1" l="1"/>
  <c r="A8" i="42" l="1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5" i="42"/>
  <c r="A26" i="42"/>
  <c r="A27" i="42"/>
  <c r="A28" i="42"/>
  <c r="A29" i="42"/>
  <c r="A30" i="42"/>
  <c r="A31" i="42"/>
  <c r="A33" i="42"/>
  <c r="A34" i="42"/>
  <c r="A35" i="42"/>
  <c r="A36" i="42"/>
  <c r="A37" i="42"/>
  <c r="A38" i="42"/>
  <c r="A40" i="42"/>
  <c r="A41" i="42"/>
  <c r="A42" i="42"/>
  <c r="A43" i="42"/>
  <c r="A45" i="42"/>
  <c r="A46" i="42"/>
  <c r="A47" i="42"/>
  <c r="A48" i="42"/>
  <c r="A49" i="42"/>
  <c r="A51" i="42"/>
  <c r="A52" i="42"/>
  <c r="A53" i="42"/>
  <c r="A54" i="42"/>
  <c r="A56" i="42"/>
  <c r="A57" i="42"/>
  <c r="A58" i="42"/>
  <c r="A132" i="42"/>
  <c r="A133" i="42"/>
  <c r="A134" i="42"/>
  <c r="A135" i="42"/>
  <c r="A136" i="42"/>
  <c r="A137" i="42"/>
  <c r="A138" i="42"/>
  <c r="A139" i="42"/>
  <c r="A140" i="42"/>
  <c r="A141" i="42"/>
  <c r="A143" i="42"/>
  <c r="A163" i="42"/>
  <c r="A164" i="42"/>
  <c r="A165" i="42"/>
  <c r="A166" i="42"/>
  <c r="A167" i="42"/>
  <c r="A168" i="42"/>
  <c r="A169" i="42"/>
  <c r="A170" i="42"/>
  <c r="A171" i="42"/>
  <c r="A173" i="42"/>
  <c r="A174" i="42"/>
  <c r="A175" i="42"/>
  <c r="A176" i="42"/>
  <c r="A177" i="42"/>
  <c r="A178" i="42"/>
  <c r="A180" i="42"/>
  <c r="A181" i="42"/>
  <c r="A182" i="42"/>
  <c r="A183" i="42"/>
  <c r="A184" i="42"/>
  <c r="A185" i="42"/>
  <c r="A187" i="42"/>
  <c r="A188" i="42"/>
  <c r="A189" i="42"/>
  <c r="A190" i="42"/>
  <c r="A191" i="42"/>
  <c r="A192" i="42"/>
  <c r="A194" i="42"/>
  <c r="A195" i="42"/>
  <c r="A196" i="42"/>
  <c r="A197" i="42"/>
  <c r="A198" i="42"/>
  <c r="A199" i="42"/>
  <c r="A201" i="42"/>
  <c r="A202" i="42"/>
  <c r="A203" i="42"/>
  <c r="A204" i="42"/>
  <c r="A206" i="42"/>
  <c r="A207" i="42"/>
  <c r="A208" i="42"/>
  <c r="A209" i="42"/>
  <c r="A211" i="42"/>
  <c r="A212" i="42"/>
  <c r="A213" i="42"/>
  <c r="A214" i="42"/>
  <c r="A216" i="42"/>
  <c r="A217" i="42"/>
  <c r="A218" i="42"/>
  <c r="A219" i="42"/>
  <c r="A241" i="42"/>
  <c r="A242" i="42"/>
  <c r="A243" i="42"/>
  <c r="A244" i="42"/>
  <c r="A250" i="42"/>
  <c r="A251" i="42"/>
  <c r="A252" i="42"/>
  <c r="A253" i="42"/>
  <c r="A254" i="42"/>
  <c r="A256" i="42"/>
  <c r="A257" i="42"/>
  <c r="A258" i="42"/>
  <c r="A259" i="42"/>
  <c r="A260" i="42"/>
  <c r="A261" i="42"/>
  <c r="A263" i="42"/>
  <c r="A264" i="42"/>
  <c r="A265" i="42"/>
  <c r="A266" i="42"/>
  <c r="A267" i="42"/>
  <c r="A268" i="42"/>
  <c r="A270" i="42"/>
  <c r="A271" i="42"/>
  <c r="A272" i="42"/>
  <c r="A273" i="42"/>
  <c r="A275" i="42"/>
  <c r="A276" i="42"/>
  <c r="A277" i="42"/>
  <c r="A278" i="42"/>
  <c r="A279" i="42"/>
  <c r="A280" i="42"/>
  <c r="A282" i="42"/>
  <c r="A283" i="42"/>
  <c r="A284" i="42"/>
  <c r="A285" i="42"/>
  <c r="A287" i="42"/>
  <c r="A288" i="42"/>
  <c r="A310" i="42"/>
  <c r="A311" i="42"/>
  <c r="A312" i="42"/>
  <c r="A313" i="42"/>
  <c r="A319" i="42"/>
  <c r="A320" i="42"/>
  <c r="A321" i="42"/>
  <c r="A322" i="42"/>
  <c r="A323" i="42"/>
  <c r="A325" i="42"/>
  <c r="A326" i="42"/>
  <c r="A327" i="42"/>
  <c r="A328" i="42"/>
  <c r="A329" i="42"/>
  <c r="A330" i="42"/>
  <c r="A332" i="42"/>
  <c r="A333" i="42"/>
  <c r="A334" i="42"/>
  <c r="A335" i="42"/>
  <c r="A336" i="42"/>
  <c r="A337" i="42"/>
  <c r="A339" i="42"/>
  <c r="A340" i="42"/>
  <c r="A341" i="42"/>
  <c r="A342" i="42"/>
  <c r="A344" i="42"/>
  <c r="A345" i="42"/>
  <c r="A346" i="42"/>
  <c r="A347" i="42"/>
  <c r="A348" i="42"/>
  <c r="A349" i="42"/>
  <c r="A351" i="42"/>
  <c r="A352" i="42"/>
  <c r="A353" i="42"/>
  <c r="A354" i="42"/>
  <c r="A356" i="42"/>
  <c r="A357" i="42"/>
  <c r="A379" i="42"/>
  <c r="A380" i="42"/>
  <c r="A381" i="42"/>
  <c r="A382" i="42"/>
  <c r="A388" i="42"/>
  <c r="A389" i="42"/>
  <c r="A390" i="42"/>
  <c r="A391" i="42"/>
  <c r="A392" i="42"/>
  <c r="A394" i="42"/>
  <c r="A395" i="42"/>
  <c r="A396" i="42"/>
  <c r="A397" i="42"/>
  <c r="A398" i="42"/>
  <c r="A399" i="42"/>
  <c r="A401" i="42"/>
  <c r="A402" i="42"/>
  <c r="A403" i="42"/>
  <c r="A404" i="42"/>
  <c r="A405" i="42"/>
  <c r="A406" i="42"/>
  <c r="A408" i="42"/>
  <c r="A409" i="42"/>
  <c r="A410" i="42"/>
  <c r="A411" i="42"/>
  <c r="A413" i="42"/>
  <c r="A414" i="42"/>
  <c r="A415" i="42"/>
  <c r="A416" i="42"/>
  <c r="A417" i="42"/>
  <c r="A418" i="42"/>
  <c r="A420" i="42"/>
  <c r="A421" i="42"/>
  <c r="A422" i="42"/>
  <c r="A423" i="42"/>
  <c r="A425" i="42"/>
  <c r="A426" i="42"/>
  <c r="A448" i="42"/>
  <c r="A449" i="42"/>
  <c r="A450" i="42"/>
  <c r="A451" i="42"/>
  <c r="A457" i="42"/>
  <c r="A458" i="42"/>
  <c r="A459" i="42"/>
  <c r="A473" i="42"/>
  <c r="A474" i="42"/>
  <c r="A475" i="42"/>
  <c r="A476" i="42"/>
  <c r="A482" i="42"/>
  <c r="A483" i="42"/>
  <c r="A484" i="42"/>
  <c r="A485" i="42"/>
  <c r="A486" i="42"/>
  <c r="A488" i="42"/>
  <c r="A489" i="42"/>
  <c r="A490" i="42"/>
  <c r="A491" i="42"/>
  <c r="A492" i="42"/>
  <c r="A493" i="42"/>
  <c r="A495" i="42"/>
  <c r="A496" i="42"/>
  <c r="A498" i="42"/>
  <c r="A499" i="42"/>
  <c r="A500" i="42"/>
  <c r="A501" i="42"/>
  <c r="A503" i="42"/>
  <c r="A504" i="42"/>
  <c r="A505" i="42"/>
  <c r="A506" i="42"/>
  <c r="A508" i="42"/>
  <c r="A509" i="42"/>
  <c r="A510" i="42"/>
  <c r="A511" i="42"/>
  <c r="A513" i="42"/>
  <c r="A514" i="42"/>
  <c r="A515" i="42"/>
  <c r="A516" i="42"/>
  <c r="A518" i="42"/>
  <c r="A519" i="42"/>
  <c r="A520" i="42"/>
  <c r="A521" i="42"/>
  <c r="A523" i="42"/>
  <c r="A524" i="42"/>
  <c r="A525" i="42"/>
  <c r="A526" i="42"/>
  <c r="A528" i="42"/>
  <c r="A529" i="42"/>
  <c r="A530" i="42"/>
  <c r="A531" i="42"/>
  <c r="A553" i="42"/>
  <c r="A554" i="42"/>
  <c r="A555" i="42"/>
  <c r="A556" i="42"/>
  <c r="A562" i="42"/>
  <c r="A563" i="42"/>
  <c r="A564" i="42"/>
  <c r="A566" i="42"/>
  <c r="A567" i="42"/>
  <c r="A582" i="42"/>
  <c r="A583" i="42"/>
  <c r="A7" i="42"/>
  <c r="BR88" i="1" l="1"/>
  <c r="BR348" i="1" s="1"/>
  <c r="BR71" i="1" l="1"/>
  <c r="BR69" i="1"/>
  <c r="BW70" i="1" s="1"/>
  <c r="BR65" i="1"/>
  <c r="BW66" i="1" s="1"/>
  <c r="BR60" i="1"/>
  <c r="BR529" i="42"/>
  <c r="BR531" i="42" s="1"/>
  <c r="BR524" i="42"/>
  <c r="BR526" i="42" s="1"/>
  <c r="BR519" i="42"/>
  <c r="BR521" i="42" s="1"/>
  <c r="BR514" i="42"/>
  <c r="BR516" i="42" s="1"/>
  <c r="BR509" i="42"/>
  <c r="BR511" i="42" s="1"/>
  <c r="BR504" i="42"/>
  <c r="BR506" i="42" s="1"/>
  <c r="BR499" i="42"/>
  <c r="BR501" i="42" s="1"/>
  <c r="BR473" i="42"/>
  <c r="BR459" i="42"/>
  <c r="BR421" i="42"/>
  <c r="BR423" i="42" s="1"/>
  <c r="BR414" i="42"/>
  <c r="BR416" i="42" s="1"/>
  <c r="BR352" i="42"/>
  <c r="BR354" i="42" s="1"/>
  <c r="BR345" i="42"/>
  <c r="BR347" i="42" s="1"/>
  <c r="BR283" i="42"/>
  <c r="BR285" i="42" s="1"/>
  <c r="BR276" i="42"/>
  <c r="BR278" i="42" s="1"/>
  <c r="BR212" i="42"/>
  <c r="BR214" i="42" s="1"/>
  <c r="BR207" i="42"/>
  <c r="BR209" i="42" s="1"/>
  <c r="BR52" i="42"/>
  <c r="BR54" i="42" s="1"/>
  <c r="BR46" i="42"/>
  <c r="BR61" i="1" l="1"/>
  <c r="BR48" i="42"/>
  <c r="BR73" i="1"/>
  <c r="BQ421" i="42" l="1"/>
  <c r="BQ423" i="42" s="1"/>
  <c r="BQ529" i="42"/>
  <c r="BQ531" i="42" s="1"/>
  <c r="BQ524" i="42"/>
  <c r="BQ526" i="42" s="1"/>
  <c r="BQ519" i="42"/>
  <c r="BQ521" i="42" s="1"/>
  <c r="BQ514" i="42"/>
  <c r="BQ516" i="42" s="1"/>
  <c r="BQ509" i="42"/>
  <c r="BQ511" i="42" s="1"/>
  <c r="BQ504" i="42"/>
  <c r="BQ506" i="42" s="1"/>
  <c r="BQ499" i="42"/>
  <c r="BQ501" i="42" s="1"/>
  <c r="BQ414" i="42"/>
  <c r="BQ352" i="42"/>
  <c r="BQ354" i="42" s="1"/>
  <c r="BQ345" i="42"/>
  <c r="BQ283" i="42"/>
  <c r="BQ285" i="42" s="1"/>
  <c r="BQ276" i="42"/>
  <c r="BQ278" i="42" s="1"/>
  <c r="BQ212" i="42"/>
  <c r="BQ214" i="42" s="1"/>
  <c r="BQ207" i="42"/>
  <c r="BQ209" i="42" s="1"/>
  <c r="BQ88" i="1"/>
  <c r="BQ348" i="1" s="1"/>
  <c r="BQ416" i="42" l="1"/>
  <c r="BQ347" i="42"/>
  <c r="BQ69" i="1" l="1"/>
  <c r="BV70" i="1" s="1"/>
  <c r="BQ65" i="1"/>
  <c r="BQ60" i="1"/>
  <c r="BQ473" i="42"/>
  <c r="BV474" i="42" s="1"/>
  <c r="BQ459" i="42"/>
  <c r="BQ52" i="42"/>
  <c r="BQ54" i="42" s="1"/>
  <c r="BQ46" i="42"/>
  <c r="BV66" i="1" l="1"/>
  <c r="BQ61" i="1"/>
  <c r="BQ48" i="42"/>
  <c r="BP100" i="1" l="1"/>
  <c r="BO568" i="42"/>
  <c r="BO567" i="42"/>
  <c r="BO566" i="42"/>
  <c r="BP529" i="42"/>
  <c r="BP531" i="42" s="1"/>
  <c r="BN529" i="42"/>
  <c r="BN531" i="42" s="1"/>
  <c r="BP524" i="42"/>
  <c r="BP526" i="42" s="1"/>
  <c r="BN524" i="42"/>
  <c r="BN526" i="42" s="1"/>
  <c r="BP519" i="42"/>
  <c r="BP521" i="42" s="1"/>
  <c r="BN519" i="42"/>
  <c r="BN521" i="42" s="1"/>
  <c r="BP514" i="42"/>
  <c r="BP516" i="42" s="1"/>
  <c r="BN514" i="42"/>
  <c r="BN516" i="42" s="1"/>
  <c r="BP509" i="42"/>
  <c r="BP511" i="42" s="1"/>
  <c r="BN509" i="42"/>
  <c r="BN511" i="42" s="1"/>
  <c r="BP504" i="42"/>
  <c r="BP506" i="42" s="1"/>
  <c r="BN504" i="42"/>
  <c r="BN506" i="42" s="1"/>
  <c r="BP499" i="42"/>
  <c r="BP501" i="42" s="1"/>
  <c r="BO528" i="42"/>
  <c r="BO523" i="42"/>
  <c r="BO518" i="42"/>
  <c r="BO513" i="42"/>
  <c r="BO508" i="42"/>
  <c r="BO503" i="42"/>
  <c r="BO498" i="42"/>
  <c r="BJ528" i="42"/>
  <c r="BO530" i="42" s="1"/>
  <c r="BJ523" i="42"/>
  <c r="BO525" i="42" s="1"/>
  <c r="BJ518" i="42"/>
  <c r="BO520" i="42" s="1"/>
  <c r="BJ513" i="42"/>
  <c r="BJ508" i="42"/>
  <c r="BO510" i="42" s="1"/>
  <c r="BJ503" i="42"/>
  <c r="BO505" i="42" s="1"/>
  <c r="BJ498" i="42"/>
  <c r="BO500" i="42" s="1"/>
  <c r="BO405" i="42"/>
  <c r="BO404" i="42"/>
  <c r="BO398" i="42"/>
  <c r="BO397" i="42"/>
  <c r="BP421" i="42"/>
  <c r="BP423" i="42" s="1"/>
  <c r="BP414" i="42"/>
  <c r="BP416" i="42" s="1"/>
  <c r="BO420" i="42"/>
  <c r="BO413" i="42"/>
  <c r="BO336" i="42"/>
  <c r="BO335" i="42"/>
  <c r="BO329" i="42"/>
  <c r="BO328" i="42"/>
  <c r="BP352" i="42"/>
  <c r="BP354" i="42" s="1"/>
  <c r="BO344" i="42"/>
  <c r="BO351" i="42"/>
  <c r="BP345" i="42"/>
  <c r="BP347" i="42" s="1"/>
  <c r="BO267" i="42"/>
  <c r="BO266" i="42"/>
  <c r="BO260" i="42"/>
  <c r="BO259" i="42"/>
  <c r="BP283" i="42"/>
  <c r="BP285" i="42" s="1"/>
  <c r="BP276" i="42"/>
  <c r="BP278" i="42" s="1"/>
  <c r="BO275" i="42"/>
  <c r="BT279" i="42" s="1"/>
  <c r="BO282" i="42"/>
  <c r="BO198" i="42"/>
  <c r="BO197" i="42"/>
  <c r="BO191" i="42"/>
  <c r="BO190" i="42"/>
  <c r="BP212" i="42"/>
  <c r="BP214" i="42" s="1"/>
  <c r="BP207" i="42"/>
  <c r="BP209" i="42" s="1"/>
  <c r="BO211" i="42"/>
  <c r="BO206" i="42"/>
  <c r="BO37" i="42"/>
  <c r="BO36" i="42"/>
  <c r="BO30" i="42"/>
  <c r="BO29" i="42"/>
  <c r="BO88" i="1"/>
  <c r="BO348" i="1" s="1"/>
  <c r="BP348" i="1" s="1"/>
  <c r="BT415" i="42" l="1"/>
  <c r="BT417" i="42"/>
  <c r="BT414" i="42"/>
  <c r="BT213" i="42"/>
  <c r="BT212" i="42"/>
  <c r="BT277" i="42"/>
  <c r="BT276" i="42"/>
  <c r="BT353" i="42"/>
  <c r="BT352" i="42"/>
  <c r="BT422" i="42"/>
  <c r="BT421" i="42"/>
  <c r="BT510" i="42"/>
  <c r="BT509" i="42"/>
  <c r="BT530" i="42"/>
  <c r="BT529" i="42"/>
  <c r="BT208" i="42"/>
  <c r="BT207" i="42"/>
  <c r="BT505" i="42"/>
  <c r="BT504" i="42"/>
  <c r="BT346" i="42"/>
  <c r="BT348" i="42"/>
  <c r="BT345" i="42"/>
  <c r="BT515" i="42"/>
  <c r="BT514" i="42"/>
  <c r="BT284" i="42"/>
  <c r="BT283" i="42"/>
  <c r="BT525" i="42"/>
  <c r="BT524" i="42"/>
  <c r="BO514" i="42"/>
  <c r="BO499" i="42"/>
  <c r="BO501" i="42" s="1"/>
  <c r="BT500" i="42"/>
  <c r="BT499" i="42"/>
  <c r="BO519" i="42"/>
  <c r="BO521" i="42" s="1"/>
  <c r="BT520" i="42"/>
  <c r="BT519" i="42"/>
  <c r="BO504" i="42"/>
  <c r="BO506" i="42" s="1"/>
  <c r="BO524" i="42"/>
  <c r="BO526" i="42" s="1"/>
  <c r="BO509" i="42"/>
  <c r="BO511" i="42" s="1"/>
  <c r="BO529" i="42"/>
  <c r="BO531" i="42" s="1"/>
  <c r="BO515" i="42"/>
  <c r="BT506" i="42" l="1"/>
  <c r="BT278" i="42"/>
  <c r="BT511" i="42"/>
  <c r="BT521" i="42"/>
  <c r="BT209" i="42"/>
  <c r="BT423" i="42"/>
  <c r="BO516" i="42"/>
  <c r="BT531" i="42"/>
  <c r="BT354" i="42"/>
  <c r="BT285" i="42"/>
  <c r="BT347" i="42"/>
  <c r="BY349" i="42"/>
  <c r="BT416" i="42"/>
  <c r="BY418" i="42"/>
  <c r="BT501" i="42"/>
  <c r="BT526" i="42"/>
  <c r="BT516" i="42"/>
  <c r="BT214" i="42"/>
  <c r="BO45" i="42" l="1"/>
  <c r="BO51" i="42"/>
  <c r="BO357" i="1"/>
  <c r="BO359" i="1" s="1"/>
  <c r="BP57" i="53"/>
  <c r="BO57" i="53"/>
  <c r="BN57" i="53"/>
  <c r="BM57" i="53"/>
  <c r="BN56" i="53"/>
  <c r="BO48" i="53"/>
  <c r="BP32" i="53"/>
  <c r="BO32" i="53"/>
  <c r="BN32" i="53"/>
  <c r="BM32" i="53"/>
  <c r="BP19" i="53"/>
  <c r="BO19" i="53"/>
  <c r="BN19" i="53"/>
  <c r="BQ6" i="53"/>
  <c r="BP6" i="53"/>
  <c r="BO6" i="53"/>
  <c r="BN6" i="53"/>
  <c r="BM6" i="53"/>
  <c r="BQ5" i="53"/>
  <c r="BP5" i="53"/>
  <c r="BO5" i="53"/>
  <c r="BN5" i="53"/>
  <c r="BM5" i="53"/>
  <c r="CB359" i="1"/>
  <c r="CA357" i="1"/>
  <c r="CA359" i="1" s="1"/>
  <c r="CB343" i="1"/>
  <c r="CB342" i="1"/>
  <c r="CB341" i="1"/>
  <c r="CJ341" i="1"/>
  <c r="CB102" i="1"/>
  <c r="CA102" i="1"/>
  <c r="CB564" i="42"/>
  <c r="CA564" i="42"/>
  <c r="CJ564" i="42"/>
  <c r="CB19" i="42"/>
  <c r="CE6" i="42"/>
  <c r="CD6" i="42"/>
  <c r="CC6" i="42"/>
  <c r="CB6" i="42"/>
  <c r="CA6" i="42"/>
  <c r="CE5" i="42"/>
  <c r="CD5" i="42"/>
  <c r="CC5" i="42"/>
  <c r="CB5" i="42"/>
  <c r="CA5" i="42"/>
  <c r="CE359" i="1" l="1"/>
  <c r="CB344" i="1"/>
  <c r="CE343" i="1"/>
  <c r="BT52" i="42"/>
  <c r="BT46" i="42"/>
  <c r="CB16" i="1"/>
  <c r="CE19" i="42"/>
  <c r="BO20" i="53"/>
  <c r="CD16" i="1"/>
  <c r="BP51" i="42"/>
  <c r="CA16" i="1"/>
  <c r="BP45" i="42"/>
  <c r="BQ32" i="53"/>
  <c r="BQ57" i="53"/>
  <c r="CE344" i="1" l="1"/>
  <c r="BP59" i="42"/>
  <c r="BN20" i="53"/>
  <c r="BP94" i="42"/>
  <c r="BM20" i="53"/>
  <c r="BU46" i="42"/>
  <c r="BP20" i="53"/>
  <c r="BP52" i="42"/>
  <c r="BP54" i="42" s="1"/>
  <c r="BU52" i="42"/>
  <c r="BU54" i="42" s="1"/>
  <c r="BT54" i="42" s="1"/>
  <c r="CE16" i="1"/>
  <c r="BP46" i="42"/>
  <c r="BO69" i="1"/>
  <c r="BT70" i="1" s="1"/>
  <c r="BO65" i="1"/>
  <c r="BO60" i="1"/>
  <c r="BO473" i="42"/>
  <c r="BO459" i="42"/>
  <c r="BQ20" i="53" l="1"/>
  <c r="BP97" i="42"/>
  <c r="BU95" i="42"/>
  <c r="BU48" i="42"/>
  <c r="BO61" i="1"/>
  <c r="BT62" i="1" s="1"/>
  <c r="BT66" i="1"/>
  <c r="BP48" i="42"/>
  <c r="BT48" i="42" l="1"/>
  <c r="BN499" i="42" l="1"/>
  <c r="BN501" i="42" s="1"/>
  <c r="BN88" i="1"/>
  <c r="BN93" i="1" l="1"/>
  <c r="BN75" i="1"/>
  <c r="BN108" i="1" l="1"/>
  <c r="BN146" i="1"/>
  <c r="BO146" i="1" s="1"/>
  <c r="BN350" i="1" l="1"/>
  <c r="BN349" i="1"/>
  <c r="BN348" i="1"/>
  <c r="BN69" i="1"/>
  <c r="BS70" i="1" s="1"/>
  <c r="BN65" i="1"/>
  <c r="BN60" i="1"/>
  <c r="BS66" i="1" l="1"/>
  <c r="BN61" i="1"/>
  <c r="BS62" i="1" s="1"/>
  <c r="BN351" i="1"/>
  <c r="BN473" i="42"/>
  <c r="BS474" i="42" s="1"/>
  <c r="BN459" i="42"/>
  <c r="BN421" i="42"/>
  <c r="BN423" i="42" s="1"/>
  <c r="BN414" i="42"/>
  <c r="BN416" i="42" s="1"/>
  <c r="BN352" i="42"/>
  <c r="BN354" i="42" s="1"/>
  <c r="BN345" i="42"/>
  <c r="BN347" i="42" s="1"/>
  <c r="BN283" i="42"/>
  <c r="BN285" i="42" s="1"/>
  <c r="BN276" i="42"/>
  <c r="BN278" i="42" s="1"/>
  <c r="BN212" i="42"/>
  <c r="BN214" i="42" s="1"/>
  <c r="BN207" i="42"/>
  <c r="BN209" i="42" s="1"/>
  <c r="BN52" i="42"/>
  <c r="BN54" i="42" s="1"/>
  <c r="BN46" i="42"/>
  <c r="BN48" i="42" l="1"/>
  <c r="BM88" i="1" l="1"/>
  <c r="BM414" i="42" l="1"/>
  <c r="BM416" i="42" s="1"/>
  <c r="BM421" i="42"/>
  <c r="BM423" i="42" s="1"/>
  <c r="BM350" i="1" l="1"/>
  <c r="BM349" i="1"/>
  <c r="BM348" i="1"/>
  <c r="BM69" i="1"/>
  <c r="BR70" i="1" s="1"/>
  <c r="BM65" i="1"/>
  <c r="BM60" i="1"/>
  <c r="BM61" i="1" s="1"/>
  <c r="BR62" i="1" s="1"/>
  <c r="BM564" i="42"/>
  <c r="BM529" i="42"/>
  <c r="BM531" i="42" s="1"/>
  <c r="BM524" i="42"/>
  <c r="BM526" i="42" s="1"/>
  <c r="BM519" i="42"/>
  <c r="BM521" i="42" s="1"/>
  <c r="BM514" i="42"/>
  <c r="BM516" i="42" s="1"/>
  <c r="BM509" i="42"/>
  <c r="BM511" i="42" s="1"/>
  <c r="BM504" i="42"/>
  <c r="BM506" i="42" s="1"/>
  <c r="BM499" i="42"/>
  <c r="BM501" i="42" s="1"/>
  <c r="BM473" i="42"/>
  <c r="BR474" i="42" s="1"/>
  <c r="BM459" i="42"/>
  <c r="BM352" i="42"/>
  <c r="BM354" i="42" s="1"/>
  <c r="BM345" i="42"/>
  <c r="BM347" i="42" s="1"/>
  <c r="BM283" i="42"/>
  <c r="BM285" i="42" s="1"/>
  <c r="BM276" i="42"/>
  <c r="BM278" i="42" s="1"/>
  <c r="BM212" i="42"/>
  <c r="BM214" i="42" s="1"/>
  <c r="BM207" i="42"/>
  <c r="BM209" i="42" s="1"/>
  <c r="BM52" i="42"/>
  <c r="BM54" i="42" s="1"/>
  <c r="BM46" i="42"/>
  <c r="BR66" i="1" l="1"/>
  <c r="BM48" i="42"/>
  <c r="BM351" i="1"/>
  <c r="BL529" i="42" l="1"/>
  <c r="BL531" i="42" s="1"/>
  <c r="BL519" i="42"/>
  <c r="BL521" i="42" s="1"/>
  <c r="BL514" i="42"/>
  <c r="BL516" i="42" s="1"/>
  <c r="BL509" i="42"/>
  <c r="BL511" i="42" s="1"/>
  <c r="BL504" i="42"/>
  <c r="BL506" i="42" s="1"/>
  <c r="BL499" i="42"/>
  <c r="BL501" i="42" s="1"/>
  <c r="BL524" i="42"/>
  <c r="BL526" i="42" s="1"/>
  <c r="BL421" i="42"/>
  <c r="BL423" i="42" s="1"/>
  <c r="BL414" i="42"/>
  <c r="BL283" i="42"/>
  <c r="BL285" i="42" s="1"/>
  <c r="BL276" i="42"/>
  <c r="BL278" i="42" s="1"/>
  <c r="BL352" i="42"/>
  <c r="BL354" i="42" s="1"/>
  <c r="BL345" i="42"/>
  <c r="BL207" i="42"/>
  <c r="BL209" i="42" s="1"/>
  <c r="BL212" i="42"/>
  <c r="BL214" i="42" s="1"/>
  <c r="BL88" i="1"/>
  <c r="BL348" i="1" s="1"/>
  <c r="BL347" i="42" l="1"/>
  <c r="BL416" i="42"/>
  <c r="BL52" i="42" l="1"/>
  <c r="BL54" i="42" s="1"/>
  <c r="BL46" i="42"/>
  <c r="BL48" i="42" l="1"/>
  <c r="BL350" i="1"/>
  <c r="BP350" i="1" s="1"/>
  <c r="BL349" i="1"/>
  <c r="BP349" i="1" s="1"/>
  <c r="BL69" i="1"/>
  <c r="BQ70" i="1" s="1"/>
  <c r="BL65" i="1"/>
  <c r="BL60" i="1"/>
  <c r="BL564" i="42"/>
  <c r="BL473" i="42"/>
  <c r="BQ474" i="42" s="1"/>
  <c r="BL459" i="42"/>
  <c r="BP351" i="1" l="1"/>
  <c r="BQ66" i="1"/>
  <c r="BL61" i="1"/>
  <c r="BQ62" i="1" s="1"/>
  <c r="BL351" i="1"/>
  <c r="BJ88" i="1" l="1"/>
  <c r="BJ568" i="42"/>
  <c r="BJ567" i="42"/>
  <c r="BJ566" i="42"/>
  <c r="BJ495" i="42"/>
  <c r="BJ493" i="42"/>
  <c r="BJ492" i="42"/>
  <c r="BJ491" i="42"/>
  <c r="BJ490" i="42"/>
  <c r="BJ489" i="42"/>
  <c r="BJ488" i="42"/>
  <c r="BJ425" i="42"/>
  <c r="BJ426" i="42" s="1"/>
  <c r="BE415" i="42"/>
  <c r="BE422" i="42"/>
  <c r="BE346" i="42"/>
  <c r="BE353" i="42"/>
  <c r="BE277" i="42"/>
  <c r="BE284" i="42"/>
  <c r="BE208" i="42"/>
  <c r="BE213" i="42"/>
  <c r="BK421" i="42"/>
  <c r="BK423" i="42" s="1"/>
  <c r="BJ420" i="42"/>
  <c r="BK414" i="42"/>
  <c r="BK416" i="42" s="1"/>
  <c r="BJ413" i="42"/>
  <c r="BJ405" i="42"/>
  <c r="BJ404" i="42"/>
  <c r="BJ398" i="42"/>
  <c r="BJ397" i="42"/>
  <c r="BJ356" i="42"/>
  <c r="BJ357" i="42" s="1"/>
  <c r="BK352" i="42"/>
  <c r="BK354" i="42" s="1"/>
  <c r="BJ351" i="42"/>
  <c r="BJ344" i="42"/>
  <c r="BK345" i="42"/>
  <c r="BK347" i="42" s="1"/>
  <c r="BJ336" i="42"/>
  <c r="BJ335" i="42"/>
  <c r="BJ329" i="42"/>
  <c r="BJ328" i="42"/>
  <c r="BJ287" i="42"/>
  <c r="BJ288" i="42" s="1"/>
  <c r="BJ282" i="42"/>
  <c r="BK283" i="42"/>
  <c r="BK285" i="42" s="1"/>
  <c r="BK276" i="42"/>
  <c r="BK278" i="42" s="1"/>
  <c r="BJ275" i="42"/>
  <c r="BJ267" i="42"/>
  <c r="BJ266" i="42"/>
  <c r="BJ260" i="42"/>
  <c r="BJ259" i="42"/>
  <c r="BO348" i="42" l="1"/>
  <c r="BO346" i="42"/>
  <c r="BO345" i="42"/>
  <c r="BT349" i="42" s="1"/>
  <c r="BO417" i="42"/>
  <c r="BO415" i="42"/>
  <c r="BO414" i="42"/>
  <c r="BT418" i="42" s="1"/>
  <c r="BO284" i="42"/>
  <c r="BO283" i="42"/>
  <c r="BO353" i="42"/>
  <c r="BO352" i="42"/>
  <c r="BO279" i="42"/>
  <c r="BO277" i="42"/>
  <c r="BO276" i="42"/>
  <c r="BO422" i="42"/>
  <c r="BO421" i="42"/>
  <c r="BJ218" i="42"/>
  <c r="BJ219" i="42" s="1"/>
  <c r="BK212" i="42"/>
  <c r="BK214" i="42" s="1"/>
  <c r="BJ211" i="42"/>
  <c r="BK207" i="42"/>
  <c r="BK209" i="42" s="1"/>
  <c r="BJ206" i="42"/>
  <c r="BJ198" i="42"/>
  <c r="BJ197" i="42"/>
  <c r="BJ191" i="42"/>
  <c r="BJ190" i="42"/>
  <c r="BJ138" i="42"/>
  <c r="BK52" i="42"/>
  <c r="BK54" i="42" s="1"/>
  <c r="BJ51" i="42"/>
  <c r="BK46" i="42"/>
  <c r="BJ45" i="42"/>
  <c r="BJ37" i="42"/>
  <c r="BJ36" i="42"/>
  <c r="BJ30" i="42"/>
  <c r="BJ29" i="42"/>
  <c r="BO347" i="42" l="1"/>
  <c r="BO354" i="42"/>
  <c r="BO278" i="42"/>
  <c r="BO212" i="42"/>
  <c r="BO213" i="42"/>
  <c r="BO423" i="42"/>
  <c r="BO46" i="42"/>
  <c r="BO48" i="42"/>
  <c r="BK48" i="42"/>
  <c r="BO208" i="42"/>
  <c r="BO207" i="42"/>
  <c r="BO52" i="42"/>
  <c r="BO54" i="42"/>
  <c r="BO285" i="42"/>
  <c r="BO416" i="42"/>
  <c r="BO53" i="42" l="1"/>
  <c r="BO209" i="42"/>
  <c r="BO47" i="42"/>
  <c r="BO214" i="42"/>
  <c r="BK57" i="53"/>
  <c r="BJ57" i="53"/>
  <c r="BI57" i="53"/>
  <c r="BH57" i="53"/>
  <c r="BK32" i="53"/>
  <c r="BJ32" i="53"/>
  <c r="BI32" i="53"/>
  <c r="BH32" i="53"/>
  <c r="BK19" i="53"/>
  <c r="BJ19" i="53"/>
  <c r="BI19" i="53"/>
  <c r="BL6" i="53"/>
  <c r="BK6" i="53"/>
  <c r="BJ6" i="53"/>
  <c r="BI6" i="53"/>
  <c r="BH6" i="53"/>
  <c r="BL5" i="53"/>
  <c r="BK5" i="53"/>
  <c r="BJ5" i="53"/>
  <c r="BI5" i="53"/>
  <c r="BH5" i="53"/>
  <c r="BO56" i="53" l="1"/>
  <c r="BM56" i="53"/>
  <c r="BP56" i="53"/>
  <c r="BJ56" i="53"/>
  <c r="BH56" i="53"/>
  <c r="BI56" i="53"/>
  <c r="BK56" i="53"/>
  <c r="BQ56" i="53" l="1"/>
  <c r="BY357" i="1"/>
  <c r="BX357" i="1"/>
  <c r="BW357" i="1"/>
  <c r="BV357" i="1"/>
  <c r="BY343" i="1"/>
  <c r="BY344" i="1" s="1"/>
  <c r="BX343" i="1"/>
  <c r="BW343" i="1"/>
  <c r="BW344" i="1" s="1"/>
  <c r="BV343" i="1"/>
  <c r="BY342" i="1"/>
  <c r="BX342" i="1"/>
  <c r="BW342" i="1"/>
  <c r="BV342" i="1"/>
  <c r="BY341" i="1"/>
  <c r="BX341" i="1"/>
  <c r="BW341" i="1"/>
  <c r="BV341" i="1"/>
  <c r="BZ340" i="1"/>
  <c r="CE341" i="1" s="1"/>
  <c r="BY102" i="1"/>
  <c r="BX102" i="1"/>
  <c r="BW102" i="1"/>
  <c r="BV102" i="1"/>
  <c r="BZ75" i="1"/>
  <c r="BY564" i="42"/>
  <c r="BX564" i="42"/>
  <c r="BW564" i="42"/>
  <c r="BV564" i="42"/>
  <c r="BZ563" i="42"/>
  <c r="CE564" i="42" s="1"/>
  <c r="BY19" i="42"/>
  <c r="BX19" i="42"/>
  <c r="BW19" i="42"/>
  <c r="BV19" i="42"/>
  <c r="BZ6" i="42"/>
  <c r="BY6" i="42"/>
  <c r="BX6" i="42"/>
  <c r="BW6" i="42"/>
  <c r="BV6" i="42"/>
  <c r="BZ5" i="42"/>
  <c r="BY5" i="42"/>
  <c r="BX5" i="42"/>
  <c r="BW5" i="42"/>
  <c r="BV5" i="42"/>
  <c r="BJ58" i="42"/>
  <c r="BO58" i="42" l="1"/>
  <c r="BO59" i="42" s="1"/>
  <c r="BJ59" i="42"/>
  <c r="BX344" i="1"/>
  <c r="BX16" i="1"/>
  <c r="BW16" i="1"/>
  <c r="BY16" i="1"/>
  <c r="BZ342" i="1"/>
  <c r="BZ102" i="1"/>
  <c r="BZ343" i="1"/>
  <c r="BZ344" i="1" s="1"/>
  <c r="BL32" i="53"/>
  <c r="BZ19" i="42"/>
  <c r="BZ357" i="1"/>
  <c r="BL57" i="53"/>
  <c r="BV16" i="1"/>
  <c r="BH20" i="53" s="1"/>
  <c r="BV344" i="1"/>
  <c r="BK20" i="53" l="1"/>
  <c r="BJ20" i="53"/>
  <c r="BI20" i="53"/>
  <c r="BZ16" i="1"/>
  <c r="BL20" i="53" s="1"/>
  <c r="BJ357" i="1" l="1"/>
  <c r="BJ359" i="1" s="1"/>
  <c r="BJ350" i="1"/>
  <c r="BJ349" i="1"/>
  <c r="BJ348" i="1"/>
  <c r="BJ343" i="1"/>
  <c r="BJ344" i="1" s="1"/>
  <c r="BJ342" i="1"/>
  <c r="BJ341" i="1"/>
  <c r="BJ102" i="1"/>
  <c r="BJ71" i="1"/>
  <c r="BJ69" i="1"/>
  <c r="BO70" i="1" s="1"/>
  <c r="BJ68" i="1"/>
  <c r="BJ65" i="1"/>
  <c r="BJ64" i="1"/>
  <c r="BJ60" i="1"/>
  <c r="BJ61" i="1" s="1"/>
  <c r="BO62" i="1" s="1"/>
  <c r="BJ58" i="1"/>
  <c r="BJ583" i="42"/>
  <c r="BJ564" i="42"/>
  <c r="BJ555" i="42"/>
  <c r="BJ554" i="42"/>
  <c r="BJ484" i="42"/>
  <c r="BJ486" i="42" s="1"/>
  <c r="BJ476" i="42"/>
  <c r="BJ473" i="42"/>
  <c r="BO474" i="42" s="1"/>
  <c r="BJ459" i="42"/>
  <c r="BJ450" i="42"/>
  <c r="BJ449" i="42"/>
  <c r="BJ409" i="42"/>
  <c r="BJ411" i="42" s="1"/>
  <c r="BJ402" i="42"/>
  <c r="BJ406" i="42" s="1"/>
  <c r="BJ395" i="42"/>
  <c r="BJ399" i="42" s="1"/>
  <c r="BJ390" i="42"/>
  <c r="BJ381" i="42"/>
  <c r="BJ380" i="42"/>
  <c r="BI352" i="42"/>
  <c r="BJ340" i="42"/>
  <c r="BJ342" i="42" s="1"/>
  <c r="BJ333" i="42"/>
  <c r="BJ337" i="42" s="1"/>
  <c r="BJ326" i="42"/>
  <c r="BJ330" i="42" s="1"/>
  <c r="BJ321" i="42"/>
  <c r="BJ312" i="42"/>
  <c r="BJ311" i="42"/>
  <c r="BJ271" i="42"/>
  <c r="BJ273" i="42" s="1"/>
  <c r="BJ264" i="42"/>
  <c r="BJ268" i="42" s="1"/>
  <c r="BJ257" i="42"/>
  <c r="BJ261" i="42" s="1"/>
  <c r="BJ252" i="42"/>
  <c r="BJ243" i="42"/>
  <c r="BJ242" i="42"/>
  <c r="BJ202" i="42"/>
  <c r="BJ204" i="42" s="1"/>
  <c r="BJ195" i="42"/>
  <c r="BJ199" i="42" s="1"/>
  <c r="BJ188" i="42"/>
  <c r="BJ192" i="42" s="1"/>
  <c r="BJ183" i="42"/>
  <c r="BJ174" i="42"/>
  <c r="BJ27" i="1" s="1"/>
  <c r="BJ173" i="42"/>
  <c r="BJ26" i="1" s="1"/>
  <c r="BJ167" i="42"/>
  <c r="BJ24" i="1" s="1"/>
  <c r="BJ166" i="42"/>
  <c r="BJ23" i="1" s="1"/>
  <c r="BJ165" i="42"/>
  <c r="BJ22" i="1" s="1"/>
  <c r="BJ164" i="42"/>
  <c r="BJ21" i="1" s="1"/>
  <c r="BJ163" i="42"/>
  <c r="BJ41" i="42"/>
  <c r="BJ43" i="42" s="1"/>
  <c r="BJ34" i="42"/>
  <c r="BJ38" i="42" s="1"/>
  <c r="BJ27" i="42"/>
  <c r="BJ31" i="42" s="1"/>
  <c r="BJ19" i="42"/>
  <c r="BJ16" i="1" s="1"/>
  <c r="BJ18" i="42"/>
  <c r="BJ15" i="1" s="1"/>
  <c r="BJ13" i="42"/>
  <c r="BJ13" i="1" s="1"/>
  <c r="BJ12" i="42"/>
  <c r="BJ12" i="1" s="1"/>
  <c r="BJ11" i="42"/>
  <c r="BJ11" i="1" s="1"/>
  <c r="BJ10" i="42"/>
  <c r="BJ10" i="1" s="1"/>
  <c r="BJ9" i="42"/>
  <c r="BO66" i="1" l="1"/>
  <c r="BJ323" i="42"/>
  <c r="BJ254" i="42"/>
  <c r="BJ185" i="42"/>
  <c r="BJ392" i="42"/>
  <c r="BJ168" i="42"/>
  <c r="BJ175" i="42" s="1"/>
  <c r="BJ20" i="1"/>
  <c r="BJ14" i="42"/>
  <c r="BJ9" i="1"/>
  <c r="BJ351" i="1"/>
  <c r="BJ76" i="1"/>
  <c r="BJ73" i="1"/>
  <c r="BF57" i="53"/>
  <c r="BE57" i="53"/>
  <c r="BD57" i="53"/>
  <c r="BC57" i="53"/>
  <c r="BA57" i="53"/>
  <c r="AZ57" i="53"/>
  <c r="AY57" i="53"/>
  <c r="AX57" i="53"/>
  <c r="AV57" i="53"/>
  <c r="AR57" i="53"/>
  <c r="AM57" i="53"/>
  <c r="AH57" i="53"/>
  <c r="AC57" i="53"/>
  <c r="X57" i="53"/>
  <c r="S57" i="53"/>
  <c r="N57" i="53"/>
  <c r="M57" i="53"/>
  <c r="H57" i="53"/>
  <c r="BJ49" i="42" l="1"/>
  <c r="BJ14" i="1"/>
  <c r="BJ25" i="1"/>
  <c r="BJ20" i="42"/>
  <c r="BJ177" i="42" s="1"/>
  <c r="BJ170" i="42"/>
  <c r="BJ78" i="1"/>
  <c r="BJ82" i="1"/>
  <c r="BJ17" i="1" l="1"/>
  <c r="BJ28" i="1"/>
  <c r="BJ84" i="1"/>
  <c r="BJ86" i="1"/>
  <c r="BJ107" i="1" s="1"/>
  <c r="BJ109" i="1" s="1"/>
  <c r="BJ122" i="1" s="1"/>
  <c r="BJ142" i="1" l="1"/>
  <c r="BJ138" i="1"/>
  <c r="BJ92" i="1"/>
  <c r="BJ103" i="1" s="1"/>
  <c r="BJ94" i="1" l="1"/>
  <c r="BI354" i="42"/>
  <c r="BI414" i="42"/>
  <c r="BI416" i="42" s="1"/>
  <c r="BI421" i="42"/>
  <c r="BI423" i="42" s="1"/>
  <c r="BI345" i="42"/>
  <c r="BI347" i="42" s="1"/>
  <c r="BI276" i="42"/>
  <c r="BI278" i="42" s="1"/>
  <c r="BI283" i="42"/>
  <c r="BI285" i="42" s="1"/>
  <c r="BI207" i="42"/>
  <c r="BI209" i="42" s="1"/>
  <c r="BI212" i="42"/>
  <c r="BI214" i="42" s="1"/>
  <c r="BI46" i="42"/>
  <c r="BI52" i="42"/>
  <c r="BI54" i="42" s="1"/>
  <c r="BI88" i="1"/>
  <c r="AU57" i="53"/>
  <c r="BI48" i="42" l="1"/>
  <c r="BI357" i="1" l="1"/>
  <c r="BI359" i="1" s="1"/>
  <c r="BI350" i="1"/>
  <c r="BI349" i="1"/>
  <c r="BI348" i="1"/>
  <c r="BI343" i="1"/>
  <c r="BI344" i="1" s="1"/>
  <c r="BI342" i="1"/>
  <c r="BI341" i="1"/>
  <c r="BI351" i="1" l="1"/>
  <c r="BI102" i="1" l="1"/>
  <c r="BI71" i="1"/>
  <c r="BI73" i="1" s="1"/>
  <c r="BI69" i="1"/>
  <c r="BN70" i="1" s="1"/>
  <c r="BI68" i="1"/>
  <c r="BI65" i="1"/>
  <c r="BI64" i="1"/>
  <c r="BI60" i="1"/>
  <c r="BI61" i="1" s="1"/>
  <c r="BN62" i="1" s="1"/>
  <c r="BI58" i="1"/>
  <c r="BI583" i="42"/>
  <c r="BI564" i="42"/>
  <c r="BI555" i="42"/>
  <c r="BI554" i="42"/>
  <c r="BI484" i="42"/>
  <c r="BI476" i="42"/>
  <c r="BI473" i="42"/>
  <c r="BN474" i="42" s="1"/>
  <c r="BI459" i="42"/>
  <c r="BI450" i="42"/>
  <c r="BI449" i="42"/>
  <c r="BI409" i="42"/>
  <c r="BI402" i="42"/>
  <c r="BI395" i="42"/>
  <c r="BI390" i="42"/>
  <c r="BI381" i="42"/>
  <c r="BI380" i="42"/>
  <c r="BI340" i="42"/>
  <c r="BI333" i="42"/>
  <c r="BI326" i="42"/>
  <c r="BI321" i="42"/>
  <c r="BI312" i="42"/>
  <c r="BI311" i="42"/>
  <c r="BI271" i="42"/>
  <c r="BI264" i="42"/>
  <c r="BI257" i="42"/>
  <c r="BI252" i="42"/>
  <c r="BI243" i="42"/>
  <c r="BI242" i="42"/>
  <c r="BI202" i="42"/>
  <c r="BI195" i="42"/>
  <c r="BI188" i="42"/>
  <c r="BI183" i="42"/>
  <c r="BI174" i="42"/>
  <c r="BI27" i="1" s="1"/>
  <c r="BI173" i="42"/>
  <c r="BI26" i="1" s="1"/>
  <c r="BI167" i="42"/>
  <c r="BI24" i="1" s="1"/>
  <c r="BI166" i="42"/>
  <c r="BI23" i="1" s="1"/>
  <c r="BI165" i="42"/>
  <c r="BI22" i="1" s="1"/>
  <c r="BI164" i="42"/>
  <c r="BI21" i="1" s="1"/>
  <c r="BI163" i="42"/>
  <c r="BI20" i="1" s="1"/>
  <c r="BI41" i="42"/>
  <c r="BI43" i="42" s="1"/>
  <c r="BI34" i="42"/>
  <c r="BI38" i="42" s="1"/>
  <c r="BI27" i="42"/>
  <c r="BI31" i="42" s="1"/>
  <c r="BI19" i="42"/>
  <c r="BI16" i="1" s="1"/>
  <c r="BI18" i="42"/>
  <c r="BI15" i="1" s="1"/>
  <c r="BI13" i="42"/>
  <c r="BI13" i="1" s="1"/>
  <c r="BI12" i="42"/>
  <c r="BI12" i="1" s="1"/>
  <c r="BI11" i="42"/>
  <c r="BI11" i="1" s="1"/>
  <c r="BI10" i="42"/>
  <c r="BI9" i="42"/>
  <c r="BI9" i="1" s="1"/>
  <c r="BN66" i="1" l="1"/>
  <c r="BI323" i="42"/>
  <c r="BI337" i="42" s="1"/>
  <c r="BI254" i="42"/>
  <c r="BI268" i="42" s="1"/>
  <c r="BI392" i="42"/>
  <c r="BI406" i="42" s="1"/>
  <c r="BI185" i="42"/>
  <c r="BI204" i="42" s="1"/>
  <c r="BI486" i="42"/>
  <c r="BI76" i="1"/>
  <c r="BI78" i="1" s="1"/>
  <c r="BI168" i="42"/>
  <c r="BI25" i="1"/>
  <c r="BI14" i="42"/>
  <c r="BI10" i="1"/>
  <c r="BI49" i="42" l="1"/>
  <c r="BI273" i="42"/>
  <c r="BI330" i="42"/>
  <c r="BI342" i="42"/>
  <c r="BI261" i="42"/>
  <c r="BI399" i="42"/>
  <c r="BI411" i="42"/>
  <c r="BI192" i="42"/>
  <c r="BI199" i="42"/>
  <c r="BI28" i="1"/>
  <c r="BI14" i="1"/>
  <c r="BI82" i="1"/>
  <c r="BI86" i="1" s="1"/>
  <c r="BI107" i="1" s="1"/>
  <c r="BI109" i="1" s="1"/>
  <c r="BI122" i="1" s="1"/>
  <c r="BI170" i="42"/>
  <c r="BI175" i="42"/>
  <c r="BI20" i="42"/>
  <c r="BF26" i="53"/>
  <c r="BE26" i="53"/>
  <c r="BD26" i="53"/>
  <c r="BC26" i="53"/>
  <c r="BA26" i="53"/>
  <c r="AZ26" i="53"/>
  <c r="N26" i="53"/>
  <c r="BI142" i="1" l="1"/>
  <c r="BI138" i="1"/>
  <c r="BI84" i="1"/>
  <c r="BI17" i="1"/>
  <c r="BI92" i="1"/>
  <c r="BI94" i="1" s="1"/>
  <c r="BI177" i="42"/>
  <c r="C6" i="53"/>
  <c r="C5" i="53"/>
  <c r="BI103" i="1" l="1"/>
  <c r="AT57" i="53" l="1"/>
  <c r="BH421" i="42"/>
  <c r="BH423" i="42" s="1"/>
  <c r="BH352" i="42"/>
  <c r="BH354" i="42" s="1"/>
  <c r="BH345" i="42"/>
  <c r="BH347" i="42" s="1"/>
  <c r="BH283" i="42"/>
  <c r="BH285" i="42" s="1"/>
  <c r="BH276" i="42"/>
  <c r="BH278" i="42" s="1"/>
  <c r="BH212" i="42"/>
  <c r="BH214" i="42" s="1"/>
  <c r="BH207" i="42"/>
  <c r="BH209" i="42" s="1"/>
  <c r="BH52" i="42"/>
  <c r="BH54" i="42" s="1"/>
  <c r="BH46" i="42"/>
  <c r="BL271" i="42"/>
  <c r="BL273" i="42" s="1"/>
  <c r="BH69" i="1"/>
  <c r="BG69" i="1"/>
  <c r="BL70" i="1" s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Q69" i="1"/>
  <c r="AP69" i="1"/>
  <c r="AO69" i="1"/>
  <c r="AN69" i="1"/>
  <c r="AL69" i="1"/>
  <c r="AK69" i="1"/>
  <c r="AG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BG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Q65" i="1"/>
  <c r="AP65" i="1"/>
  <c r="AO65" i="1"/>
  <c r="AN65" i="1"/>
  <c r="AL65" i="1"/>
  <c r="AK65" i="1"/>
  <c r="AI65" i="1"/>
  <c r="AG65" i="1"/>
  <c r="AD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BH65" i="1"/>
  <c r="BH350" i="1"/>
  <c r="BH349" i="1"/>
  <c r="BH348" i="1"/>
  <c r="BH60" i="1"/>
  <c r="BH414" i="42"/>
  <c r="BH416" i="42" s="1"/>
  <c r="BH473" i="42"/>
  <c r="BM474" i="42" s="1"/>
  <c r="BH459" i="42"/>
  <c r="BG139" i="42"/>
  <c r="BG137" i="42"/>
  <c r="BG357" i="1"/>
  <c r="BG359" i="1" s="1"/>
  <c r="N63" i="53"/>
  <c r="BE48" i="53"/>
  <c r="BF32" i="53"/>
  <c r="BE32" i="53"/>
  <c r="BD32" i="53"/>
  <c r="BC32" i="53"/>
  <c r="BE19" i="53"/>
  <c r="BD19" i="53"/>
  <c r="BC19" i="53"/>
  <c r="BG6" i="53"/>
  <c r="BF6" i="53"/>
  <c r="BE6" i="53"/>
  <c r="BD6" i="53"/>
  <c r="BC6" i="53"/>
  <c r="BG5" i="53"/>
  <c r="BF5" i="53"/>
  <c r="BE5" i="53"/>
  <c r="BD5" i="53"/>
  <c r="BC5" i="53"/>
  <c r="BG350" i="1"/>
  <c r="BG349" i="1"/>
  <c r="BG348" i="1"/>
  <c r="BG343" i="1"/>
  <c r="BG344" i="1" s="1"/>
  <c r="BG342" i="1"/>
  <c r="BG341" i="1"/>
  <c r="BG71" i="1"/>
  <c r="BG68" i="1"/>
  <c r="AS30" i="53" s="1"/>
  <c r="BG64" i="1"/>
  <c r="BG60" i="1"/>
  <c r="BG133" i="42" s="1"/>
  <c r="BG58" i="1"/>
  <c r="U473" i="42"/>
  <c r="T473" i="42"/>
  <c r="S473" i="42"/>
  <c r="R473" i="42"/>
  <c r="Z473" i="42"/>
  <c r="Y473" i="42"/>
  <c r="X473" i="42"/>
  <c r="W473" i="42"/>
  <c r="AF473" i="42"/>
  <c r="AE473" i="42"/>
  <c r="AD473" i="42"/>
  <c r="AC473" i="42"/>
  <c r="AK473" i="42"/>
  <c r="AJ473" i="42"/>
  <c r="AI473" i="42"/>
  <c r="AH473" i="42"/>
  <c r="AP473" i="42"/>
  <c r="AO473" i="42"/>
  <c r="AN473" i="42"/>
  <c r="AM473" i="42"/>
  <c r="AU473" i="42"/>
  <c r="AT473" i="42"/>
  <c r="AS473" i="42"/>
  <c r="AR473" i="42"/>
  <c r="AZ473" i="42"/>
  <c r="AY473" i="42"/>
  <c r="AX473" i="42"/>
  <c r="AW473" i="42"/>
  <c r="BG473" i="42"/>
  <c r="BL474" i="42" s="1"/>
  <c r="BB473" i="42"/>
  <c r="BE473" i="42"/>
  <c r="BJ474" i="42" s="1"/>
  <c r="BD473" i="42"/>
  <c r="BC473" i="42"/>
  <c r="BG583" i="42"/>
  <c r="BG564" i="42"/>
  <c r="BG555" i="42"/>
  <c r="BG554" i="42"/>
  <c r="BG484" i="42"/>
  <c r="BG459" i="42"/>
  <c r="BG450" i="42"/>
  <c r="BG449" i="42"/>
  <c r="BG421" i="42"/>
  <c r="BG423" i="42" s="1"/>
  <c r="BG414" i="42"/>
  <c r="BG409" i="42"/>
  <c r="BG411" i="42" s="1"/>
  <c r="BG402" i="42"/>
  <c r="BG406" i="42" s="1"/>
  <c r="BG395" i="42"/>
  <c r="BG399" i="42" s="1"/>
  <c r="BG390" i="42"/>
  <c r="BG381" i="42"/>
  <c r="BG380" i="42"/>
  <c r="BG352" i="42"/>
  <c r="BG354" i="42" s="1"/>
  <c r="BG345" i="42"/>
  <c r="BG340" i="42"/>
  <c r="BG342" i="42" s="1"/>
  <c r="BG333" i="42"/>
  <c r="BG337" i="42" s="1"/>
  <c r="BG326" i="42"/>
  <c r="BG330" i="42" s="1"/>
  <c r="BG321" i="42"/>
  <c r="BG312" i="42"/>
  <c r="BG311" i="42"/>
  <c r="BG283" i="42"/>
  <c r="BG285" i="42" s="1"/>
  <c r="BG276" i="42"/>
  <c r="BG278" i="42" s="1"/>
  <c r="BG271" i="42"/>
  <c r="BG273" i="42" s="1"/>
  <c r="BG264" i="42"/>
  <c r="BG268" i="42" s="1"/>
  <c r="BG257" i="42"/>
  <c r="BG261" i="42" s="1"/>
  <c r="BG252" i="42"/>
  <c r="BG243" i="42"/>
  <c r="BG242" i="42"/>
  <c r="BG212" i="42"/>
  <c r="BG214" i="42" s="1"/>
  <c r="BG207" i="42"/>
  <c r="BG209" i="42" s="1"/>
  <c r="BG202" i="42"/>
  <c r="BG204" i="42" s="1"/>
  <c r="BG195" i="42"/>
  <c r="BG199" i="42" s="1"/>
  <c r="BG188" i="42"/>
  <c r="BG192" i="42" s="1"/>
  <c r="BG183" i="42"/>
  <c r="BG174" i="42"/>
  <c r="BG27" i="1" s="1"/>
  <c r="BG173" i="42"/>
  <c r="BG26" i="1" s="1"/>
  <c r="BG167" i="42"/>
  <c r="BG24" i="1" s="1"/>
  <c r="AS37" i="53" s="1"/>
  <c r="BG166" i="42"/>
  <c r="BG23" i="1" s="1"/>
  <c r="BG165" i="42"/>
  <c r="BG164" i="42"/>
  <c r="BG163" i="42"/>
  <c r="BG20" i="1" s="1"/>
  <c r="AS33" i="53" s="1"/>
  <c r="BG52" i="42"/>
  <c r="BG54" i="42" s="1"/>
  <c r="BG46" i="42"/>
  <c r="BG41" i="42"/>
  <c r="BG43" i="42" s="1"/>
  <c r="BG34" i="42"/>
  <c r="BG38" i="42" s="1"/>
  <c r="BG27" i="42"/>
  <c r="BG31" i="42" s="1"/>
  <c r="BG19" i="42"/>
  <c r="BG18" i="42"/>
  <c r="BG15" i="1" s="1"/>
  <c r="BG13" i="42"/>
  <c r="BG13" i="1" s="1"/>
  <c r="AS15" i="53" s="1"/>
  <c r="BG12" i="42"/>
  <c r="BG12" i="1" s="1"/>
  <c r="AS13" i="53" s="1"/>
  <c r="BG11" i="42"/>
  <c r="BG10" i="42"/>
  <c r="BG9" i="42"/>
  <c r="BG9" i="1" s="1"/>
  <c r="AS7" i="53" s="1"/>
  <c r="BE568" i="42"/>
  <c r="BE567" i="42"/>
  <c r="BE566" i="42"/>
  <c r="BE493" i="42"/>
  <c r="BE492" i="42"/>
  <c r="BE491" i="42"/>
  <c r="BE490" i="42"/>
  <c r="BE489" i="42"/>
  <c r="BE488" i="42"/>
  <c r="BE425" i="42"/>
  <c r="BE426" i="42" s="1"/>
  <c r="BE420" i="42"/>
  <c r="BE413" i="42"/>
  <c r="BE405" i="42"/>
  <c r="BE404" i="42"/>
  <c r="BE398" i="42"/>
  <c r="BE397" i="42"/>
  <c r="BE356" i="42"/>
  <c r="BE357" i="42" s="1"/>
  <c r="BE351" i="42"/>
  <c r="BE348" i="42"/>
  <c r="BE344" i="42"/>
  <c r="BE336" i="42"/>
  <c r="BE335" i="42"/>
  <c r="BE329" i="42"/>
  <c r="BE328" i="42"/>
  <c r="BE287" i="42"/>
  <c r="BE288" i="42" s="1"/>
  <c r="BE282" i="42"/>
  <c r="BE279" i="42"/>
  <c r="BE275" i="42"/>
  <c r="BE267" i="42"/>
  <c r="BE266" i="42"/>
  <c r="BE260" i="42"/>
  <c r="BE259" i="42"/>
  <c r="BE198" i="42"/>
  <c r="BE197" i="42"/>
  <c r="BE191" i="42"/>
  <c r="BE190" i="42"/>
  <c r="BE218" i="42"/>
  <c r="BE219" i="42" s="1"/>
  <c r="BE211" i="42"/>
  <c r="BE206" i="42"/>
  <c r="BE140" i="42"/>
  <c r="BE139" i="42"/>
  <c r="BE137" i="42"/>
  <c r="BE58" i="42"/>
  <c r="BE51" i="42"/>
  <c r="BE45" i="42"/>
  <c r="BE37" i="42"/>
  <c r="BE36" i="42"/>
  <c r="BE30" i="42"/>
  <c r="BE29" i="42"/>
  <c r="BS357" i="1"/>
  <c r="BR357" i="1"/>
  <c r="BQ357" i="1"/>
  <c r="BT343" i="1"/>
  <c r="BT344" i="1" s="1"/>
  <c r="BS343" i="1"/>
  <c r="BS344" i="1" s="1"/>
  <c r="BR343" i="1"/>
  <c r="BQ343" i="1"/>
  <c r="BQ344" i="1" s="1"/>
  <c r="BT342" i="1"/>
  <c r="BS342" i="1"/>
  <c r="BR342" i="1"/>
  <c r="BQ342" i="1"/>
  <c r="BT341" i="1"/>
  <c r="BS341" i="1"/>
  <c r="BR341" i="1"/>
  <c r="BQ341" i="1"/>
  <c r="BU340" i="1"/>
  <c r="BZ341" i="1" s="1"/>
  <c r="BU357" i="1"/>
  <c r="BT102" i="1"/>
  <c r="BR102" i="1"/>
  <c r="BQ102" i="1"/>
  <c r="BU75" i="1"/>
  <c r="BG32" i="53" s="1"/>
  <c r="BT564" i="42"/>
  <c r="BR564" i="42"/>
  <c r="BQ564" i="42"/>
  <c r="BZ564" i="42"/>
  <c r="BT19" i="42"/>
  <c r="BR19" i="42"/>
  <c r="BQ19" i="42"/>
  <c r="BU6" i="42"/>
  <c r="BT6" i="42"/>
  <c r="BS6" i="42"/>
  <c r="BR6" i="42"/>
  <c r="BQ6" i="42"/>
  <c r="BU5" i="42"/>
  <c r="BT5" i="42"/>
  <c r="BS5" i="42"/>
  <c r="BR5" i="42"/>
  <c r="BQ5" i="42"/>
  <c r="BE359" i="1"/>
  <c r="BF359" i="1" s="1"/>
  <c r="BE350" i="1"/>
  <c r="BE349" i="1"/>
  <c r="BE348" i="1"/>
  <c r="BF348" i="1" s="1"/>
  <c r="BF88" i="1" s="1"/>
  <c r="BE343" i="1"/>
  <c r="BE344" i="1" s="1"/>
  <c r="BE342" i="1"/>
  <c r="BE341" i="1"/>
  <c r="BE102" i="1"/>
  <c r="BE71" i="1"/>
  <c r="BJ72" i="1" s="1"/>
  <c r="BE68" i="1"/>
  <c r="AQ30" i="53" s="1"/>
  <c r="BE64" i="1"/>
  <c r="AQ28" i="53" s="1"/>
  <c r="BE60" i="1"/>
  <c r="AQ24" i="53" s="1"/>
  <c r="BE58" i="1"/>
  <c r="AQ23" i="53" s="1"/>
  <c r="BE583" i="42"/>
  <c r="BE564" i="42"/>
  <c r="BE555" i="42"/>
  <c r="BE554" i="42"/>
  <c r="BE484" i="42"/>
  <c r="BE476" i="42"/>
  <c r="BE459" i="42"/>
  <c r="BE450" i="42"/>
  <c r="BJ451" i="42" s="1"/>
  <c r="BE449" i="42"/>
  <c r="BE409" i="42"/>
  <c r="BE411" i="42" s="1"/>
  <c r="BE402" i="42"/>
  <c r="BE406" i="42" s="1"/>
  <c r="BE395" i="42"/>
  <c r="BE399" i="42" s="1"/>
  <c r="BE390" i="42"/>
  <c r="BE381" i="42"/>
  <c r="BJ382" i="42" s="1"/>
  <c r="BE380" i="42"/>
  <c r="BE340" i="42"/>
  <c r="BE342" i="42" s="1"/>
  <c r="BE333" i="42"/>
  <c r="BE337" i="42" s="1"/>
  <c r="BE326" i="42"/>
  <c r="BE330" i="42" s="1"/>
  <c r="BE321" i="42"/>
  <c r="BE312" i="42"/>
  <c r="BJ313" i="42" s="1"/>
  <c r="BE311" i="42"/>
  <c r="BD283" i="42"/>
  <c r="BD285" i="42" s="1"/>
  <c r="BE271" i="42"/>
  <c r="BE273" i="42" s="1"/>
  <c r="BE264" i="42"/>
  <c r="BE268" i="42" s="1"/>
  <c r="BE257" i="42"/>
  <c r="BE261" i="42" s="1"/>
  <c r="BE252" i="42"/>
  <c r="BE243" i="42"/>
  <c r="BJ244" i="42" s="1"/>
  <c r="BE242" i="42"/>
  <c r="BE202" i="42"/>
  <c r="BE204" i="42" s="1"/>
  <c r="BE195" i="42"/>
  <c r="BE199" i="42" s="1"/>
  <c r="BE188" i="42"/>
  <c r="BE192" i="42" s="1"/>
  <c r="BE183" i="42"/>
  <c r="BE174" i="42"/>
  <c r="BE27" i="1" s="1"/>
  <c r="AQ40" i="53" s="1"/>
  <c r="BE173" i="42"/>
  <c r="BE26" i="1" s="1"/>
  <c r="AQ39" i="53" s="1"/>
  <c r="BE167" i="42"/>
  <c r="BE166" i="42"/>
  <c r="BE23" i="1" s="1"/>
  <c r="AQ36" i="53" s="1"/>
  <c r="BE165" i="42"/>
  <c r="BE22" i="1" s="1"/>
  <c r="AQ35" i="53" s="1"/>
  <c r="BE164" i="42"/>
  <c r="BE21" i="1" s="1"/>
  <c r="AQ34" i="53" s="1"/>
  <c r="BE163" i="42"/>
  <c r="BE20" i="1" s="1"/>
  <c r="AQ33" i="53" s="1"/>
  <c r="BE41" i="42"/>
  <c r="BE43" i="42" s="1"/>
  <c r="BE34" i="42"/>
  <c r="BE38" i="42" s="1"/>
  <c r="BE27" i="42"/>
  <c r="BE31" i="42" s="1"/>
  <c r="BE19" i="42"/>
  <c r="BE16" i="1" s="1"/>
  <c r="AQ20" i="53" s="1"/>
  <c r="BE18" i="42"/>
  <c r="BE15" i="1" s="1"/>
  <c r="AQ18" i="53" s="1"/>
  <c r="BE13" i="42"/>
  <c r="BE13" i="1" s="1"/>
  <c r="AQ15" i="53" s="1"/>
  <c r="BE12" i="42"/>
  <c r="BE12" i="1" s="1"/>
  <c r="AQ13" i="53" s="1"/>
  <c r="BE11" i="42"/>
  <c r="BE11" i="1" s="1"/>
  <c r="AQ11" i="53" s="1"/>
  <c r="BE10" i="42"/>
  <c r="BE9" i="42"/>
  <c r="BE9" i="1" s="1"/>
  <c r="AQ7" i="53" s="1"/>
  <c r="BB5" i="53"/>
  <c r="BA5" i="53"/>
  <c r="AZ5" i="53"/>
  <c r="AY5" i="53"/>
  <c r="AX5" i="53"/>
  <c r="AW5" i="53"/>
  <c r="AV5" i="53"/>
  <c r="AU5" i="53"/>
  <c r="AT5" i="53"/>
  <c r="AS5" i="53"/>
  <c r="AR5" i="53"/>
  <c r="AQ5" i="53"/>
  <c r="AP5" i="53"/>
  <c r="AO5" i="53"/>
  <c r="AN5" i="53"/>
  <c r="AM5" i="53"/>
  <c r="AL5" i="53"/>
  <c r="AK5" i="53"/>
  <c r="AJ5" i="53"/>
  <c r="AI5" i="53"/>
  <c r="AH5" i="53"/>
  <c r="AG5" i="53"/>
  <c r="AF5" i="53"/>
  <c r="AE5" i="53"/>
  <c r="AD5" i="53"/>
  <c r="AC5" i="53"/>
  <c r="AB5" i="53"/>
  <c r="AA5" i="53"/>
  <c r="Z5" i="53"/>
  <c r="Y5" i="53"/>
  <c r="X5" i="53"/>
  <c r="W5" i="53"/>
  <c r="V5" i="53"/>
  <c r="U5" i="53"/>
  <c r="T5" i="53"/>
  <c r="S5" i="53"/>
  <c r="R5" i="53"/>
  <c r="Q5" i="53"/>
  <c r="P5" i="53"/>
  <c r="O5" i="53"/>
  <c r="N5" i="53"/>
  <c r="M5" i="53"/>
  <c r="L5" i="53"/>
  <c r="K5" i="53"/>
  <c r="J5" i="53"/>
  <c r="I5" i="53"/>
  <c r="H5" i="53"/>
  <c r="G5" i="53"/>
  <c r="F5" i="53"/>
  <c r="E5" i="53"/>
  <c r="D5" i="53"/>
  <c r="N30" i="53"/>
  <c r="G30" i="53"/>
  <c r="F30" i="53"/>
  <c r="E30" i="53"/>
  <c r="D30" i="53"/>
  <c r="N28" i="53"/>
  <c r="G28" i="53"/>
  <c r="F28" i="53"/>
  <c r="E28" i="53"/>
  <c r="D28" i="53"/>
  <c r="AP22" i="53"/>
  <c r="AO22" i="53"/>
  <c r="AN22" i="53"/>
  <c r="AL22" i="53"/>
  <c r="AK22" i="53"/>
  <c r="AJ22" i="53"/>
  <c r="AI22" i="53"/>
  <c r="AG22" i="53"/>
  <c r="AF22" i="53"/>
  <c r="AE22" i="53"/>
  <c r="AD22" i="53"/>
  <c r="AB22" i="53"/>
  <c r="AA22" i="53"/>
  <c r="Z22" i="53"/>
  <c r="Y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L22" i="53"/>
  <c r="K22" i="53"/>
  <c r="J22" i="53"/>
  <c r="I22" i="53"/>
  <c r="H22" i="53"/>
  <c r="G22" i="53"/>
  <c r="F22" i="53"/>
  <c r="E22" i="53"/>
  <c r="BA19" i="53"/>
  <c r="AZ19" i="53"/>
  <c r="AY19" i="53"/>
  <c r="AX19" i="53"/>
  <c r="AV19" i="53"/>
  <c r="AU19" i="53"/>
  <c r="AT19" i="53"/>
  <c r="AS19" i="53"/>
  <c r="AQ19" i="53"/>
  <c r="AP19" i="53"/>
  <c r="AO19" i="53"/>
  <c r="AN19" i="53"/>
  <c r="AL19" i="53"/>
  <c r="AK19" i="53"/>
  <c r="AJ19" i="53"/>
  <c r="AI19" i="53"/>
  <c r="AG19" i="53"/>
  <c r="AF19" i="53"/>
  <c r="AE19" i="53"/>
  <c r="AD19" i="53"/>
  <c r="AB19" i="53"/>
  <c r="AA19" i="53"/>
  <c r="Z19" i="53"/>
  <c r="Y19" i="53"/>
  <c r="W19" i="53"/>
  <c r="V19" i="53"/>
  <c r="U19" i="53"/>
  <c r="T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E19" i="53"/>
  <c r="AP17" i="53"/>
  <c r="AO17" i="53"/>
  <c r="AN17" i="53"/>
  <c r="AM17" i="53"/>
  <c r="AL17" i="53"/>
  <c r="AK17" i="53"/>
  <c r="AJ17" i="53"/>
  <c r="AI17" i="53"/>
  <c r="AH17" i="53"/>
  <c r="AG17" i="53"/>
  <c r="AF17" i="53"/>
  <c r="AE17" i="53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AP14" i="53"/>
  <c r="AO14" i="53"/>
  <c r="AN14" i="53"/>
  <c r="AM14" i="53"/>
  <c r="AL14" i="53"/>
  <c r="AK14" i="53"/>
  <c r="AJ14" i="53"/>
  <c r="AI14" i="53"/>
  <c r="AH14" i="53"/>
  <c r="AG14" i="53"/>
  <c r="AF14" i="53"/>
  <c r="AE14" i="53"/>
  <c r="AD14" i="53"/>
  <c r="AC14" i="53"/>
  <c r="AB14" i="53"/>
  <c r="AA14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E14" i="53"/>
  <c r="AP12" i="53"/>
  <c r="AO12" i="53"/>
  <c r="AN12" i="53"/>
  <c r="AM12" i="53"/>
  <c r="AL12" i="53"/>
  <c r="AK12" i="53"/>
  <c r="AJ12" i="53"/>
  <c r="AI12" i="53"/>
  <c r="AH12" i="53"/>
  <c r="AG12" i="53"/>
  <c r="AF12" i="53"/>
  <c r="AE12" i="53"/>
  <c r="AD12" i="53"/>
  <c r="AC12" i="53"/>
  <c r="AB12" i="53"/>
  <c r="AA12" i="53"/>
  <c r="Z12" i="53"/>
  <c r="Y12" i="53"/>
  <c r="X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AP10" i="53"/>
  <c r="AO10" i="53"/>
  <c r="AN10" i="53"/>
  <c r="AM10" i="53"/>
  <c r="AL10" i="53"/>
  <c r="AK10" i="53"/>
  <c r="AJ10" i="53"/>
  <c r="AI10" i="53"/>
  <c r="AH10" i="53"/>
  <c r="AG10" i="53"/>
  <c r="AF10" i="53"/>
  <c r="AE10" i="53"/>
  <c r="AD10" i="53"/>
  <c r="AC10" i="53"/>
  <c r="AB10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AP8" i="53"/>
  <c r="AO8" i="53"/>
  <c r="AN8" i="53"/>
  <c r="AM8" i="53"/>
  <c r="AL8" i="53"/>
  <c r="AK8" i="53"/>
  <c r="AJ8" i="53"/>
  <c r="AI8" i="53"/>
  <c r="AH8" i="53"/>
  <c r="AG8" i="53"/>
  <c r="AF8" i="53"/>
  <c r="AE8" i="53"/>
  <c r="AD8" i="53"/>
  <c r="AC8" i="53"/>
  <c r="AB8" i="53"/>
  <c r="AA8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L8" i="53"/>
  <c r="K8" i="53"/>
  <c r="J8" i="53"/>
  <c r="I8" i="53"/>
  <c r="H8" i="53"/>
  <c r="G8" i="53"/>
  <c r="F8" i="53"/>
  <c r="E8" i="53"/>
  <c r="D22" i="53"/>
  <c r="D17" i="53"/>
  <c r="D19" i="53"/>
  <c r="D14" i="53"/>
  <c r="D12" i="53"/>
  <c r="D10" i="53"/>
  <c r="D8" i="53"/>
  <c r="AP21" i="53"/>
  <c r="AO21" i="53"/>
  <c r="AN21" i="53"/>
  <c r="AM21" i="53"/>
  <c r="AL21" i="53"/>
  <c r="AK21" i="53"/>
  <c r="AJ21" i="53"/>
  <c r="AI21" i="53"/>
  <c r="AH21" i="53"/>
  <c r="AG21" i="53"/>
  <c r="AF21" i="53"/>
  <c r="AE21" i="53"/>
  <c r="AC21" i="53"/>
  <c r="AB21" i="53"/>
  <c r="AA21" i="53"/>
  <c r="Z21" i="53"/>
  <c r="X21" i="53"/>
  <c r="W21" i="53"/>
  <c r="U21" i="53"/>
  <c r="S21" i="53"/>
  <c r="P21" i="53"/>
  <c r="N21" i="53"/>
  <c r="M21" i="53"/>
  <c r="L21" i="53"/>
  <c r="K21" i="53"/>
  <c r="J21" i="53"/>
  <c r="I21" i="53"/>
  <c r="H21" i="53"/>
  <c r="G21" i="53"/>
  <c r="F21" i="53"/>
  <c r="E21" i="53"/>
  <c r="D21" i="53"/>
  <c r="N42" i="53"/>
  <c r="G42" i="53"/>
  <c r="F42" i="53"/>
  <c r="E42" i="53"/>
  <c r="D42" i="53"/>
  <c r="N62" i="53"/>
  <c r="N61" i="53"/>
  <c r="F61" i="53"/>
  <c r="E61" i="53"/>
  <c r="N60" i="53"/>
  <c r="AP59" i="53"/>
  <c r="AO59" i="53"/>
  <c r="AN59" i="53"/>
  <c r="AM59" i="53"/>
  <c r="AL59" i="53"/>
  <c r="AK59" i="53"/>
  <c r="AJ59" i="53"/>
  <c r="AI59" i="53"/>
  <c r="AH59" i="53"/>
  <c r="AG59" i="53"/>
  <c r="AF59" i="53"/>
  <c r="AE59" i="53"/>
  <c r="AD59" i="53"/>
  <c r="AC59" i="53"/>
  <c r="AB59" i="53"/>
  <c r="AA59" i="53"/>
  <c r="Z59" i="53"/>
  <c r="Y59" i="53"/>
  <c r="X59" i="53"/>
  <c r="W59" i="53"/>
  <c r="V59" i="53"/>
  <c r="U59" i="53"/>
  <c r="T59" i="53"/>
  <c r="S59" i="53"/>
  <c r="R59" i="53"/>
  <c r="Q59" i="53"/>
  <c r="P59" i="53"/>
  <c r="O59" i="53"/>
  <c r="N59" i="53"/>
  <c r="M59" i="53"/>
  <c r="L59" i="53"/>
  <c r="K59" i="53"/>
  <c r="J59" i="53"/>
  <c r="I59" i="53"/>
  <c r="H59" i="53"/>
  <c r="G59" i="53"/>
  <c r="F59" i="53"/>
  <c r="E59" i="53"/>
  <c r="N58" i="53"/>
  <c r="AM56" i="53"/>
  <c r="N56" i="53"/>
  <c r="N55" i="53"/>
  <c r="AP50" i="53"/>
  <c r="AO50" i="53"/>
  <c r="AN50" i="53"/>
  <c r="AM50" i="53"/>
  <c r="AL50" i="53"/>
  <c r="AK50" i="53"/>
  <c r="AJ50" i="53"/>
  <c r="AI50" i="53"/>
  <c r="AH50" i="53"/>
  <c r="AG50" i="53"/>
  <c r="AF50" i="53"/>
  <c r="AE50" i="53"/>
  <c r="AD50" i="53"/>
  <c r="AC50" i="53"/>
  <c r="AB50" i="53"/>
  <c r="AA50" i="53"/>
  <c r="Z50" i="53"/>
  <c r="Y50" i="53"/>
  <c r="W50" i="53"/>
  <c r="V50" i="53"/>
  <c r="U50" i="53"/>
  <c r="T50" i="53"/>
  <c r="S50" i="53"/>
  <c r="R50" i="53"/>
  <c r="Q50" i="53"/>
  <c r="L50" i="53"/>
  <c r="K50" i="53"/>
  <c r="J50" i="53"/>
  <c r="I50" i="53"/>
  <c r="H50" i="53"/>
  <c r="G50" i="53"/>
  <c r="F50" i="53"/>
  <c r="E50" i="53"/>
  <c r="N49" i="53"/>
  <c r="AV48" i="53"/>
  <c r="AU48" i="53"/>
  <c r="N48" i="53"/>
  <c r="AO47" i="53"/>
  <c r="AN47" i="53"/>
  <c r="AL47" i="53"/>
  <c r="AK47" i="53"/>
  <c r="AJ47" i="53"/>
  <c r="AI47" i="53"/>
  <c r="AG47" i="53"/>
  <c r="AF47" i="53"/>
  <c r="AE47" i="53"/>
  <c r="AD47" i="53"/>
  <c r="AB47" i="53"/>
  <c r="AA47" i="53"/>
  <c r="Z47" i="53"/>
  <c r="Y47" i="53"/>
  <c r="X47" i="53"/>
  <c r="W47" i="53"/>
  <c r="V47" i="53"/>
  <c r="U47" i="53"/>
  <c r="T47" i="53"/>
  <c r="S47" i="53"/>
  <c r="R47" i="53"/>
  <c r="Q47" i="53"/>
  <c r="P47" i="53"/>
  <c r="N47" i="53"/>
  <c r="L47" i="53"/>
  <c r="K47" i="53"/>
  <c r="J47" i="53"/>
  <c r="I47" i="53"/>
  <c r="G47" i="53"/>
  <c r="F47" i="53"/>
  <c r="E47" i="53"/>
  <c r="N46" i="53"/>
  <c r="AP45" i="53"/>
  <c r="AO45" i="53"/>
  <c r="AN45" i="53"/>
  <c r="AL45" i="53"/>
  <c r="AK45" i="53"/>
  <c r="AJ45" i="53"/>
  <c r="AI45" i="53"/>
  <c r="AG45" i="53"/>
  <c r="AF45" i="53"/>
  <c r="AE45" i="53"/>
  <c r="AD45" i="53"/>
  <c r="AB45" i="53"/>
  <c r="AA45" i="53"/>
  <c r="Z45" i="53"/>
  <c r="Y45" i="53"/>
  <c r="W45" i="53"/>
  <c r="V45" i="53"/>
  <c r="U45" i="53"/>
  <c r="T45" i="53"/>
  <c r="R45" i="53"/>
  <c r="Q45" i="53"/>
  <c r="P45" i="53"/>
  <c r="O45" i="53"/>
  <c r="N45" i="53"/>
  <c r="L45" i="53"/>
  <c r="K45" i="53"/>
  <c r="J45" i="53"/>
  <c r="I45" i="53"/>
  <c r="G45" i="53"/>
  <c r="F45" i="53"/>
  <c r="E45" i="53"/>
  <c r="N43" i="53"/>
  <c r="N41" i="53"/>
  <c r="BA32" i="53"/>
  <c r="AZ32" i="53"/>
  <c r="AY32" i="53"/>
  <c r="AX32" i="53"/>
  <c r="AV32" i="53"/>
  <c r="AU32" i="53"/>
  <c r="AT32" i="53"/>
  <c r="AS32" i="53"/>
  <c r="AP32" i="53"/>
  <c r="AO32" i="53"/>
  <c r="AN32" i="53"/>
  <c r="AM32" i="53"/>
  <c r="AL32" i="53"/>
  <c r="AK32" i="53"/>
  <c r="AJ32" i="53"/>
  <c r="AI32" i="53"/>
  <c r="AH32" i="53"/>
  <c r="AG32" i="53"/>
  <c r="AF32" i="53"/>
  <c r="AE32" i="53"/>
  <c r="AD32" i="53"/>
  <c r="AC32" i="53"/>
  <c r="AB32" i="53"/>
  <c r="AA32" i="53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G32" i="53"/>
  <c r="F32" i="53"/>
  <c r="E32" i="53"/>
  <c r="N31" i="53"/>
  <c r="AP29" i="53"/>
  <c r="AO29" i="53"/>
  <c r="AN29" i="53"/>
  <c r="AM29" i="53"/>
  <c r="AL29" i="53"/>
  <c r="AK29" i="53"/>
  <c r="AJ29" i="53"/>
  <c r="AI29" i="53"/>
  <c r="AH29" i="53"/>
  <c r="AG29" i="53"/>
  <c r="AF29" i="53"/>
  <c r="AE29" i="53"/>
  <c r="AD29" i="53"/>
  <c r="AC29" i="53"/>
  <c r="AB29" i="53"/>
  <c r="AA29" i="53"/>
  <c r="Z29" i="53"/>
  <c r="Y29" i="53"/>
  <c r="X29" i="53"/>
  <c r="W29" i="53"/>
  <c r="S29" i="53"/>
  <c r="R29" i="53"/>
  <c r="N29" i="53"/>
  <c r="M29" i="53"/>
  <c r="L29" i="53"/>
  <c r="K29" i="53"/>
  <c r="J29" i="53"/>
  <c r="I29" i="53"/>
  <c r="H29" i="53"/>
  <c r="G29" i="53"/>
  <c r="F29" i="53"/>
  <c r="E29" i="53"/>
  <c r="AP27" i="53"/>
  <c r="AO27" i="53"/>
  <c r="AN27" i="53"/>
  <c r="AM27" i="53"/>
  <c r="AL27" i="53"/>
  <c r="AK27" i="53"/>
  <c r="AJ27" i="53"/>
  <c r="AI27" i="53"/>
  <c r="AH27" i="53"/>
  <c r="AG27" i="53"/>
  <c r="AF27" i="53"/>
  <c r="AE27" i="53"/>
  <c r="AD27" i="53"/>
  <c r="AC27" i="53"/>
  <c r="AB27" i="53"/>
  <c r="AA27" i="53"/>
  <c r="Z27" i="53"/>
  <c r="Y27" i="53"/>
  <c r="X27" i="53"/>
  <c r="W27" i="53"/>
  <c r="V27" i="53"/>
  <c r="U27" i="53"/>
  <c r="T27" i="53"/>
  <c r="S27" i="53"/>
  <c r="R27" i="53"/>
  <c r="Q27" i="53"/>
  <c r="P27" i="53"/>
  <c r="N27" i="53"/>
  <c r="M27" i="53"/>
  <c r="L27" i="53"/>
  <c r="K27" i="53"/>
  <c r="J27" i="53"/>
  <c r="I27" i="53"/>
  <c r="H27" i="53"/>
  <c r="G27" i="53"/>
  <c r="F27" i="53"/>
  <c r="E27" i="53"/>
  <c r="N25" i="53"/>
  <c r="N24" i="53"/>
  <c r="N23" i="53"/>
  <c r="G23" i="53"/>
  <c r="F23" i="53"/>
  <c r="E23" i="53"/>
  <c r="D61" i="53"/>
  <c r="D59" i="53"/>
  <c r="D50" i="53"/>
  <c r="D47" i="53"/>
  <c r="D45" i="53"/>
  <c r="D32" i="53"/>
  <c r="D29" i="53"/>
  <c r="D27" i="53"/>
  <c r="D23" i="53"/>
  <c r="BB6" i="53"/>
  <c r="BA6" i="53"/>
  <c r="AZ6" i="53"/>
  <c r="AY6" i="53"/>
  <c r="AX6" i="53"/>
  <c r="AW6" i="53"/>
  <c r="AV6" i="53"/>
  <c r="AU6" i="53"/>
  <c r="AT6" i="53"/>
  <c r="AS6" i="53"/>
  <c r="AR6" i="53"/>
  <c r="AQ6" i="53"/>
  <c r="AP6" i="53"/>
  <c r="AO6" i="53"/>
  <c r="AN6" i="53"/>
  <c r="AM6" i="53"/>
  <c r="AL6" i="53"/>
  <c r="AK6" i="53"/>
  <c r="AJ6" i="53"/>
  <c r="AI6" i="53"/>
  <c r="AH6" i="53"/>
  <c r="AG6" i="53"/>
  <c r="AF6" i="53"/>
  <c r="AE6" i="53"/>
  <c r="AD6" i="53"/>
  <c r="AC6" i="53"/>
  <c r="AB6" i="53"/>
  <c r="AA6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D6" i="53"/>
  <c r="AB133" i="42"/>
  <c r="AB134" i="42" s="1"/>
  <c r="BD132" i="42"/>
  <c r="BC132" i="42"/>
  <c r="BB132" i="42"/>
  <c r="BA132" i="42"/>
  <c r="AZ132" i="42"/>
  <c r="AY132" i="42"/>
  <c r="AX132" i="42"/>
  <c r="AW132" i="42"/>
  <c r="AV132" i="42"/>
  <c r="AU132" i="42"/>
  <c r="AT132" i="42"/>
  <c r="AS132" i="42"/>
  <c r="AR132" i="42"/>
  <c r="AQ132" i="42"/>
  <c r="AP132" i="42"/>
  <c r="AO132" i="42"/>
  <c r="AN132" i="42"/>
  <c r="AM132" i="42"/>
  <c r="AL132" i="42"/>
  <c r="AK132" i="42"/>
  <c r="AJ132" i="42"/>
  <c r="AI132" i="42"/>
  <c r="AH132" i="42"/>
  <c r="AG132" i="42"/>
  <c r="AF132" i="42"/>
  <c r="AE132" i="42"/>
  <c r="AD132" i="42"/>
  <c r="AC132" i="42"/>
  <c r="AA132" i="42"/>
  <c r="Z132" i="42"/>
  <c r="Y132" i="42"/>
  <c r="X132" i="42"/>
  <c r="W132" i="42"/>
  <c r="V132" i="42"/>
  <c r="U132" i="42"/>
  <c r="T132" i="42"/>
  <c r="S132" i="42"/>
  <c r="R132" i="42"/>
  <c r="Q132" i="42"/>
  <c r="P132" i="42"/>
  <c r="O132" i="42"/>
  <c r="N132" i="42"/>
  <c r="M132" i="42"/>
  <c r="L132" i="42"/>
  <c r="K132" i="42"/>
  <c r="J132" i="42"/>
  <c r="I132" i="42"/>
  <c r="H132" i="42"/>
  <c r="G132" i="42"/>
  <c r="F132" i="42"/>
  <c r="E132" i="42"/>
  <c r="D132" i="42"/>
  <c r="AZ493" i="42"/>
  <c r="AZ492" i="42"/>
  <c r="AZ491" i="42"/>
  <c r="AZ490" i="42"/>
  <c r="AZ489" i="42"/>
  <c r="AZ488" i="42"/>
  <c r="AO63" i="53"/>
  <c r="AN63" i="53"/>
  <c r="AM63" i="53"/>
  <c r="AL63" i="53"/>
  <c r="AK63" i="53"/>
  <c r="AJ63" i="53"/>
  <c r="AI63" i="53"/>
  <c r="AH63" i="53"/>
  <c r="AG63" i="53"/>
  <c r="AF63" i="53"/>
  <c r="AE63" i="53"/>
  <c r="AD63" i="53"/>
  <c r="AC63" i="53"/>
  <c r="AB63" i="53"/>
  <c r="AA63" i="53"/>
  <c r="Z63" i="53"/>
  <c r="Y63" i="53"/>
  <c r="X63" i="53"/>
  <c r="W63" i="53"/>
  <c r="V63" i="53"/>
  <c r="U63" i="53"/>
  <c r="T63" i="53"/>
  <c r="S63" i="53"/>
  <c r="R63" i="53"/>
  <c r="Q63" i="53"/>
  <c r="P63" i="53"/>
  <c r="O63" i="53"/>
  <c r="M63" i="53"/>
  <c r="L63" i="53"/>
  <c r="K63" i="53"/>
  <c r="J63" i="53"/>
  <c r="I63" i="53"/>
  <c r="H63" i="53"/>
  <c r="C132" i="42"/>
  <c r="AU14" i="53"/>
  <c r="AT14" i="53"/>
  <c r="AS14" i="53"/>
  <c r="AT12" i="53"/>
  <c r="AS12" i="53"/>
  <c r="AT8" i="53"/>
  <c r="AS8" i="53"/>
  <c r="BD202" i="42"/>
  <c r="BD204" i="42" s="1"/>
  <c r="BC202" i="42"/>
  <c r="BC204" i="42" s="1"/>
  <c r="BB202" i="42"/>
  <c r="BB204" i="42" s="1"/>
  <c r="BD195" i="42"/>
  <c r="BD199" i="42" s="1"/>
  <c r="BC195" i="42"/>
  <c r="BC199" i="42" s="1"/>
  <c r="BB195" i="42"/>
  <c r="BB199" i="42" s="1"/>
  <c r="AU10" i="53"/>
  <c r="AT10" i="53"/>
  <c r="AS10" i="53"/>
  <c r="AQ14" i="53"/>
  <c r="AQ10" i="53"/>
  <c r="AQ12" i="53"/>
  <c r="AQ8" i="53"/>
  <c r="BH41" i="42"/>
  <c r="BH43" i="42" s="1"/>
  <c r="BH333" i="42"/>
  <c r="BF263" i="42"/>
  <c r="BK265" i="42" s="1"/>
  <c r="BH257" i="42"/>
  <c r="BH271" i="42"/>
  <c r="BF394" i="42"/>
  <c r="BK396" i="42" s="1"/>
  <c r="BH188" i="42"/>
  <c r="BH202" i="42"/>
  <c r="AV10" i="53"/>
  <c r="BF401" i="42"/>
  <c r="BH395" i="42"/>
  <c r="BH402" i="42"/>
  <c r="BF408" i="42"/>
  <c r="BK410" i="42" s="1"/>
  <c r="BH340" i="42"/>
  <c r="BF339" i="42"/>
  <c r="BF332" i="42"/>
  <c r="BF325" i="42"/>
  <c r="BH264" i="42"/>
  <c r="BF26" i="42"/>
  <c r="BF40" i="42"/>
  <c r="BH27" i="42"/>
  <c r="BH31" i="42" s="1"/>
  <c r="BF33" i="42"/>
  <c r="BP340" i="1"/>
  <c r="BP342" i="1" s="1"/>
  <c r="BO341" i="1"/>
  <c r="BN341" i="1"/>
  <c r="BM341" i="1"/>
  <c r="BL341" i="1"/>
  <c r="D71" i="1"/>
  <c r="E71" i="1"/>
  <c r="F71" i="1"/>
  <c r="G71" i="1"/>
  <c r="G73" i="1" s="1"/>
  <c r="H71" i="1"/>
  <c r="I71" i="1"/>
  <c r="J71" i="1"/>
  <c r="K71" i="1"/>
  <c r="L71" i="1"/>
  <c r="L73" i="1" s="1"/>
  <c r="M71" i="1"/>
  <c r="M73" i="1" s="1"/>
  <c r="N71" i="1"/>
  <c r="O71" i="1"/>
  <c r="P71" i="1"/>
  <c r="Q71" i="1"/>
  <c r="R71" i="1"/>
  <c r="R73" i="1" s="1"/>
  <c r="S71" i="1"/>
  <c r="S73" i="1" s="1"/>
  <c r="T71" i="1"/>
  <c r="T73" i="1" s="1"/>
  <c r="U71" i="1"/>
  <c r="V71" i="1"/>
  <c r="H31" i="53" s="1"/>
  <c r="W71" i="1"/>
  <c r="X71" i="1"/>
  <c r="X73" i="1" s="1"/>
  <c r="Y71" i="1"/>
  <c r="Y73" i="1" s="1"/>
  <c r="Z71" i="1"/>
  <c r="Z73" i="1" s="1"/>
  <c r="AA71" i="1"/>
  <c r="AF71" i="1"/>
  <c r="AG71" i="1"/>
  <c r="AK71" i="1"/>
  <c r="AK73" i="1" s="1"/>
  <c r="AL71" i="1"/>
  <c r="AM71" i="1"/>
  <c r="Y31" i="53" s="1"/>
  <c r="AN71" i="1"/>
  <c r="AO71" i="1"/>
  <c r="AA31" i="53" s="1"/>
  <c r="AP71" i="1"/>
  <c r="AQ71" i="1"/>
  <c r="AQ73" i="1" s="1"/>
  <c r="AR71" i="1"/>
  <c r="AD31" i="53" s="1"/>
  <c r="AS71" i="1"/>
  <c r="AE31" i="53" s="1"/>
  <c r="AT71" i="1"/>
  <c r="AU71" i="1"/>
  <c r="AU73" i="1" s="1"/>
  <c r="AV71" i="1"/>
  <c r="AW71" i="1"/>
  <c r="AI31" i="53" s="1"/>
  <c r="AX71" i="1"/>
  <c r="AX73" i="1" s="1"/>
  <c r="AY71" i="1"/>
  <c r="AZ71" i="1"/>
  <c r="BA71" i="1"/>
  <c r="AM31" i="53" s="1"/>
  <c r="BB71" i="1"/>
  <c r="BB73" i="1" s="1"/>
  <c r="BC71" i="1"/>
  <c r="BD71" i="1"/>
  <c r="BD68" i="1"/>
  <c r="BC68" i="1"/>
  <c r="AO30" i="53" s="1"/>
  <c r="BB68" i="1"/>
  <c r="AN30" i="53" s="1"/>
  <c r="BA68" i="1"/>
  <c r="AM30" i="53" s="1"/>
  <c r="AZ68" i="1"/>
  <c r="AL30" i="53" s="1"/>
  <c r="AY68" i="1"/>
  <c r="AK30" i="53" s="1"/>
  <c r="AX68" i="1"/>
  <c r="AJ30" i="53" s="1"/>
  <c r="AW68" i="1"/>
  <c r="AI30" i="53" s="1"/>
  <c r="AV68" i="1"/>
  <c r="AH30" i="53" s="1"/>
  <c r="AU68" i="1"/>
  <c r="AG30" i="53" s="1"/>
  <c r="AT68" i="1"/>
  <c r="AF30" i="53" s="1"/>
  <c r="AS68" i="1"/>
  <c r="AE30" i="53" s="1"/>
  <c r="AR68" i="1"/>
  <c r="AD30" i="53" s="1"/>
  <c r="AQ68" i="1"/>
  <c r="AC30" i="53" s="1"/>
  <c r="AP68" i="1"/>
  <c r="AB30" i="53" s="1"/>
  <c r="AL68" i="1"/>
  <c r="X30" i="53" s="1"/>
  <c r="AK68" i="1"/>
  <c r="W30" i="53" s="1"/>
  <c r="AG68" i="1"/>
  <c r="S30" i="53" s="1"/>
  <c r="AF68" i="1"/>
  <c r="R30" i="53" s="1"/>
  <c r="AA68" i="1"/>
  <c r="M30" i="53" s="1"/>
  <c r="Z68" i="1"/>
  <c r="L30" i="53" s="1"/>
  <c r="Y68" i="1"/>
  <c r="K30" i="53" s="1"/>
  <c r="X68" i="1"/>
  <c r="J30" i="53" s="1"/>
  <c r="W68" i="1"/>
  <c r="I30" i="53" s="1"/>
  <c r="V68" i="1"/>
  <c r="H30" i="53" s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AJ67" i="1"/>
  <c r="V29" i="53" s="1"/>
  <c r="AI67" i="1"/>
  <c r="AN68" i="1" s="1"/>
  <c r="Z30" i="53" s="1"/>
  <c r="AH67" i="1"/>
  <c r="AE67" i="1"/>
  <c r="Q29" i="53" s="1"/>
  <c r="AD67" i="1"/>
  <c r="AC67" i="1"/>
  <c r="AC68" i="1" s="1"/>
  <c r="O30" i="53" s="1"/>
  <c r="BD64" i="1"/>
  <c r="BC64" i="1"/>
  <c r="BB64" i="1"/>
  <c r="BA64" i="1"/>
  <c r="AZ64" i="1"/>
  <c r="AY64" i="1"/>
  <c r="AK28" i="53" s="1"/>
  <c r="AX64" i="1"/>
  <c r="AW64" i="1"/>
  <c r="AV64" i="1"/>
  <c r="AH28" i="53" s="1"/>
  <c r="AU64" i="1"/>
  <c r="AT64" i="1"/>
  <c r="AS64" i="1"/>
  <c r="AE28" i="53" s="1"/>
  <c r="AR64" i="1"/>
  <c r="AQ64" i="1"/>
  <c r="AC28" i="53" s="1"/>
  <c r="AP64" i="1"/>
  <c r="AO64" i="1"/>
  <c r="AN64" i="1"/>
  <c r="AM64" i="1"/>
  <c r="AL64" i="1"/>
  <c r="X28" i="53" s="1"/>
  <c r="AK64" i="1"/>
  <c r="W28" i="53" s="1"/>
  <c r="AJ64" i="1"/>
  <c r="AI64" i="1"/>
  <c r="U28" i="53" s="1"/>
  <c r="AG64" i="1"/>
  <c r="S28" i="53" s="1"/>
  <c r="AF64" i="1"/>
  <c r="AE64" i="1"/>
  <c r="AD64" i="1"/>
  <c r="AA64" i="1"/>
  <c r="Z64" i="1"/>
  <c r="L28" i="53" s="1"/>
  <c r="Y64" i="1"/>
  <c r="X64" i="1"/>
  <c r="J28" i="53" s="1"/>
  <c r="W64" i="1"/>
  <c r="V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3" i="1"/>
  <c r="AZ140" i="42"/>
  <c r="AU140" i="42"/>
  <c r="AP140" i="42"/>
  <c r="AK140" i="42"/>
  <c r="AZ139" i="42"/>
  <c r="AU139" i="42"/>
  <c r="AP139" i="42"/>
  <c r="AK139" i="42"/>
  <c r="AZ138" i="42"/>
  <c r="AU138" i="42"/>
  <c r="AP138" i="42"/>
  <c r="AK138" i="42"/>
  <c r="AZ137" i="42"/>
  <c r="AU137" i="42"/>
  <c r="AP137" i="42"/>
  <c r="AZ568" i="42"/>
  <c r="AU568" i="42"/>
  <c r="AZ567" i="42"/>
  <c r="AU567" i="42"/>
  <c r="AZ566" i="42"/>
  <c r="AU566" i="42"/>
  <c r="BD484" i="42"/>
  <c r="BD486" i="42" s="1"/>
  <c r="BC484" i="42"/>
  <c r="BC486" i="42" s="1"/>
  <c r="BB484" i="42"/>
  <c r="BB486" i="42" s="1"/>
  <c r="BH484" i="42"/>
  <c r="BD390" i="42"/>
  <c r="BC390" i="42"/>
  <c r="BC392" i="42" s="1"/>
  <c r="BB390" i="42"/>
  <c r="BB392" i="42" s="1"/>
  <c r="AZ390" i="42"/>
  <c r="AZ392" i="42" s="1"/>
  <c r="AY390" i="42"/>
  <c r="AY392" i="42" s="1"/>
  <c r="AX390" i="42"/>
  <c r="AX392" i="42" s="1"/>
  <c r="AW390" i="42"/>
  <c r="AW392" i="42" s="1"/>
  <c r="BA389" i="42"/>
  <c r="BD333" i="42"/>
  <c r="BD337" i="42" s="1"/>
  <c r="BC333" i="42"/>
  <c r="BC337" i="42" s="1"/>
  <c r="BB333" i="42"/>
  <c r="BB337" i="42" s="1"/>
  <c r="AZ333" i="42"/>
  <c r="AZ337" i="42" s="1"/>
  <c r="AY333" i="42"/>
  <c r="AY337" i="42" s="1"/>
  <c r="AX333" i="42"/>
  <c r="AX337" i="42" s="1"/>
  <c r="AW333" i="42"/>
  <c r="AW337" i="42" s="1"/>
  <c r="BA332" i="42"/>
  <c r="BF334" i="42" s="1"/>
  <c r="AZ329" i="42"/>
  <c r="AZ328" i="42"/>
  <c r="BD326" i="42"/>
  <c r="BD330" i="42" s="1"/>
  <c r="BC326" i="42"/>
  <c r="BC330" i="42" s="1"/>
  <c r="BB326" i="42"/>
  <c r="BB330" i="42" s="1"/>
  <c r="AZ326" i="42"/>
  <c r="AZ330" i="42" s="1"/>
  <c r="AY326" i="42"/>
  <c r="AY330" i="42" s="1"/>
  <c r="AX326" i="42"/>
  <c r="AX330" i="42" s="1"/>
  <c r="AW326" i="42"/>
  <c r="AW330" i="42" s="1"/>
  <c r="BA325" i="42"/>
  <c r="BF327" i="42" s="1"/>
  <c r="BD321" i="42"/>
  <c r="BD323" i="42" s="1"/>
  <c r="BC321" i="42"/>
  <c r="BC323" i="42" s="1"/>
  <c r="BB321" i="42"/>
  <c r="BB323" i="42" s="1"/>
  <c r="AZ321" i="42"/>
  <c r="AZ323" i="42" s="1"/>
  <c r="AY321" i="42"/>
  <c r="AY323" i="42" s="1"/>
  <c r="AX321" i="42"/>
  <c r="AX323" i="42" s="1"/>
  <c r="AW321" i="42"/>
  <c r="AW323" i="42" s="1"/>
  <c r="BA320" i="42"/>
  <c r="BD264" i="42"/>
  <c r="BD268" i="42" s="1"/>
  <c r="BC264" i="42"/>
  <c r="BC268" i="42" s="1"/>
  <c r="BB264" i="42"/>
  <c r="BB268" i="42" s="1"/>
  <c r="AZ264" i="42"/>
  <c r="AZ268" i="42" s="1"/>
  <c r="AY264" i="42"/>
  <c r="AY268" i="42" s="1"/>
  <c r="AX264" i="42"/>
  <c r="AX268" i="42" s="1"/>
  <c r="AW264" i="42"/>
  <c r="AW268" i="42" s="1"/>
  <c r="BA263" i="42"/>
  <c r="BD257" i="42"/>
  <c r="BD261" i="42" s="1"/>
  <c r="BC257" i="42"/>
  <c r="BC261" i="42" s="1"/>
  <c r="BB257" i="42"/>
  <c r="BB261" i="42" s="1"/>
  <c r="AZ257" i="42"/>
  <c r="AZ261" i="42" s="1"/>
  <c r="AY257" i="42"/>
  <c r="AY261" i="42" s="1"/>
  <c r="AX257" i="42"/>
  <c r="AX261" i="42" s="1"/>
  <c r="AW257" i="42"/>
  <c r="AW261" i="42" s="1"/>
  <c r="BA256" i="42"/>
  <c r="BJ100" i="1"/>
  <c r="BE100" i="1"/>
  <c r="BH34" i="42"/>
  <c r="BH38" i="42" s="1"/>
  <c r="BH195" i="42"/>
  <c r="BH390" i="42"/>
  <c r="BH321" i="42"/>
  <c r="BF270" i="42"/>
  <c r="BL484" i="42"/>
  <c r="BF483" i="42"/>
  <c r="BK483" i="42"/>
  <c r="BM484" i="42"/>
  <c r="BF187" i="42"/>
  <c r="BK189" i="42" s="1"/>
  <c r="BF256" i="42"/>
  <c r="BK258" i="42" s="1"/>
  <c r="BF389" i="42"/>
  <c r="BF320" i="42"/>
  <c r="BF201" i="42"/>
  <c r="BK203" i="42" s="1"/>
  <c r="BF194" i="42"/>
  <c r="BK196" i="42" s="1"/>
  <c r="BF251" i="42"/>
  <c r="BK253" i="42" s="1"/>
  <c r="AW10" i="53" s="1"/>
  <c r="BH252" i="42"/>
  <c r="BH409" i="42"/>
  <c r="BH326" i="42"/>
  <c r="BD414" i="42"/>
  <c r="BD416" i="42" s="1"/>
  <c r="BD350" i="1"/>
  <c r="BD349" i="1"/>
  <c r="BD93" i="1"/>
  <c r="BD83" i="1"/>
  <c r="AP47" i="53" s="1"/>
  <c r="AP57" i="53"/>
  <c r="BD88" i="1"/>
  <c r="BD348" i="1" s="1"/>
  <c r="V53" i="1"/>
  <c r="V52" i="1"/>
  <c r="V50" i="1"/>
  <c r="V49" i="1"/>
  <c r="V48" i="1"/>
  <c r="V47" i="1"/>
  <c r="V46" i="1"/>
  <c r="V45" i="1"/>
  <c r="V44" i="1"/>
  <c r="V40" i="1"/>
  <c r="V39" i="1"/>
  <c r="V37" i="1"/>
  <c r="V36" i="1"/>
  <c r="V35" i="1"/>
  <c r="V34" i="1"/>
  <c r="V33" i="1"/>
  <c r="V32" i="1"/>
  <c r="V31" i="1"/>
  <c r="AA53" i="1"/>
  <c r="AA52" i="1"/>
  <c r="AA50" i="1"/>
  <c r="AA49" i="1"/>
  <c r="AA48" i="1"/>
  <c r="AA47" i="1"/>
  <c r="AA46" i="1"/>
  <c r="AA45" i="1"/>
  <c r="AA44" i="1"/>
  <c r="AA40" i="1"/>
  <c r="AA37" i="1"/>
  <c r="AA36" i="1"/>
  <c r="AA35" i="1"/>
  <c r="AA34" i="1"/>
  <c r="AA33" i="1"/>
  <c r="AA32" i="1"/>
  <c r="AA31" i="1"/>
  <c r="AG52" i="1"/>
  <c r="AG26" i="1" s="1"/>
  <c r="S39" i="53" s="1"/>
  <c r="AG50" i="1"/>
  <c r="AG24" i="1" s="1"/>
  <c r="S37" i="53" s="1"/>
  <c r="AG49" i="1"/>
  <c r="AG48" i="1"/>
  <c r="AG47" i="1"/>
  <c r="AG22" i="1" s="1"/>
  <c r="S35" i="53" s="1"/>
  <c r="AG46" i="1"/>
  <c r="AG45" i="1"/>
  <c r="AG44" i="1"/>
  <c r="AG20" i="1" s="1"/>
  <c r="S33" i="53" s="1"/>
  <c r="AG40" i="1"/>
  <c r="AG39" i="1"/>
  <c r="AG37" i="1"/>
  <c r="AG36" i="1"/>
  <c r="AG35" i="1"/>
  <c r="AG34" i="1"/>
  <c r="AG33" i="1"/>
  <c r="AG32" i="1"/>
  <c r="AG31" i="1"/>
  <c r="AL53" i="1"/>
  <c r="AL52" i="1"/>
  <c r="AL50" i="1"/>
  <c r="AL49" i="1"/>
  <c r="AL48" i="1"/>
  <c r="AL47" i="1"/>
  <c r="AL46" i="1"/>
  <c r="AL45" i="1"/>
  <c r="AL44" i="1"/>
  <c r="AL40" i="1"/>
  <c r="AL39" i="1"/>
  <c r="AL37" i="1"/>
  <c r="AL36" i="1"/>
  <c r="AL35" i="1"/>
  <c r="AL34" i="1"/>
  <c r="AL33" i="1"/>
  <c r="AL32" i="1"/>
  <c r="AL31" i="1"/>
  <c r="AQ53" i="1"/>
  <c r="AQ52" i="1"/>
  <c r="AQ50" i="1"/>
  <c r="AQ49" i="1"/>
  <c r="AQ48" i="1"/>
  <c r="AQ47" i="1"/>
  <c r="AQ46" i="1"/>
  <c r="AQ45" i="1"/>
  <c r="AQ44" i="1"/>
  <c r="AQ40" i="1"/>
  <c r="AQ39" i="1"/>
  <c r="AQ37" i="1"/>
  <c r="AQ36" i="1"/>
  <c r="AQ35" i="1"/>
  <c r="AQ34" i="1"/>
  <c r="AQ33" i="1"/>
  <c r="AQ32" i="1"/>
  <c r="AQ31" i="1"/>
  <c r="AV53" i="1"/>
  <c r="AV52" i="1"/>
  <c r="AV50" i="1"/>
  <c r="AV49" i="1"/>
  <c r="AV48" i="1"/>
  <c r="AV47" i="1"/>
  <c r="AV46" i="1"/>
  <c r="AV45" i="1"/>
  <c r="AV44" i="1"/>
  <c r="AV40" i="1"/>
  <c r="AV39" i="1"/>
  <c r="AV37" i="1"/>
  <c r="AV36" i="1"/>
  <c r="AV35" i="1"/>
  <c r="AV34" i="1"/>
  <c r="AV33" i="1"/>
  <c r="AV32" i="1"/>
  <c r="AV31" i="1"/>
  <c r="BA53" i="1"/>
  <c r="BA52" i="1"/>
  <c r="BA50" i="1"/>
  <c r="BA49" i="1"/>
  <c r="BA48" i="1"/>
  <c r="BA47" i="1"/>
  <c r="BA46" i="1"/>
  <c r="BA45" i="1"/>
  <c r="BA44" i="1"/>
  <c r="BA40" i="1"/>
  <c r="BA39" i="1"/>
  <c r="BA37" i="1"/>
  <c r="BA36" i="1"/>
  <c r="BA35" i="1"/>
  <c r="BA34" i="1"/>
  <c r="BA33" i="1"/>
  <c r="BA32" i="1"/>
  <c r="BA31" i="1"/>
  <c r="Q60" i="1"/>
  <c r="P60" i="1"/>
  <c r="P61" i="1" s="1"/>
  <c r="C60" i="1"/>
  <c r="C133" i="42" s="1"/>
  <c r="D60" i="1"/>
  <c r="E60" i="1"/>
  <c r="F60" i="1"/>
  <c r="F133" i="42" s="1"/>
  <c r="G60" i="1"/>
  <c r="H60" i="1"/>
  <c r="H76" i="1" s="1"/>
  <c r="I60" i="1"/>
  <c r="J60" i="1"/>
  <c r="J133" i="42" s="1"/>
  <c r="N60" i="1"/>
  <c r="N61" i="1" s="1"/>
  <c r="M60" i="1"/>
  <c r="L60" i="1"/>
  <c r="K60" i="1"/>
  <c r="K61" i="1" s="1"/>
  <c r="O93" i="1"/>
  <c r="O108" i="1" s="1"/>
  <c r="O60" i="1"/>
  <c r="AC83" i="1"/>
  <c r="AG81" i="1"/>
  <c r="AG295" i="1" s="1"/>
  <c r="AG296" i="1" s="1"/>
  <c r="AO256" i="42"/>
  <c r="AQ256" i="42" s="1"/>
  <c r="Y408" i="42"/>
  <c r="Y401" i="42"/>
  <c r="Y394" i="42"/>
  <c r="AA394" i="42" s="1"/>
  <c r="Y389" i="42"/>
  <c r="R270" i="42"/>
  <c r="W271" i="42" s="1"/>
  <c r="R263" i="42"/>
  <c r="V263" i="42" s="1"/>
  <c r="R256" i="42"/>
  <c r="W257" i="42" s="1"/>
  <c r="AP51" i="42"/>
  <c r="AO251" i="42"/>
  <c r="AN251" i="42"/>
  <c r="AU37" i="42"/>
  <c r="AU36" i="42"/>
  <c r="AZ37" i="42"/>
  <c r="AZ36" i="42"/>
  <c r="AU30" i="42"/>
  <c r="AU29" i="42"/>
  <c r="AZ30" i="42"/>
  <c r="AZ29" i="42"/>
  <c r="AK191" i="42"/>
  <c r="AK190" i="42"/>
  <c r="AP191" i="42"/>
  <c r="AP190" i="42"/>
  <c r="AU191" i="42"/>
  <c r="AU190" i="42"/>
  <c r="AZ191" i="42"/>
  <c r="AZ190" i="42"/>
  <c r="AK198" i="42"/>
  <c r="AP198" i="42"/>
  <c r="AU198" i="42"/>
  <c r="AZ198" i="42"/>
  <c r="AK197" i="42"/>
  <c r="AP197" i="42"/>
  <c r="AZ197" i="42"/>
  <c r="AU197" i="42"/>
  <c r="M56" i="53"/>
  <c r="BD476" i="42"/>
  <c r="AS60" i="1"/>
  <c r="AE24" i="53" s="1"/>
  <c r="AT60" i="1"/>
  <c r="AT61" i="1" s="1"/>
  <c r="AF25" i="53" s="1"/>
  <c r="AU60" i="1"/>
  <c r="AV60" i="1"/>
  <c r="AH24" i="53" s="1"/>
  <c r="BD60" i="1"/>
  <c r="BD58" i="1"/>
  <c r="BD583" i="42"/>
  <c r="BD564" i="42"/>
  <c r="BD555" i="42"/>
  <c r="BI556" i="42" s="1"/>
  <c r="BD554" i="42"/>
  <c r="BD459" i="42"/>
  <c r="BD450" i="42"/>
  <c r="BI451" i="42" s="1"/>
  <c r="BD449" i="42"/>
  <c r="BD421" i="42"/>
  <c r="BD423" i="42" s="1"/>
  <c r="BD409" i="42"/>
  <c r="BD411" i="42" s="1"/>
  <c r="BD402" i="42"/>
  <c r="BD406" i="42" s="1"/>
  <c r="BD395" i="42"/>
  <c r="BD399" i="42" s="1"/>
  <c r="BD381" i="42"/>
  <c r="BI382" i="42" s="1"/>
  <c r="BD380" i="42"/>
  <c r="BD352" i="42"/>
  <c r="BD354" i="42" s="1"/>
  <c r="BD345" i="42"/>
  <c r="BD347" i="42" s="1"/>
  <c r="BD340" i="42"/>
  <c r="BD342" i="42" s="1"/>
  <c r="BD312" i="42"/>
  <c r="BI313" i="42" s="1"/>
  <c r="BD311" i="42"/>
  <c r="BD276" i="42"/>
  <c r="BD278" i="42" s="1"/>
  <c r="BD271" i="42"/>
  <c r="BD273" i="42" s="1"/>
  <c r="BD252" i="42"/>
  <c r="BD243" i="42"/>
  <c r="BI244" i="42" s="1"/>
  <c r="BD242" i="42"/>
  <c r="BD212" i="42"/>
  <c r="BD214" i="42" s="1"/>
  <c r="BD207" i="42"/>
  <c r="BD209" i="42" s="1"/>
  <c r="BD188" i="42"/>
  <c r="BD192" i="42" s="1"/>
  <c r="BD183" i="42"/>
  <c r="BD185" i="42" s="1"/>
  <c r="BD174" i="42"/>
  <c r="BD173" i="42"/>
  <c r="BD167" i="42"/>
  <c r="BD24" i="1" s="1"/>
  <c r="BD166" i="42"/>
  <c r="BD23" i="1" s="1"/>
  <c r="BD165" i="42"/>
  <c r="BD164" i="42"/>
  <c r="BD163" i="42"/>
  <c r="BD52" i="42"/>
  <c r="BD54" i="42" s="1"/>
  <c r="BD46" i="42"/>
  <c r="BD41" i="42"/>
  <c r="BD43" i="42" s="1"/>
  <c r="BD34" i="42"/>
  <c r="BD38" i="42" s="1"/>
  <c r="BD27" i="42"/>
  <c r="BD31" i="42" s="1"/>
  <c r="BD19" i="42"/>
  <c r="BD18" i="42"/>
  <c r="BD13" i="42"/>
  <c r="BD12" i="42"/>
  <c r="BD11" i="42"/>
  <c r="BD10" i="42"/>
  <c r="BD10" i="1" s="1"/>
  <c r="AP9" i="53" s="1"/>
  <c r="BD9" i="42"/>
  <c r="AU25" i="53"/>
  <c r="AV81" i="1"/>
  <c r="AV295" i="1" s="1"/>
  <c r="AV296" i="1" s="1"/>
  <c r="BD343" i="1"/>
  <c r="BD344" i="1" s="1"/>
  <c r="P340" i="1"/>
  <c r="P342" i="1" s="1"/>
  <c r="Q340" i="1"/>
  <c r="R340" i="1"/>
  <c r="V340" i="1"/>
  <c r="V102" i="1" s="1"/>
  <c r="S340" i="1"/>
  <c r="S102" i="1" s="1"/>
  <c r="T340" i="1"/>
  <c r="T102" i="1" s="1"/>
  <c r="U340" i="1"/>
  <c r="W340" i="1"/>
  <c r="W102" i="1" s="1"/>
  <c r="X340" i="1"/>
  <c r="Y340" i="1"/>
  <c r="Z340" i="1"/>
  <c r="AC340" i="1"/>
  <c r="AC342" i="1" s="1"/>
  <c r="AD340" i="1"/>
  <c r="AE343" i="1" s="1"/>
  <c r="AE340" i="1"/>
  <c r="AF340" i="1"/>
  <c r="AK340" i="1"/>
  <c r="AK342" i="1" s="1"/>
  <c r="AJ340" i="1"/>
  <c r="AI340" i="1"/>
  <c r="AI102" i="1" s="1"/>
  <c r="AH340" i="1"/>
  <c r="AP340" i="1"/>
  <c r="AP102" i="1" s="1"/>
  <c r="AO340" i="1"/>
  <c r="AO342" i="1" s="1"/>
  <c r="AN340" i="1"/>
  <c r="AS341" i="1" s="1"/>
  <c r="AM340" i="1"/>
  <c r="AM102" i="1" s="1"/>
  <c r="AU102" i="1"/>
  <c r="AT102" i="1"/>
  <c r="AS102" i="1"/>
  <c r="AR102" i="1"/>
  <c r="AZ102" i="1"/>
  <c r="AY102" i="1"/>
  <c r="AX102" i="1"/>
  <c r="AW102" i="1"/>
  <c r="BD102" i="1"/>
  <c r="BC102" i="1"/>
  <c r="BB102" i="1"/>
  <c r="BH102" i="1"/>
  <c r="BG102" i="1"/>
  <c r="AV340" i="1"/>
  <c r="AV342" i="1" s="1"/>
  <c r="BA340" i="1"/>
  <c r="BF340" i="1"/>
  <c r="BF102" i="1" s="1"/>
  <c r="BO102" i="1"/>
  <c r="BO343" i="1"/>
  <c r="BO344" i="1" s="1"/>
  <c r="BN343" i="1"/>
  <c r="BN344" i="1" s="1"/>
  <c r="BL102" i="1"/>
  <c r="AU343" i="1"/>
  <c r="AU344" i="1" s="1"/>
  <c r="AT343" i="1"/>
  <c r="AS343" i="1"/>
  <c r="AS344" i="1" s="1"/>
  <c r="AZ343" i="1"/>
  <c r="AZ344" i="1" s="1"/>
  <c r="AY343" i="1"/>
  <c r="AX343" i="1"/>
  <c r="AX344" i="1" s="1"/>
  <c r="AW343" i="1"/>
  <c r="AW344" i="1" s="1"/>
  <c r="BC343" i="1"/>
  <c r="BB343" i="1"/>
  <c r="BB344" i="1" s="1"/>
  <c r="BH343" i="1"/>
  <c r="BH344" i="1" s="1"/>
  <c r="BL343" i="1"/>
  <c r="BL344" i="1" s="1"/>
  <c r="BH341" i="1"/>
  <c r="BD341" i="1"/>
  <c r="BC341" i="1"/>
  <c r="BB341" i="1"/>
  <c r="AZ341" i="1"/>
  <c r="AY341" i="1"/>
  <c r="AX341" i="1"/>
  <c r="AW341" i="1"/>
  <c r="BK340" i="1"/>
  <c r="BK102" i="1" s="1"/>
  <c r="AZ342" i="1"/>
  <c r="AY342" i="1"/>
  <c r="AX342" i="1"/>
  <c r="AW342" i="1"/>
  <c r="AU342" i="1"/>
  <c r="AT342" i="1"/>
  <c r="AS342" i="1"/>
  <c r="AR342" i="1"/>
  <c r="BH342" i="1"/>
  <c r="BD342" i="1"/>
  <c r="BC342" i="1"/>
  <c r="BB342" i="1"/>
  <c r="O340" i="1"/>
  <c r="O342" i="1" s="1"/>
  <c r="N340" i="1"/>
  <c r="N342" i="1" s="1"/>
  <c r="M340" i="1"/>
  <c r="M342" i="1" s="1"/>
  <c r="L340" i="1"/>
  <c r="L342" i="1" s="1"/>
  <c r="K340" i="1"/>
  <c r="K342" i="1" s="1"/>
  <c r="J340" i="1"/>
  <c r="J342" i="1" s="1"/>
  <c r="I340" i="1"/>
  <c r="I342" i="1" s="1"/>
  <c r="H340" i="1"/>
  <c r="H342" i="1" s="1"/>
  <c r="G340" i="1"/>
  <c r="G342" i="1" s="1"/>
  <c r="F340" i="1"/>
  <c r="F342" i="1" s="1"/>
  <c r="E340" i="1"/>
  <c r="E342" i="1" s="1"/>
  <c r="D340" i="1"/>
  <c r="D342" i="1" s="1"/>
  <c r="C340" i="1"/>
  <c r="C342" i="1" s="1"/>
  <c r="O19" i="42"/>
  <c r="N19" i="42"/>
  <c r="M19" i="42"/>
  <c r="L19" i="42"/>
  <c r="K19" i="42"/>
  <c r="J19" i="42"/>
  <c r="I19" i="42"/>
  <c r="H19" i="42"/>
  <c r="G19" i="42"/>
  <c r="F19" i="42"/>
  <c r="E19" i="42"/>
  <c r="D19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C19" i="42"/>
  <c r="C18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C14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O11" i="42"/>
  <c r="M11" i="42"/>
  <c r="L11" i="42"/>
  <c r="K11" i="42"/>
  <c r="J11" i="42"/>
  <c r="I11" i="42"/>
  <c r="H11" i="42"/>
  <c r="G11" i="42"/>
  <c r="F11" i="42"/>
  <c r="E11" i="42"/>
  <c r="D11" i="42"/>
  <c r="C11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BP6" i="42"/>
  <c r="BO6" i="42"/>
  <c r="BN6" i="42"/>
  <c r="BM6" i="42"/>
  <c r="BL6" i="42"/>
  <c r="BK6" i="42"/>
  <c r="BJ6" i="42"/>
  <c r="BI6" i="42"/>
  <c r="BH6" i="42"/>
  <c r="BG6" i="42"/>
  <c r="BF6" i="42"/>
  <c r="BE6" i="42"/>
  <c r="BD6" i="42"/>
  <c r="BC6" i="42"/>
  <c r="BB6" i="42"/>
  <c r="BA6" i="42"/>
  <c r="AZ6" i="42"/>
  <c r="AY6" i="42"/>
  <c r="AX6" i="42"/>
  <c r="AW6" i="42"/>
  <c r="AV6" i="42"/>
  <c r="AU6" i="42"/>
  <c r="AT6" i="42"/>
  <c r="AS6" i="42"/>
  <c r="AR6" i="42"/>
  <c r="AQ6" i="42"/>
  <c r="AP6" i="42"/>
  <c r="AO6" i="42"/>
  <c r="AN6" i="42"/>
  <c r="AM6" i="42"/>
  <c r="AL6" i="42"/>
  <c r="AK6" i="42"/>
  <c r="AJ6" i="42"/>
  <c r="AI6" i="42"/>
  <c r="AH6" i="42"/>
  <c r="AG6" i="42"/>
  <c r="AF6" i="42"/>
  <c r="AE6" i="42"/>
  <c r="AD6" i="42"/>
  <c r="AC6" i="42"/>
  <c r="AB6" i="42"/>
  <c r="AA6" i="42"/>
  <c r="Z6" i="42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H6" i="42"/>
  <c r="G6" i="42"/>
  <c r="F6" i="42"/>
  <c r="E6" i="42"/>
  <c r="D6" i="42"/>
  <c r="BP5" i="42"/>
  <c r="BO5" i="42"/>
  <c r="BN5" i="42"/>
  <c r="BM5" i="42"/>
  <c r="BL5" i="42"/>
  <c r="BK5" i="42"/>
  <c r="BJ5" i="42"/>
  <c r="BI5" i="42"/>
  <c r="BH5" i="42"/>
  <c r="BG5" i="42"/>
  <c r="BF5" i="42"/>
  <c r="BE5" i="42"/>
  <c r="BD5" i="42"/>
  <c r="BC5" i="42"/>
  <c r="BB5" i="42"/>
  <c r="BA5" i="42"/>
  <c r="AZ5" i="42"/>
  <c r="AY5" i="42"/>
  <c r="AX5" i="42"/>
  <c r="AW5" i="42"/>
  <c r="AV5" i="42"/>
  <c r="AU5" i="42"/>
  <c r="AT5" i="42"/>
  <c r="AS5" i="42"/>
  <c r="AR5" i="42"/>
  <c r="AQ5" i="42"/>
  <c r="AP5" i="42"/>
  <c r="AO5" i="42"/>
  <c r="AN5" i="42"/>
  <c r="AM5" i="42"/>
  <c r="AL5" i="42"/>
  <c r="AK5" i="42"/>
  <c r="AJ5" i="42"/>
  <c r="AI5" i="42"/>
  <c r="AH5" i="42"/>
  <c r="AG5" i="42"/>
  <c r="AF5" i="42"/>
  <c r="AE5" i="42"/>
  <c r="AD5" i="42"/>
  <c r="AC5" i="42"/>
  <c r="AB5" i="42"/>
  <c r="AA5" i="42"/>
  <c r="Z5" i="42"/>
  <c r="Y5" i="42"/>
  <c r="X5" i="42"/>
  <c r="W5" i="42"/>
  <c r="V5" i="42"/>
  <c r="U5" i="42"/>
  <c r="T5" i="42"/>
  <c r="S5" i="42"/>
  <c r="R5" i="42"/>
  <c r="Q5" i="42"/>
  <c r="P5" i="42"/>
  <c r="O5" i="42"/>
  <c r="N5" i="42"/>
  <c r="M5" i="42"/>
  <c r="L5" i="42"/>
  <c r="K5" i="42"/>
  <c r="J5" i="42"/>
  <c r="I5" i="42"/>
  <c r="H5" i="42"/>
  <c r="G5" i="42"/>
  <c r="F5" i="42"/>
  <c r="E5" i="42"/>
  <c r="D5" i="42"/>
  <c r="C6" i="42"/>
  <c r="C5" i="42"/>
  <c r="BM102" i="1"/>
  <c r="BN102" i="1"/>
  <c r="AZ100" i="1"/>
  <c r="AY100" i="1"/>
  <c r="AX100" i="1"/>
  <c r="AW100" i="1"/>
  <c r="AU100" i="1"/>
  <c r="AT100" i="1"/>
  <c r="AS100" i="1"/>
  <c r="AR100" i="1"/>
  <c r="AP100" i="1"/>
  <c r="AO100" i="1"/>
  <c r="AN100" i="1"/>
  <c r="AM100" i="1"/>
  <c r="AK100" i="1"/>
  <c r="AJ100" i="1"/>
  <c r="AI100" i="1"/>
  <c r="AH100" i="1"/>
  <c r="AF100" i="1"/>
  <c r="AE100" i="1"/>
  <c r="AD100" i="1"/>
  <c r="AC100" i="1"/>
  <c r="Z100" i="1"/>
  <c r="Y100" i="1"/>
  <c r="X100" i="1"/>
  <c r="W100" i="1"/>
  <c r="U100" i="1"/>
  <c r="T100" i="1"/>
  <c r="S100" i="1"/>
  <c r="R100" i="1"/>
  <c r="BA355" i="1"/>
  <c r="AV355" i="1"/>
  <c r="AQ355" i="1"/>
  <c r="AL355" i="1"/>
  <c r="AG355" i="1"/>
  <c r="AA354" i="1"/>
  <c r="AA355" i="1" s="1"/>
  <c r="V354" i="1"/>
  <c r="V353" i="1"/>
  <c r="AX358" i="1"/>
  <c r="AV358" i="1"/>
  <c r="AQ358" i="1"/>
  <c r="AL358" i="1"/>
  <c r="AD358" i="1"/>
  <c r="AC358" i="1"/>
  <c r="Z358" i="1"/>
  <c r="W358" i="1"/>
  <c r="BA359" i="1"/>
  <c r="AV359" i="1"/>
  <c r="AQ359" i="1"/>
  <c r="AL359" i="1"/>
  <c r="AG359" i="1"/>
  <c r="AA359" i="1"/>
  <c r="AB359" i="1" s="1"/>
  <c r="V359" i="1"/>
  <c r="V93" i="1"/>
  <c r="V108" i="1" s="1"/>
  <c r="AQ93" i="1"/>
  <c r="AQ108" i="1" s="1"/>
  <c r="AV93" i="1"/>
  <c r="AV108" i="1" s="1"/>
  <c r="BA93" i="1"/>
  <c r="BA108" i="1" s="1"/>
  <c r="AC57" i="1"/>
  <c r="W39" i="1"/>
  <c r="AA39" i="1" s="1"/>
  <c r="Z60" i="1"/>
  <c r="Y60" i="1"/>
  <c r="K24" i="53" s="1"/>
  <c r="X60" i="1"/>
  <c r="X61" i="1" s="1"/>
  <c r="J25" i="53" s="1"/>
  <c r="W60" i="1"/>
  <c r="U60" i="1"/>
  <c r="T60" i="1"/>
  <c r="S60" i="1"/>
  <c r="BB88" i="1"/>
  <c r="AL90" i="1"/>
  <c r="AL236" i="1" s="1"/>
  <c r="AL89" i="1"/>
  <c r="BN357" i="1"/>
  <c r="BN359" i="1" s="1"/>
  <c r="BM357" i="1"/>
  <c r="BM359" i="1" s="1"/>
  <c r="BL357" i="1"/>
  <c r="BL359" i="1" s="1"/>
  <c r="BH357" i="1"/>
  <c r="BH359" i="1" s="1"/>
  <c r="BA357" i="1"/>
  <c r="AV357" i="1"/>
  <c r="AQ357" i="1"/>
  <c r="AL357" i="1"/>
  <c r="AG357" i="1"/>
  <c r="AA357" i="1"/>
  <c r="AB357" i="1" s="1"/>
  <c r="V357" i="1"/>
  <c r="Q357" i="1"/>
  <c r="Q358" i="1" s="1"/>
  <c r="P357" i="1"/>
  <c r="P358" i="1" s="1"/>
  <c r="O357" i="1"/>
  <c r="O358" i="1" s="1"/>
  <c r="M357" i="1"/>
  <c r="M358" i="1" s="1"/>
  <c r="L357" i="1"/>
  <c r="L358" i="1" s="1"/>
  <c r="K357" i="1"/>
  <c r="K358" i="1" s="1"/>
  <c r="J357" i="1"/>
  <c r="J358" i="1" s="1"/>
  <c r="I357" i="1"/>
  <c r="I358" i="1" s="1"/>
  <c r="H357" i="1"/>
  <c r="H358" i="1" s="1"/>
  <c r="G357" i="1"/>
  <c r="G358" i="1" s="1"/>
  <c r="F357" i="1"/>
  <c r="F358" i="1" s="1"/>
  <c r="E357" i="1"/>
  <c r="E358" i="1" s="1"/>
  <c r="D357" i="1"/>
  <c r="D358" i="1" s="1"/>
  <c r="C357" i="1"/>
  <c r="C358" i="1" s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K350" i="1"/>
  <c r="AJ350" i="1"/>
  <c r="AI350" i="1"/>
  <c r="AH350" i="1"/>
  <c r="AG350" i="1"/>
  <c r="AF350" i="1"/>
  <c r="AE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K349" i="1"/>
  <c r="AJ349" i="1"/>
  <c r="AI349" i="1"/>
  <c r="AH349" i="1"/>
  <c r="AF349" i="1"/>
  <c r="AE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BC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A348" i="1"/>
  <c r="Z348" i="1"/>
  <c r="Y348" i="1"/>
  <c r="X348" i="1"/>
  <c r="W348" i="1"/>
  <c r="V348" i="1"/>
  <c r="U348" i="1"/>
  <c r="T348" i="1"/>
  <c r="S348" i="1"/>
  <c r="R348" i="1"/>
  <c r="Q348" i="1"/>
  <c r="C350" i="1"/>
  <c r="C349" i="1"/>
  <c r="BF358" i="1"/>
  <c r="BF355" i="1"/>
  <c r="AS50" i="53"/>
  <c r="AQ50" i="53"/>
  <c r="AT50" i="53"/>
  <c r="AL60" i="1"/>
  <c r="AL61" i="1" s="1"/>
  <c r="X25" i="53" s="1"/>
  <c r="AG60" i="1"/>
  <c r="AA60" i="1"/>
  <c r="AA133" i="42" s="1"/>
  <c r="V60" i="1"/>
  <c r="BA60" i="1"/>
  <c r="AQ60" i="1"/>
  <c r="BC58" i="1"/>
  <c r="AO23" i="53" s="1"/>
  <c r="BB58" i="1"/>
  <c r="AN23" i="53" s="1"/>
  <c r="BA58" i="1"/>
  <c r="AZ58" i="1"/>
  <c r="AY58" i="1"/>
  <c r="AX58" i="1"/>
  <c r="AV58" i="1"/>
  <c r="AU58" i="1"/>
  <c r="AT58" i="1"/>
  <c r="AS58" i="1"/>
  <c r="AE23" i="53" s="1"/>
  <c r="AQ58" i="1"/>
  <c r="AP58" i="1"/>
  <c r="AN58" i="1"/>
  <c r="Z23" i="53" s="1"/>
  <c r="AL58" i="1"/>
  <c r="AG58" i="1"/>
  <c r="AA58" i="1"/>
  <c r="V58" i="1"/>
  <c r="H23" i="53" s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V81" i="1"/>
  <c r="V295" i="1" s="1"/>
  <c r="V296" i="1" s="1"/>
  <c r="AA81" i="1"/>
  <c r="AA295" i="1" s="1"/>
  <c r="AA296" i="1" s="1"/>
  <c r="AL81" i="1"/>
  <c r="AL295" i="1" s="1"/>
  <c r="AL296" i="1" s="1"/>
  <c r="AQ81" i="1"/>
  <c r="AQ295" i="1" s="1"/>
  <c r="AQ296" i="1" s="1"/>
  <c r="BA81" i="1"/>
  <c r="BA295" i="1" s="1"/>
  <c r="BA296" i="1" s="1"/>
  <c r="V83" i="1"/>
  <c r="AA83" i="1"/>
  <c r="AQ83" i="1"/>
  <c r="AV83" i="1"/>
  <c r="BA83" i="1"/>
  <c r="C73" i="1"/>
  <c r="BP75" i="1"/>
  <c r="BK75" i="1"/>
  <c r="AL60" i="53"/>
  <c r="BC357" i="1"/>
  <c r="AY357" i="1"/>
  <c r="AW357" i="1"/>
  <c r="AU357" i="1"/>
  <c r="AF56" i="53"/>
  <c r="AP357" i="1"/>
  <c r="AO357" i="1"/>
  <c r="AN357" i="1"/>
  <c r="AK357" i="1"/>
  <c r="AJ357" i="1"/>
  <c r="AH357" i="1"/>
  <c r="T56" i="53"/>
  <c r="AD357" i="1"/>
  <c r="AC357" i="1"/>
  <c r="O56" i="53"/>
  <c r="Y357" i="1"/>
  <c r="X357" i="1"/>
  <c r="W357" i="1"/>
  <c r="S357" i="1"/>
  <c r="S358" i="1" s="1"/>
  <c r="BF357" i="1"/>
  <c r="BF81" i="1"/>
  <c r="BF295" i="1" s="1"/>
  <c r="BF296" i="1" s="1"/>
  <c r="AQ45" i="53"/>
  <c r="BF75" i="1"/>
  <c r="AQ32" i="53"/>
  <c r="AS45" i="53"/>
  <c r="AT45" i="53"/>
  <c r="AF93" i="1"/>
  <c r="AE93" i="1"/>
  <c r="AD90" i="1"/>
  <c r="AD236" i="1" s="1"/>
  <c r="AD89" i="1"/>
  <c r="AC90" i="1"/>
  <c r="AC236" i="1" s="1"/>
  <c r="AC89" i="1"/>
  <c r="AZ60" i="1"/>
  <c r="AP60" i="1"/>
  <c r="AP61" i="1" s="1"/>
  <c r="AK60" i="1"/>
  <c r="AY60" i="1"/>
  <c r="AO60" i="1"/>
  <c r="AA24" i="53" s="1"/>
  <c r="Y58" i="1"/>
  <c r="Z58" i="1"/>
  <c r="L23" i="53" s="1"/>
  <c r="BC60" i="1"/>
  <c r="AX60" i="1"/>
  <c r="AJ24" i="53" s="1"/>
  <c r="AN60" i="1"/>
  <c r="AN61" i="1" s="1"/>
  <c r="AI60" i="1"/>
  <c r="BB60" i="1"/>
  <c r="AW60" i="1"/>
  <c r="AZ51" i="1"/>
  <c r="AZ54" i="1" s="1"/>
  <c r="AU51" i="1"/>
  <c r="AU54" i="1" s="1"/>
  <c r="AP51" i="1"/>
  <c r="AP54" i="1" s="1"/>
  <c r="AK51" i="1"/>
  <c r="AK54" i="1" s="1"/>
  <c r="AY51" i="1"/>
  <c r="AY54" i="1" s="1"/>
  <c r="AT51" i="1"/>
  <c r="AT54" i="1" s="1"/>
  <c r="AO51" i="1"/>
  <c r="AO54" i="1" s="1"/>
  <c r="AJ51" i="1"/>
  <c r="AJ54" i="1" s="1"/>
  <c r="AX51" i="1"/>
  <c r="AX54" i="1" s="1"/>
  <c r="AS51" i="1"/>
  <c r="AS54" i="1" s="1"/>
  <c r="AN51" i="1"/>
  <c r="AN54" i="1" s="1"/>
  <c r="AI51" i="1"/>
  <c r="AI54" i="1" s="1"/>
  <c r="AW51" i="1"/>
  <c r="AW54" i="1" s="1"/>
  <c r="AR51" i="1"/>
  <c r="AR54" i="1" s="1"/>
  <c r="AM51" i="1"/>
  <c r="AH51" i="1"/>
  <c r="AH54" i="1" s="1"/>
  <c r="X58" i="1"/>
  <c r="W58" i="1"/>
  <c r="AD58" i="1"/>
  <c r="AI58" i="1"/>
  <c r="Y38" i="1"/>
  <c r="Y41" i="1" s="1"/>
  <c r="AE38" i="1"/>
  <c r="AE41" i="1" s="1"/>
  <c r="AE57" i="1" s="1"/>
  <c r="AF38" i="1"/>
  <c r="AF41" i="1" s="1"/>
  <c r="AF57" i="1" s="1"/>
  <c r="Z51" i="1"/>
  <c r="Z54" i="1" s="1"/>
  <c r="AD51" i="1"/>
  <c r="R60" i="1"/>
  <c r="AD60" i="1"/>
  <c r="R51" i="1"/>
  <c r="R54" i="1" s="1"/>
  <c r="W51" i="1"/>
  <c r="W54" i="1" s="1"/>
  <c r="AC51" i="1"/>
  <c r="Z38" i="1"/>
  <c r="Z41" i="1" s="1"/>
  <c r="X38" i="1"/>
  <c r="X41" i="1" s="1"/>
  <c r="AD38" i="1"/>
  <c r="AD41" i="1" s="1"/>
  <c r="S51" i="1"/>
  <c r="S54" i="1" s="1"/>
  <c r="T51" i="1"/>
  <c r="T54" i="1" s="1"/>
  <c r="U51" i="1"/>
  <c r="U54" i="1" s="1"/>
  <c r="AF51" i="1"/>
  <c r="AE51" i="1"/>
  <c r="X51" i="1"/>
  <c r="X54" i="1" s="1"/>
  <c r="Y51" i="1"/>
  <c r="W38" i="1"/>
  <c r="AC38" i="1"/>
  <c r="AC41" i="1" s="1"/>
  <c r="AZ38" i="1"/>
  <c r="AZ41" i="1" s="1"/>
  <c r="AU38" i="1"/>
  <c r="AU41" i="1" s="1"/>
  <c r="AP38" i="1"/>
  <c r="AP41" i="1" s="1"/>
  <c r="AK38" i="1"/>
  <c r="AK41" i="1" s="1"/>
  <c r="AY38" i="1"/>
  <c r="AT38" i="1"/>
  <c r="AT41" i="1" s="1"/>
  <c r="AO38" i="1"/>
  <c r="AO41" i="1" s="1"/>
  <c r="AJ38" i="1"/>
  <c r="AJ41" i="1" s="1"/>
  <c r="AJ57" i="1" s="1"/>
  <c r="AX38" i="1"/>
  <c r="AX41" i="1" s="1"/>
  <c r="AS38" i="1"/>
  <c r="AS41" i="1" s="1"/>
  <c r="AN38" i="1"/>
  <c r="AN41" i="1" s="1"/>
  <c r="AI38" i="1"/>
  <c r="AI41" i="1" s="1"/>
  <c r="AW38" i="1"/>
  <c r="AW41" i="1" s="1"/>
  <c r="AR38" i="1"/>
  <c r="AR41" i="1" s="1"/>
  <c r="AM38" i="1"/>
  <c r="AH38" i="1"/>
  <c r="AH41" i="1" s="1"/>
  <c r="BO564" i="42"/>
  <c r="BN564" i="42"/>
  <c r="U38" i="1"/>
  <c r="U41" i="1" s="1"/>
  <c r="T38" i="1"/>
  <c r="T41" i="1" s="1"/>
  <c r="R38" i="1"/>
  <c r="R41" i="1" s="1"/>
  <c r="S38" i="1"/>
  <c r="S41" i="1" s="1"/>
  <c r="AW421" i="42"/>
  <c r="AW423" i="42" s="1"/>
  <c r="AA357" i="42"/>
  <c r="AY357" i="42"/>
  <c r="AX357" i="42"/>
  <c r="AW357" i="42"/>
  <c r="AT357" i="42"/>
  <c r="AS357" i="42"/>
  <c r="AR357" i="42"/>
  <c r="AO357" i="42"/>
  <c r="AN357" i="42"/>
  <c r="AM357" i="42"/>
  <c r="AJ357" i="42"/>
  <c r="AI357" i="42"/>
  <c r="AH357" i="42"/>
  <c r="AZ356" i="42"/>
  <c r="AZ357" i="42" s="1"/>
  <c r="AU356" i="42"/>
  <c r="AU357" i="42" s="1"/>
  <c r="AP356" i="42"/>
  <c r="AP357" i="42" s="1"/>
  <c r="AK356" i="42"/>
  <c r="AK357" i="42" s="1"/>
  <c r="Z336" i="42"/>
  <c r="Z335" i="42"/>
  <c r="AZ336" i="42"/>
  <c r="AZ335" i="42"/>
  <c r="AU336" i="42"/>
  <c r="AU335" i="42"/>
  <c r="AP336" i="42"/>
  <c r="AP335" i="42"/>
  <c r="AK336" i="42"/>
  <c r="AK335" i="42"/>
  <c r="AF336" i="42"/>
  <c r="AF335" i="42"/>
  <c r="AU329" i="42"/>
  <c r="AU328" i="42"/>
  <c r="AP329" i="42"/>
  <c r="AP328" i="42"/>
  <c r="AK329" i="42"/>
  <c r="AK328" i="42"/>
  <c r="Z329" i="42"/>
  <c r="Z328" i="42"/>
  <c r="AF329" i="42"/>
  <c r="AF328" i="42"/>
  <c r="AK334" i="42"/>
  <c r="AK327" i="42"/>
  <c r="AK322" i="42"/>
  <c r="AV25" i="53"/>
  <c r="BO13" i="42"/>
  <c r="Z219" i="42"/>
  <c r="W219" i="42"/>
  <c r="AY219" i="42"/>
  <c r="AX219" i="42"/>
  <c r="AW219" i="42"/>
  <c r="AT219" i="42"/>
  <c r="AS219" i="42"/>
  <c r="AR219" i="42"/>
  <c r="AO219" i="42"/>
  <c r="AN219" i="42"/>
  <c r="AM219" i="42"/>
  <c r="AZ218" i="42"/>
  <c r="AZ219" i="42" s="1"/>
  <c r="AU218" i="42"/>
  <c r="AU219" i="42" s="1"/>
  <c r="AP218" i="42"/>
  <c r="AP219" i="42" s="1"/>
  <c r="AL219" i="42"/>
  <c r="AK218" i="42"/>
  <c r="AK219" i="42" s="1"/>
  <c r="AJ219" i="42"/>
  <c r="AI219" i="42"/>
  <c r="AH219" i="42"/>
  <c r="AF198" i="42"/>
  <c r="Z197" i="42"/>
  <c r="AF191" i="42"/>
  <c r="Z190" i="42"/>
  <c r="Y190" i="42"/>
  <c r="X190" i="42"/>
  <c r="W190" i="42"/>
  <c r="BB57" i="42"/>
  <c r="AZ57" i="42"/>
  <c r="BA58" i="42"/>
  <c r="AV58" i="42"/>
  <c r="AQ58" i="42"/>
  <c r="AP56" i="42"/>
  <c r="BL555" i="42"/>
  <c r="BH555" i="42"/>
  <c r="BC555" i="42"/>
  <c r="BB555" i="42"/>
  <c r="AZ555" i="42"/>
  <c r="AY555" i="42"/>
  <c r="AX555" i="42"/>
  <c r="AW555" i="42"/>
  <c r="AU555" i="42"/>
  <c r="AT555" i="42"/>
  <c r="AS555" i="42"/>
  <c r="AR555" i="42"/>
  <c r="AP555" i="42"/>
  <c r="AO555" i="42"/>
  <c r="AN555" i="42"/>
  <c r="AM555" i="42"/>
  <c r="AK555" i="42"/>
  <c r="AJ555" i="42"/>
  <c r="AI555" i="42"/>
  <c r="AH555" i="42"/>
  <c r="AF555" i="42"/>
  <c r="AE555" i="42"/>
  <c r="AD555" i="42"/>
  <c r="AC555" i="42"/>
  <c r="Z555" i="42"/>
  <c r="Y555" i="42"/>
  <c r="X555" i="42"/>
  <c r="W555" i="42"/>
  <c r="U555" i="42"/>
  <c r="T555" i="42"/>
  <c r="S555" i="42"/>
  <c r="R555" i="42"/>
  <c r="BH450" i="42"/>
  <c r="BC450" i="42"/>
  <c r="BB450" i="42"/>
  <c r="AZ450" i="42"/>
  <c r="AY450" i="42"/>
  <c r="AX450" i="42"/>
  <c r="AW450" i="42"/>
  <c r="AU450" i="42"/>
  <c r="AT450" i="42"/>
  <c r="AS450" i="42"/>
  <c r="AR450" i="42"/>
  <c r="AP450" i="42"/>
  <c r="AO450" i="42"/>
  <c r="AN450" i="42"/>
  <c r="AM450" i="42"/>
  <c r="AK450" i="42"/>
  <c r="AJ450" i="42"/>
  <c r="AI450" i="42"/>
  <c r="AH450" i="42"/>
  <c r="AF450" i="42"/>
  <c r="AE450" i="42"/>
  <c r="AD450" i="42"/>
  <c r="AC450" i="42"/>
  <c r="Z450" i="42"/>
  <c r="X450" i="42"/>
  <c r="W450" i="42"/>
  <c r="U450" i="42"/>
  <c r="T450" i="42"/>
  <c r="S450" i="42"/>
  <c r="R450" i="42"/>
  <c r="AX421" i="42"/>
  <c r="AX423" i="42" s="1"/>
  <c r="AY421" i="42"/>
  <c r="AY423" i="42" s="1"/>
  <c r="AZ421" i="42"/>
  <c r="AZ423" i="42" s="1"/>
  <c r="BA420" i="42"/>
  <c r="BF421" i="42" s="1"/>
  <c r="BF423" i="42" s="1"/>
  <c r="AV420" i="42"/>
  <c r="BA413" i="42"/>
  <c r="AV413" i="42"/>
  <c r="V408" i="42"/>
  <c r="AG408" i="42"/>
  <c r="AL408" i="42"/>
  <c r="AQ408" i="42"/>
  <c r="AV408" i="42"/>
  <c r="BA408" i="42"/>
  <c r="BA401" i="42"/>
  <c r="AV401" i="42"/>
  <c r="AQ401" i="42"/>
  <c r="AL401" i="42"/>
  <c r="AG401" i="42"/>
  <c r="V401" i="42"/>
  <c r="BA394" i="42"/>
  <c r="AV394" i="42"/>
  <c r="AQ394" i="42"/>
  <c r="AL394" i="42"/>
  <c r="AG394" i="42"/>
  <c r="V394" i="42"/>
  <c r="BA351" i="42"/>
  <c r="BF352" i="42" s="1"/>
  <c r="BF354" i="42" s="1"/>
  <c r="AV351" i="42"/>
  <c r="AQ351" i="42"/>
  <c r="AL351" i="42"/>
  <c r="BA344" i="42"/>
  <c r="AV344" i="42"/>
  <c r="AQ344" i="42"/>
  <c r="AL344" i="42"/>
  <c r="BA339" i="42"/>
  <c r="BF341" i="42" s="1"/>
  <c r="AV339" i="42"/>
  <c r="AQ339" i="42"/>
  <c r="AL339" i="42"/>
  <c r="AG339" i="42"/>
  <c r="AA339" i="42"/>
  <c r="V339" i="42"/>
  <c r="AV332" i="42"/>
  <c r="AQ332" i="42"/>
  <c r="AL332" i="42"/>
  <c r="AG332" i="42"/>
  <c r="AA332" i="42"/>
  <c r="V332" i="42"/>
  <c r="AV325" i="42"/>
  <c r="AQ325" i="42"/>
  <c r="AL325" i="42"/>
  <c r="AG325" i="42"/>
  <c r="AA325" i="42"/>
  <c r="V325" i="42"/>
  <c r="BH381" i="42"/>
  <c r="BC381" i="42"/>
  <c r="BB381" i="42"/>
  <c r="AZ381" i="42"/>
  <c r="AY381" i="42"/>
  <c r="AX381" i="42"/>
  <c r="AW381" i="42"/>
  <c r="AU381" i="42"/>
  <c r="AT381" i="42"/>
  <c r="AS381" i="42"/>
  <c r="AR381" i="42"/>
  <c r="AP381" i="42"/>
  <c r="AO381" i="42"/>
  <c r="AN381" i="42"/>
  <c r="AM381" i="42"/>
  <c r="AK381" i="42"/>
  <c r="AJ381" i="42"/>
  <c r="AI381" i="42"/>
  <c r="AH381" i="42"/>
  <c r="AF381" i="42"/>
  <c r="AE381" i="42"/>
  <c r="AD381" i="42"/>
  <c r="AC381" i="42"/>
  <c r="Z381" i="42"/>
  <c r="Y381" i="42"/>
  <c r="X381" i="42"/>
  <c r="W381" i="42"/>
  <c r="U381" i="42"/>
  <c r="T381" i="42"/>
  <c r="S381" i="42"/>
  <c r="R381" i="42"/>
  <c r="BH312" i="42"/>
  <c r="BC312" i="42"/>
  <c r="BB312" i="42"/>
  <c r="AZ312" i="42"/>
  <c r="AY312" i="42"/>
  <c r="AX312" i="42"/>
  <c r="AW312" i="42"/>
  <c r="AU312" i="42"/>
  <c r="AT312" i="42"/>
  <c r="AS312" i="42"/>
  <c r="AR312" i="42"/>
  <c r="AP312" i="42"/>
  <c r="AM312" i="42"/>
  <c r="AK312" i="42"/>
  <c r="AJ312" i="42"/>
  <c r="AI312" i="42"/>
  <c r="AH312" i="42"/>
  <c r="AF312" i="42"/>
  <c r="AE312" i="42"/>
  <c r="AD312" i="42"/>
  <c r="AC312" i="42"/>
  <c r="Z312" i="42"/>
  <c r="Y312" i="42"/>
  <c r="X312" i="42"/>
  <c r="W312" i="42"/>
  <c r="U312" i="42"/>
  <c r="T312" i="42"/>
  <c r="S312" i="42"/>
  <c r="R312" i="42"/>
  <c r="BA282" i="42"/>
  <c r="AV282" i="42"/>
  <c r="BA275" i="42"/>
  <c r="BF276" i="42" s="1"/>
  <c r="BF278" i="42" s="1"/>
  <c r="AV275" i="42"/>
  <c r="BA270" i="42"/>
  <c r="AV270" i="42"/>
  <c r="BA272" i="42" s="1"/>
  <c r="AQ270" i="42"/>
  <c r="AL270" i="42"/>
  <c r="AG270" i="42"/>
  <c r="AA270" i="42"/>
  <c r="AV263" i="42"/>
  <c r="AQ263" i="42"/>
  <c r="AL263" i="42"/>
  <c r="AG263" i="42"/>
  <c r="AA263" i="42"/>
  <c r="AV256" i="42"/>
  <c r="AL256" i="42"/>
  <c r="AG256" i="42"/>
  <c r="AA256" i="42"/>
  <c r="BC243" i="42"/>
  <c r="BB243" i="42"/>
  <c r="AZ243" i="42"/>
  <c r="AY243" i="42"/>
  <c r="AX243" i="42"/>
  <c r="AW243" i="42"/>
  <c r="AU243" i="42"/>
  <c r="AT243" i="42"/>
  <c r="AS243" i="42"/>
  <c r="AR243" i="42"/>
  <c r="AP243" i="42"/>
  <c r="AO243" i="42"/>
  <c r="AN243" i="42"/>
  <c r="AM243" i="42"/>
  <c r="AK243" i="42"/>
  <c r="AJ243" i="42"/>
  <c r="AI243" i="42"/>
  <c r="AH243" i="42"/>
  <c r="AF243" i="42"/>
  <c r="AE243" i="42"/>
  <c r="AD243" i="42"/>
  <c r="AC243" i="42"/>
  <c r="Z243" i="42"/>
  <c r="Y243" i="42"/>
  <c r="X243" i="42"/>
  <c r="W243" i="42"/>
  <c r="U243" i="42"/>
  <c r="T243" i="42"/>
  <c r="S243" i="42"/>
  <c r="R243" i="42"/>
  <c r="BA211" i="42"/>
  <c r="AV211" i="42"/>
  <c r="AQ211" i="42"/>
  <c r="AL211" i="42"/>
  <c r="AG211" i="42"/>
  <c r="BA206" i="42"/>
  <c r="AV206" i="42"/>
  <c r="AQ206" i="42"/>
  <c r="AU216" i="42" s="1"/>
  <c r="AU56" i="42" s="1"/>
  <c r="AL206" i="42"/>
  <c r="AG206" i="42"/>
  <c r="BA201" i="42"/>
  <c r="AV201" i="42"/>
  <c r="AQ201" i="42"/>
  <c r="AL201" i="42"/>
  <c r="AG201" i="42"/>
  <c r="AA201" i="42"/>
  <c r="V201" i="42"/>
  <c r="BA194" i="42"/>
  <c r="BF196" i="42" s="1"/>
  <c r="AV194" i="42"/>
  <c r="AQ194" i="42"/>
  <c r="AL194" i="42"/>
  <c r="AG194" i="42"/>
  <c r="AA194" i="42"/>
  <c r="V194" i="42"/>
  <c r="BA187" i="42"/>
  <c r="BF189" i="42" s="1"/>
  <c r="AV187" i="42"/>
  <c r="AQ187" i="42"/>
  <c r="AL187" i="42"/>
  <c r="AG187" i="42"/>
  <c r="AA187" i="42"/>
  <c r="V187" i="42"/>
  <c r="BH163" i="42"/>
  <c r="BH20" i="1" s="1"/>
  <c r="BA51" i="42"/>
  <c r="AV51" i="42"/>
  <c r="AL51" i="42"/>
  <c r="BA45" i="42"/>
  <c r="AV45" i="42"/>
  <c r="AQ45" i="42"/>
  <c r="AL45" i="42"/>
  <c r="BC41" i="42"/>
  <c r="BC43" i="42" s="1"/>
  <c r="BB41" i="42"/>
  <c r="BB43" i="42" s="1"/>
  <c r="AZ41" i="42"/>
  <c r="AZ43" i="42" s="1"/>
  <c r="AY41" i="42"/>
  <c r="AY43" i="42" s="1"/>
  <c r="AX41" i="42"/>
  <c r="AX43" i="42" s="1"/>
  <c r="AW41" i="42"/>
  <c r="AW43" i="42" s="1"/>
  <c r="AU41" i="42"/>
  <c r="AU43" i="42" s="1"/>
  <c r="AT41" i="42"/>
  <c r="AT43" i="42" s="1"/>
  <c r="AS41" i="42"/>
  <c r="AS43" i="42" s="1"/>
  <c r="AR41" i="42"/>
  <c r="AR43" i="42" s="1"/>
  <c r="AP41" i="42"/>
  <c r="AO41" i="42"/>
  <c r="AN41" i="42"/>
  <c r="AM41" i="42"/>
  <c r="BA40" i="42"/>
  <c r="AV40" i="42"/>
  <c r="AQ40" i="42"/>
  <c r="AL40" i="42"/>
  <c r="BC34" i="42"/>
  <c r="BC38" i="42" s="1"/>
  <c r="BB34" i="42"/>
  <c r="BB38" i="42" s="1"/>
  <c r="AZ34" i="42"/>
  <c r="AZ38" i="42" s="1"/>
  <c r="AY34" i="42"/>
  <c r="AY38" i="42" s="1"/>
  <c r="AX34" i="42"/>
  <c r="AX38" i="42" s="1"/>
  <c r="AW34" i="42"/>
  <c r="AW38" i="42" s="1"/>
  <c r="AU34" i="42"/>
  <c r="AU38" i="42" s="1"/>
  <c r="AT34" i="42"/>
  <c r="AT38" i="42" s="1"/>
  <c r="AS34" i="42"/>
  <c r="AS38" i="42" s="1"/>
  <c r="AR34" i="42"/>
  <c r="AR38" i="42" s="1"/>
  <c r="AP34" i="42"/>
  <c r="AO34" i="42"/>
  <c r="AN34" i="42"/>
  <c r="AM34" i="42"/>
  <c r="BA33" i="42"/>
  <c r="AV33" i="42"/>
  <c r="AQ33" i="42"/>
  <c r="AL33" i="42"/>
  <c r="BA26" i="42"/>
  <c r="AV26" i="42"/>
  <c r="AQ26" i="42"/>
  <c r="AM27" i="42"/>
  <c r="AL26" i="42"/>
  <c r="BC583" i="42"/>
  <c r="BB583" i="42"/>
  <c r="AZ583" i="42"/>
  <c r="AY583" i="42"/>
  <c r="AX583" i="42"/>
  <c r="AW583" i="42"/>
  <c r="AU583" i="42"/>
  <c r="AT583" i="42"/>
  <c r="AS583" i="42"/>
  <c r="AR583" i="42"/>
  <c r="AP583" i="42"/>
  <c r="AO583" i="42"/>
  <c r="AN583" i="42"/>
  <c r="AM583" i="42"/>
  <c r="AK583" i="42"/>
  <c r="AJ583" i="42"/>
  <c r="AI583" i="42"/>
  <c r="AH583" i="42"/>
  <c r="AF583" i="42"/>
  <c r="AE583" i="42"/>
  <c r="AD583" i="42"/>
  <c r="AC583" i="42"/>
  <c r="Z583" i="42"/>
  <c r="Y583" i="42"/>
  <c r="X583" i="42"/>
  <c r="W583" i="42"/>
  <c r="BH564" i="42"/>
  <c r="BC564" i="42"/>
  <c r="BB564" i="42"/>
  <c r="AZ564" i="42"/>
  <c r="AY564" i="42"/>
  <c r="AX564" i="42"/>
  <c r="AW564" i="42"/>
  <c r="AU564" i="42"/>
  <c r="AT564" i="42"/>
  <c r="AS564" i="42"/>
  <c r="AR564" i="42"/>
  <c r="AP564" i="42"/>
  <c r="AO564" i="42"/>
  <c r="AN564" i="42"/>
  <c r="AM564" i="42"/>
  <c r="AK564" i="42"/>
  <c r="AJ564" i="42"/>
  <c r="AI564" i="42"/>
  <c r="AH564" i="42"/>
  <c r="AF564" i="42"/>
  <c r="AE564" i="42"/>
  <c r="AD564" i="42"/>
  <c r="AC564" i="42"/>
  <c r="Z564" i="42"/>
  <c r="Y564" i="42"/>
  <c r="X564" i="42"/>
  <c r="W564" i="42"/>
  <c r="BL554" i="42"/>
  <c r="BH554" i="42"/>
  <c r="BC554" i="42"/>
  <c r="BB554" i="42"/>
  <c r="AZ554" i="42"/>
  <c r="AY554" i="42"/>
  <c r="AX554" i="42"/>
  <c r="AW554" i="42"/>
  <c r="AU554" i="42"/>
  <c r="AT554" i="42"/>
  <c r="AS554" i="42"/>
  <c r="AR554" i="42"/>
  <c r="AP554" i="42"/>
  <c r="AO554" i="42"/>
  <c r="AN554" i="42"/>
  <c r="AM554" i="42"/>
  <c r="AK554" i="42"/>
  <c r="AJ554" i="42"/>
  <c r="AI554" i="42"/>
  <c r="AH554" i="42"/>
  <c r="AF554" i="42"/>
  <c r="AE554" i="42"/>
  <c r="AD554" i="42"/>
  <c r="AC554" i="42"/>
  <c r="Z554" i="42"/>
  <c r="Y554" i="42"/>
  <c r="X554" i="42"/>
  <c r="W554" i="42"/>
  <c r="AZ484" i="42"/>
  <c r="AZ486" i="42" s="1"/>
  <c r="AY484" i="42"/>
  <c r="AY486" i="42" s="1"/>
  <c r="AX484" i="42"/>
  <c r="AX486" i="42" s="1"/>
  <c r="AW484" i="42"/>
  <c r="AW486" i="42" s="1"/>
  <c r="AU484" i="42"/>
  <c r="AU486" i="42" s="1"/>
  <c r="AT484" i="42"/>
  <c r="AT486" i="42" s="1"/>
  <c r="AS484" i="42"/>
  <c r="AS486" i="42" s="1"/>
  <c r="AR484" i="42"/>
  <c r="AR486" i="42" s="1"/>
  <c r="AP484" i="42"/>
  <c r="AP486" i="42" s="1"/>
  <c r="AO484" i="42"/>
  <c r="AO486" i="42" s="1"/>
  <c r="AN484" i="42"/>
  <c r="AN486" i="42" s="1"/>
  <c r="AM484" i="42"/>
  <c r="AM486" i="42" s="1"/>
  <c r="AK484" i="42"/>
  <c r="AK486" i="42" s="1"/>
  <c r="AJ484" i="42"/>
  <c r="AJ486" i="42" s="1"/>
  <c r="AI484" i="42"/>
  <c r="AI486" i="42" s="1"/>
  <c r="AH484" i="42"/>
  <c r="AH486" i="42" s="1"/>
  <c r="AF484" i="42"/>
  <c r="AF486" i="42" s="1"/>
  <c r="AE484" i="42"/>
  <c r="AE486" i="42" s="1"/>
  <c r="AD484" i="42"/>
  <c r="AD486" i="42" s="1"/>
  <c r="AC484" i="42"/>
  <c r="AC486" i="42" s="1"/>
  <c r="Z484" i="42"/>
  <c r="Y484" i="42"/>
  <c r="X484" i="42"/>
  <c r="W484" i="42"/>
  <c r="BC476" i="42"/>
  <c r="AZ476" i="42"/>
  <c r="AY476" i="42"/>
  <c r="AX476" i="42"/>
  <c r="AW476" i="42"/>
  <c r="AU476" i="42"/>
  <c r="AT476" i="42"/>
  <c r="AS476" i="42"/>
  <c r="AR476" i="42"/>
  <c r="AP476" i="42"/>
  <c r="AO476" i="42"/>
  <c r="AN476" i="42"/>
  <c r="AM476" i="42"/>
  <c r="AK476" i="42"/>
  <c r="AJ476" i="42"/>
  <c r="AI476" i="42"/>
  <c r="AH476" i="42"/>
  <c r="AF476" i="42"/>
  <c r="AE476" i="42"/>
  <c r="AD476" i="42"/>
  <c r="AC476" i="42"/>
  <c r="Z476" i="42"/>
  <c r="Y476" i="42"/>
  <c r="X476" i="42"/>
  <c r="W476" i="42"/>
  <c r="BC459" i="42"/>
  <c r="BB459" i="42"/>
  <c r="AZ459" i="42"/>
  <c r="AY459" i="42"/>
  <c r="AX459" i="42"/>
  <c r="AW459" i="42"/>
  <c r="AU459" i="42"/>
  <c r="AT459" i="42"/>
  <c r="AS459" i="42"/>
  <c r="AR459" i="42"/>
  <c r="AP459" i="42"/>
  <c r="AO459" i="42"/>
  <c r="AN459" i="42"/>
  <c r="AM459" i="42"/>
  <c r="AK459" i="42"/>
  <c r="AJ459" i="42"/>
  <c r="AI459" i="42"/>
  <c r="AH459" i="42"/>
  <c r="AF459" i="42"/>
  <c r="AE459" i="42"/>
  <c r="AD459" i="42"/>
  <c r="AC459" i="42"/>
  <c r="Z459" i="42"/>
  <c r="Y459" i="42"/>
  <c r="X459" i="42"/>
  <c r="W459" i="42"/>
  <c r="BH449" i="42"/>
  <c r="BC449" i="42"/>
  <c r="BB449" i="42"/>
  <c r="AZ449" i="42"/>
  <c r="AY449" i="42"/>
  <c r="AX449" i="42"/>
  <c r="AW449" i="42"/>
  <c r="AU449" i="42"/>
  <c r="AT449" i="42"/>
  <c r="AS449" i="42"/>
  <c r="AR449" i="42"/>
  <c r="AP449" i="42"/>
  <c r="AO449" i="42"/>
  <c r="AN449" i="42"/>
  <c r="AM449" i="42"/>
  <c r="AK449" i="42"/>
  <c r="AJ449" i="42"/>
  <c r="AI449" i="42"/>
  <c r="AH449" i="42"/>
  <c r="AF449" i="42"/>
  <c r="AE449" i="42"/>
  <c r="AD449" i="42"/>
  <c r="AC449" i="42"/>
  <c r="Z449" i="42"/>
  <c r="Y449" i="42"/>
  <c r="X449" i="42"/>
  <c r="W449" i="42"/>
  <c r="BC421" i="42"/>
  <c r="BC423" i="42" s="1"/>
  <c r="BB421" i="42"/>
  <c r="BB423" i="42" s="1"/>
  <c r="BC414" i="42"/>
  <c r="BC416" i="42" s="1"/>
  <c r="BB414" i="42"/>
  <c r="BB416" i="42" s="1"/>
  <c r="AZ414" i="42"/>
  <c r="AZ416" i="42" s="1"/>
  <c r="AY414" i="42"/>
  <c r="AY416" i="42" s="1"/>
  <c r="AX414" i="42"/>
  <c r="AX416" i="42" s="1"/>
  <c r="AW414" i="42"/>
  <c r="AW416" i="42" s="1"/>
  <c r="BC409" i="42"/>
  <c r="BC411" i="42" s="1"/>
  <c r="BB409" i="42"/>
  <c r="BB411" i="42" s="1"/>
  <c r="AZ409" i="42"/>
  <c r="AZ411" i="42" s="1"/>
  <c r="AY409" i="42"/>
  <c r="AY411" i="42" s="1"/>
  <c r="AX409" i="42"/>
  <c r="AX411" i="42" s="1"/>
  <c r="AW409" i="42"/>
  <c r="AW411" i="42" s="1"/>
  <c r="AU409" i="42"/>
  <c r="AT409" i="42"/>
  <c r="AS409" i="42"/>
  <c r="AR409" i="42"/>
  <c r="AP409" i="42"/>
  <c r="AO409" i="42"/>
  <c r="AN409" i="42"/>
  <c r="AM409" i="42"/>
  <c r="AK409" i="42"/>
  <c r="AJ409" i="42"/>
  <c r="AI409" i="42"/>
  <c r="AH409" i="42"/>
  <c r="AD409" i="42"/>
  <c r="AC409" i="42"/>
  <c r="X409" i="42"/>
  <c r="W409" i="42"/>
  <c r="BC402" i="42"/>
  <c r="BC406" i="42" s="1"/>
  <c r="BB402" i="42"/>
  <c r="BB406" i="42" s="1"/>
  <c r="AZ402" i="42"/>
  <c r="AZ406" i="42" s="1"/>
  <c r="AY402" i="42"/>
  <c r="AY406" i="42" s="1"/>
  <c r="AX402" i="42"/>
  <c r="AX406" i="42" s="1"/>
  <c r="AW402" i="42"/>
  <c r="AW406" i="42" s="1"/>
  <c r="AU402" i="42"/>
  <c r="AT402" i="42"/>
  <c r="AS402" i="42"/>
  <c r="AR402" i="42"/>
  <c r="AP402" i="42"/>
  <c r="AO402" i="42"/>
  <c r="AN402" i="42"/>
  <c r="AM402" i="42"/>
  <c r="AK402" i="42"/>
  <c r="AJ402" i="42"/>
  <c r="AI402" i="42"/>
  <c r="AH402" i="42"/>
  <c r="AF402" i="42"/>
  <c r="AD402" i="42"/>
  <c r="AC402" i="42"/>
  <c r="Z402" i="42"/>
  <c r="X402" i="42"/>
  <c r="W402" i="42"/>
  <c r="BC395" i="42"/>
  <c r="BC399" i="42" s="1"/>
  <c r="BB395" i="42"/>
  <c r="BB399" i="42" s="1"/>
  <c r="AZ395" i="42"/>
  <c r="AZ399" i="42" s="1"/>
  <c r="AY395" i="42"/>
  <c r="AY399" i="42" s="1"/>
  <c r="AX395" i="42"/>
  <c r="AX399" i="42" s="1"/>
  <c r="AW395" i="42"/>
  <c r="AW399" i="42" s="1"/>
  <c r="AU395" i="42"/>
  <c r="AT395" i="42"/>
  <c r="AS395" i="42"/>
  <c r="AR395" i="42"/>
  <c r="AP395" i="42"/>
  <c r="AO395" i="42"/>
  <c r="AN395" i="42"/>
  <c r="AM395" i="42"/>
  <c r="AK395" i="42"/>
  <c r="AJ395" i="42"/>
  <c r="AI395" i="42"/>
  <c r="AH395" i="42"/>
  <c r="AF395" i="42"/>
  <c r="AD395" i="42"/>
  <c r="AC395" i="42"/>
  <c r="Z395" i="42"/>
  <c r="X395" i="42"/>
  <c r="W395" i="42"/>
  <c r="AU390" i="42"/>
  <c r="AT390" i="42"/>
  <c r="AS390" i="42"/>
  <c r="AR390" i="42"/>
  <c r="AP390" i="42"/>
  <c r="AO390" i="42"/>
  <c r="AN390" i="42"/>
  <c r="AM390" i="42"/>
  <c r="AK390" i="42"/>
  <c r="AJ390" i="42"/>
  <c r="AI390" i="42"/>
  <c r="AH390" i="42"/>
  <c r="AF390" i="42"/>
  <c r="AD390" i="42"/>
  <c r="AC390" i="42"/>
  <c r="Z390" i="42"/>
  <c r="X390" i="42"/>
  <c r="W390" i="42"/>
  <c r="BH380" i="42"/>
  <c r="BC380" i="42"/>
  <c r="BB380" i="42"/>
  <c r="AZ380" i="42"/>
  <c r="AY380" i="42"/>
  <c r="AX380" i="42"/>
  <c r="AW380" i="42"/>
  <c r="AU380" i="42"/>
  <c r="AT380" i="42"/>
  <c r="AS380" i="42"/>
  <c r="AR380" i="42"/>
  <c r="AP380" i="42"/>
  <c r="AO380" i="42"/>
  <c r="AN380" i="42"/>
  <c r="AM380" i="42"/>
  <c r="AK380" i="42"/>
  <c r="AJ380" i="42"/>
  <c r="AI380" i="42"/>
  <c r="AH380" i="42"/>
  <c r="AF380" i="42"/>
  <c r="AE380" i="42"/>
  <c r="AD380" i="42"/>
  <c r="AC380" i="42"/>
  <c r="Z380" i="42"/>
  <c r="Y380" i="42"/>
  <c r="X380" i="42"/>
  <c r="W380" i="42"/>
  <c r="BC352" i="42"/>
  <c r="BC354" i="42" s="1"/>
  <c r="BB352" i="42"/>
  <c r="BB354" i="42" s="1"/>
  <c r="AZ352" i="42"/>
  <c r="AY352" i="42"/>
  <c r="AY354" i="42" s="1"/>
  <c r="AX352" i="42"/>
  <c r="AX354" i="42" s="1"/>
  <c r="AW352" i="42"/>
  <c r="AW354" i="42" s="1"/>
  <c r="AU352" i="42"/>
  <c r="AT352" i="42"/>
  <c r="AT354" i="42" s="1"/>
  <c r="AS352" i="42"/>
  <c r="AS354" i="42" s="1"/>
  <c r="AR352" i="42"/>
  <c r="AR354" i="42" s="1"/>
  <c r="AP352" i="42"/>
  <c r="AO352" i="42"/>
  <c r="AO354" i="42" s="1"/>
  <c r="AN352" i="42"/>
  <c r="AN354" i="42" s="1"/>
  <c r="AM352" i="42"/>
  <c r="AM354" i="42" s="1"/>
  <c r="AK352" i="42"/>
  <c r="AJ352" i="42"/>
  <c r="AJ354" i="42" s="1"/>
  <c r="BC345" i="42"/>
  <c r="BC347" i="42" s="1"/>
  <c r="BB345" i="42"/>
  <c r="BB347" i="42" s="1"/>
  <c r="AZ345" i="42"/>
  <c r="AY345" i="42"/>
  <c r="AY347" i="42" s="1"/>
  <c r="AX345" i="42"/>
  <c r="AX347" i="42" s="1"/>
  <c r="AW345" i="42"/>
  <c r="AW347" i="42" s="1"/>
  <c r="AU345" i="42"/>
  <c r="AT345" i="42"/>
  <c r="AT347" i="42" s="1"/>
  <c r="AS345" i="42"/>
  <c r="AS347" i="42" s="1"/>
  <c r="AR345" i="42"/>
  <c r="AR347" i="42" s="1"/>
  <c r="AP345" i="42"/>
  <c r="AO345" i="42"/>
  <c r="AO347" i="42" s="1"/>
  <c r="AN345" i="42"/>
  <c r="AN347" i="42" s="1"/>
  <c r="AM345" i="42"/>
  <c r="AM347" i="42" s="1"/>
  <c r="AK345" i="42"/>
  <c r="AJ345" i="42"/>
  <c r="AJ347" i="42" s="1"/>
  <c r="BC340" i="42"/>
  <c r="BC342" i="42" s="1"/>
  <c r="BB340" i="42"/>
  <c r="BB342" i="42" s="1"/>
  <c r="AZ340" i="42"/>
  <c r="AZ342" i="42" s="1"/>
  <c r="AY340" i="42"/>
  <c r="AY342" i="42" s="1"/>
  <c r="AX340" i="42"/>
  <c r="AX342" i="42" s="1"/>
  <c r="AW340" i="42"/>
  <c r="AW342" i="42" s="1"/>
  <c r="AU340" i="42"/>
  <c r="AU342" i="42" s="1"/>
  <c r="AT340" i="42"/>
  <c r="AT342" i="42" s="1"/>
  <c r="AS340" i="42"/>
  <c r="AS342" i="42" s="1"/>
  <c r="AR340" i="42"/>
  <c r="AR342" i="42" s="1"/>
  <c r="AP340" i="42"/>
  <c r="AP342" i="42" s="1"/>
  <c r="AO340" i="42"/>
  <c r="AO342" i="42" s="1"/>
  <c r="AN340" i="42"/>
  <c r="AN342" i="42" s="1"/>
  <c r="AM340" i="42"/>
  <c r="AM342" i="42" s="1"/>
  <c r="AK340" i="42"/>
  <c r="AK342" i="42" s="1"/>
  <c r="AJ340" i="42"/>
  <c r="AJ342" i="42" s="1"/>
  <c r="AI340" i="42"/>
  <c r="AI342" i="42" s="1"/>
  <c r="AH340" i="42"/>
  <c r="AH342" i="42" s="1"/>
  <c r="AF340" i="42"/>
  <c r="AF342" i="42" s="1"/>
  <c r="AE340" i="42"/>
  <c r="AE342" i="42" s="1"/>
  <c r="AD340" i="42"/>
  <c r="AD342" i="42" s="1"/>
  <c r="AC340" i="42"/>
  <c r="AC342" i="42" s="1"/>
  <c r="Z340" i="42"/>
  <c r="Z342" i="42" s="1"/>
  <c r="Y340" i="42"/>
  <c r="Y342" i="42" s="1"/>
  <c r="X340" i="42"/>
  <c r="X342" i="42" s="1"/>
  <c r="W340" i="42"/>
  <c r="W342" i="42" s="1"/>
  <c r="AU333" i="42"/>
  <c r="AU337" i="42" s="1"/>
  <c r="AT333" i="42"/>
  <c r="AT337" i="42" s="1"/>
  <c r="AS333" i="42"/>
  <c r="AS337" i="42" s="1"/>
  <c r="AR333" i="42"/>
  <c r="AR337" i="42" s="1"/>
  <c r="AP333" i="42"/>
  <c r="AP337" i="42" s="1"/>
  <c r="AO333" i="42"/>
  <c r="AO337" i="42" s="1"/>
  <c r="AN333" i="42"/>
  <c r="AN337" i="42" s="1"/>
  <c r="AM333" i="42"/>
  <c r="AM337" i="42" s="1"/>
  <c r="AK333" i="42"/>
  <c r="AJ333" i="42"/>
  <c r="AJ337" i="42" s="1"/>
  <c r="AI333" i="42"/>
  <c r="AI337" i="42" s="1"/>
  <c r="AH333" i="42"/>
  <c r="AH337" i="42" s="1"/>
  <c r="AF333" i="42"/>
  <c r="AF337" i="42" s="1"/>
  <c r="AE333" i="42"/>
  <c r="AE337" i="42" s="1"/>
  <c r="AD333" i="42"/>
  <c r="AD337" i="42" s="1"/>
  <c r="AC333" i="42"/>
  <c r="AC337" i="42" s="1"/>
  <c r="Z333" i="42"/>
  <c r="Z337" i="42" s="1"/>
  <c r="Y333" i="42"/>
  <c r="Y337" i="42" s="1"/>
  <c r="X333" i="42"/>
  <c r="X337" i="42" s="1"/>
  <c r="W333" i="42"/>
  <c r="W337" i="42" s="1"/>
  <c r="AU326" i="42"/>
  <c r="AU330" i="42" s="1"/>
  <c r="AT326" i="42"/>
  <c r="AT330" i="42" s="1"/>
  <c r="AS326" i="42"/>
  <c r="AS330" i="42" s="1"/>
  <c r="AR326" i="42"/>
  <c r="AR330" i="42" s="1"/>
  <c r="AP326" i="42"/>
  <c r="AP330" i="42" s="1"/>
  <c r="AO326" i="42"/>
  <c r="AO330" i="42" s="1"/>
  <c r="AN326" i="42"/>
  <c r="AN330" i="42" s="1"/>
  <c r="AM326" i="42"/>
  <c r="AM330" i="42" s="1"/>
  <c r="AK326" i="42"/>
  <c r="AJ326" i="42"/>
  <c r="AJ330" i="42" s="1"/>
  <c r="AI326" i="42"/>
  <c r="AI330" i="42" s="1"/>
  <c r="AH326" i="42"/>
  <c r="AH330" i="42" s="1"/>
  <c r="AF326" i="42"/>
  <c r="AF330" i="42" s="1"/>
  <c r="AE326" i="42"/>
  <c r="AE330" i="42" s="1"/>
  <c r="AD326" i="42"/>
  <c r="AD330" i="42" s="1"/>
  <c r="AC326" i="42"/>
  <c r="AC330" i="42" s="1"/>
  <c r="Z326" i="42"/>
  <c r="Z330" i="42" s="1"/>
  <c r="Y326" i="42"/>
  <c r="Y330" i="42" s="1"/>
  <c r="X326" i="42"/>
  <c r="X330" i="42" s="1"/>
  <c r="W326" i="42"/>
  <c r="W330" i="42" s="1"/>
  <c r="AU321" i="42"/>
  <c r="AU323" i="42" s="1"/>
  <c r="AT321" i="42"/>
  <c r="AT323" i="42" s="1"/>
  <c r="AS321" i="42"/>
  <c r="AS323" i="42" s="1"/>
  <c r="AR321" i="42"/>
  <c r="AR323" i="42" s="1"/>
  <c r="AP321" i="42"/>
  <c r="AP323" i="42" s="1"/>
  <c r="AO321" i="42"/>
  <c r="AO323" i="42" s="1"/>
  <c r="AN321" i="42"/>
  <c r="AN323" i="42" s="1"/>
  <c r="AM321" i="42"/>
  <c r="AM323" i="42" s="1"/>
  <c r="AK321" i="42"/>
  <c r="AJ321" i="42"/>
  <c r="AJ323" i="42" s="1"/>
  <c r="AI321" i="42"/>
  <c r="AI323" i="42" s="1"/>
  <c r="AH321" i="42"/>
  <c r="AH323" i="42" s="1"/>
  <c r="AF321" i="42"/>
  <c r="AF323" i="42" s="1"/>
  <c r="AE321" i="42"/>
  <c r="AE323" i="42" s="1"/>
  <c r="AD321" i="42"/>
  <c r="AD323" i="42" s="1"/>
  <c r="AC321" i="42"/>
  <c r="AC323" i="42" s="1"/>
  <c r="Z321" i="42"/>
  <c r="Z323" i="42" s="1"/>
  <c r="Y321" i="42"/>
  <c r="Y323" i="42" s="1"/>
  <c r="X321" i="42"/>
  <c r="X323" i="42" s="1"/>
  <c r="W321" i="42"/>
  <c r="W323" i="42" s="1"/>
  <c r="BH311" i="42"/>
  <c r="BC311" i="42"/>
  <c r="BB311" i="42"/>
  <c r="AZ311" i="42"/>
  <c r="AY311" i="42"/>
  <c r="AX311" i="42"/>
  <c r="AW311" i="42"/>
  <c r="AU311" i="42"/>
  <c r="AT311" i="42"/>
  <c r="AS311" i="42"/>
  <c r="AR311" i="42"/>
  <c r="AP311" i="42"/>
  <c r="AO311" i="42"/>
  <c r="AN311" i="42"/>
  <c r="AM311" i="42"/>
  <c r="AK311" i="42"/>
  <c r="AJ311" i="42"/>
  <c r="AI311" i="42"/>
  <c r="AH311" i="42"/>
  <c r="AF311" i="42"/>
  <c r="AE311" i="42"/>
  <c r="AD311" i="42"/>
  <c r="AC311" i="42"/>
  <c r="Z311" i="42"/>
  <c r="Y311" i="42"/>
  <c r="X311" i="42"/>
  <c r="W311" i="42"/>
  <c r="BC283" i="42"/>
  <c r="BC285" i="42" s="1"/>
  <c r="BB283" i="42"/>
  <c r="BB285" i="42" s="1"/>
  <c r="AZ283" i="42"/>
  <c r="AZ285" i="42" s="1"/>
  <c r="AY283" i="42"/>
  <c r="AY285" i="42" s="1"/>
  <c r="AX283" i="42"/>
  <c r="AX285" i="42" s="1"/>
  <c r="AW283" i="42"/>
  <c r="AW285" i="42" s="1"/>
  <c r="BC276" i="42"/>
  <c r="BC278" i="42" s="1"/>
  <c r="BB276" i="42"/>
  <c r="BB278" i="42" s="1"/>
  <c r="AZ276" i="42"/>
  <c r="AZ278" i="42" s="1"/>
  <c r="AY276" i="42"/>
  <c r="AY278" i="42" s="1"/>
  <c r="AX276" i="42"/>
  <c r="AX278" i="42" s="1"/>
  <c r="AW276" i="42"/>
  <c r="AW278" i="42" s="1"/>
  <c r="BC271" i="42"/>
  <c r="BC273" i="42" s="1"/>
  <c r="BB271" i="42"/>
  <c r="BB273" i="42" s="1"/>
  <c r="AZ271" i="42"/>
  <c r="AZ273" i="42" s="1"/>
  <c r="AY271" i="42"/>
  <c r="AY273" i="42" s="1"/>
  <c r="AX271" i="42"/>
  <c r="AX273" i="42" s="1"/>
  <c r="AW271" i="42"/>
  <c r="AW273" i="42" s="1"/>
  <c r="AU271" i="42"/>
  <c r="AT271" i="42"/>
  <c r="AS271" i="42"/>
  <c r="AR271" i="42"/>
  <c r="AP271" i="42"/>
  <c r="AO271" i="42"/>
  <c r="AN271" i="42"/>
  <c r="AM271" i="42"/>
  <c r="AK271" i="42"/>
  <c r="AJ271" i="42"/>
  <c r="AI271" i="42"/>
  <c r="AH271" i="42"/>
  <c r="AF271" i="42"/>
  <c r="AE271" i="42"/>
  <c r="AD271" i="42"/>
  <c r="AC271" i="42"/>
  <c r="Z271" i="42"/>
  <c r="Y271" i="42"/>
  <c r="X271" i="42"/>
  <c r="AU264" i="42"/>
  <c r="AT264" i="42"/>
  <c r="AS264" i="42"/>
  <c r="AR264" i="42"/>
  <c r="AP264" i="42"/>
  <c r="AO264" i="42"/>
  <c r="AN264" i="42"/>
  <c r="AM264" i="42"/>
  <c r="AK264" i="42"/>
  <c r="AJ264" i="42"/>
  <c r="AI264" i="42"/>
  <c r="AH264" i="42"/>
  <c r="AF264" i="42"/>
  <c r="AE264" i="42"/>
  <c r="AD264" i="42"/>
  <c r="AC264" i="42"/>
  <c r="Z264" i="42"/>
  <c r="Y264" i="42"/>
  <c r="X264" i="42"/>
  <c r="AU257" i="42"/>
  <c r="AS257" i="42"/>
  <c r="AR257" i="42"/>
  <c r="AP257" i="42"/>
  <c r="AN257" i="42"/>
  <c r="AM257" i="42"/>
  <c r="AK257" i="42"/>
  <c r="AJ257" i="42"/>
  <c r="AI257" i="42"/>
  <c r="AH257" i="42"/>
  <c r="AF257" i="42"/>
  <c r="AE257" i="42"/>
  <c r="AD257" i="42"/>
  <c r="AC257" i="42"/>
  <c r="Z257" i="42"/>
  <c r="Y257" i="42"/>
  <c r="X257" i="42"/>
  <c r="BC252" i="42"/>
  <c r="BC254" i="42" s="1"/>
  <c r="BB252" i="42"/>
  <c r="BB254" i="42" s="1"/>
  <c r="AZ252" i="42"/>
  <c r="AZ254" i="42" s="1"/>
  <c r="AY252" i="42"/>
  <c r="AY254" i="42" s="1"/>
  <c r="AX252" i="42"/>
  <c r="AX254" i="42" s="1"/>
  <c r="AW252" i="42"/>
  <c r="AW254" i="42" s="1"/>
  <c r="AU252" i="42"/>
  <c r="AR252" i="42"/>
  <c r="AP252" i="42"/>
  <c r="AM252" i="42"/>
  <c r="AK252" i="42"/>
  <c r="AJ252" i="42"/>
  <c r="AI252" i="42"/>
  <c r="AH252" i="42"/>
  <c r="AF252" i="42"/>
  <c r="AE252" i="42"/>
  <c r="AD252" i="42"/>
  <c r="AC252" i="42"/>
  <c r="Z252" i="42"/>
  <c r="Y252" i="42"/>
  <c r="X252" i="42"/>
  <c r="W252" i="42"/>
  <c r="BC242" i="42"/>
  <c r="BB242" i="42"/>
  <c r="AZ242" i="42"/>
  <c r="AY242" i="42"/>
  <c r="AX242" i="42"/>
  <c r="AW242" i="42"/>
  <c r="AU242" i="42"/>
  <c r="AT242" i="42"/>
  <c r="AS242" i="42"/>
  <c r="AR242" i="42"/>
  <c r="AP242" i="42"/>
  <c r="AO242" i="42"/>
  <c r="AN242" i="42"/>
  <c r="AM242" i="42"/>
  <c r="AK242" i="42"/>
  <c r="AJ242" i="42"/>
  <c r="AI242" i="42"/>
  <c r="AH242" i="42"/>
  <c r="AF242" i="42"/>
  <c r="AE242" i="42"/>
  <c r="AD242" i="42"/>
  <c r="AC242" i="42"/>
  <c r="Z242" i="42"/>
  <c r="Y242" i="42"/>
  <c r="X242" i="42"/>
  <c r="W242" i="42"/>
  <c r="BC212" i="42"/>
  <c r="BC214" i="42" s="1"/>
  <c r="BB212" i="42"/>
  <c r="BB214" i="42" s="1"/>
  <c r="AZ212" i="42"/>
  <c r="AY212" i="42"/>
  <c r="AY214" i="42" s="1"/>
  <c r="AX212" i="42"/>
  <c r="AX214" i="42" s="1"/>
  <c r="AW212" i="42"/>
  <c r="AW214" i="42" s="1"/>
  <c r="AU212" i="42"/>
  <c r="AT212" i="42"/>
  <c r="AT214" i="42" s="1"/>
  <c r="AS212" i="42"/>
  <c r="AS214" i="42" s="1"/>
  <c r="AR212" i="42"/>
  <c r="AR214" i="42" s="1"/>
  <c r="AP212" i="42"/>
  <c r="AO212" i="42"/>
  <c r="AO214" i="42" s="1"/>
  <c r="AN212" i="42"/>
  <c r="AN214" i="42" s="1"/>
  <c r="AM212" i="42"/>
  <c r="AM214" i="42" s="1"/>
  <c r="AK212" i="42"/>
  <c r="AJ212" i="42"/>
  <c r="AJ214" i="42" s="1"/>
  <c r="AI212" i="42"/>
  <c r="AI214" i="42" s="1"/>
  <c r="AH212" i="42"/>
  <c r="AH214" i="42" s="1"/>
  <c r="BC207" i="42"/>
  <c r="BC209" i="42" s="1"/>
  <c r="BB207" i="42"/>
  <c r="BB209" i="42" s="1"/>
  <c r="AZ207" i="42"/>
  <c r="AY207" i="42"/>
  <c r="AY209" i="42" s="1"/>
  <c r="AX207" i="42"/>
  <c r="AX209" i="42" s="1"/>
  <c r="AW207" i="42"/>
  <c r="AW209" i="42" s="1"/>
  <c r="AU207" i="42"/>
  <c r="AT207" i="42"/>
  <c r="AT209" i="42" s="1"/>
  <c r="AS207" i="42"/>
  <c r="AS209" i="42" s="1"/>
  <c r="AR207" i="42"/>
  <c r="AR209" i="42" s="1"/>
  <c r="AP207" i="42"/>
  <c r="AO207" i="42"/>
  <c r="AO209" i="42" s="1"/>
  <c r="AN207" i="42"/>
  <c r="AN209" i="42" s="1"/>
  <c r="AM207" i="42"/>
  <c r="AM209" i="42" s="1"/>
  <c r="AK207" i="42"/>
  <c r="AK209" i="42" s="1"/>
  <c r="AJ207" i="42"/>
  <c r="AJ209" i="42" s="1"/>
  <c r="AI207" i="42"/>
  <c r="AI209" i="42" s="1"/>
  <c r="AH207" i="42"/>
  <c r="AH209" i="42" s="1"/>
  <c r="AZ202" i="42"/>
  <c r="AZ204" i="42" s="1"/>
  <c r="AY202" i="42"/>
  <c r="AY204" i="42" s="1"/>
  <c r="AX202" i="42"/>
  <c r="AX204" i="42" s="1"/>
  <c r="AW202" i="42"/>
  <c r="AW204" i="42" s="1"/>
  <c r="AU202" i="42"/>
  <c r="AU204" i="42" s="1"/>
  <c r="AT202" i="42"/>
  <c r="AT204" i="42" s="1"/>
  <c r="AS202" i="42"/>
  <c r="AS204" i="42" s="1"/>
  <c r="AR202" i="42"/>
  <c r="AR204" i="42" s="1"/>
  <c r="AP202" i="42"/>
  <c r="AP204" i="42" s="1"/>
  <c r="AO202" i="42"/>
  <c r="AO204" i="42" s="1"/>
  <c r="AN202" i="42"/>
  <c r="AN204" i="42" s="1"/>
  <c r="AM202" i="42"/>
  <c r="AM204" i="42" s="1"/>
  <c r="AK202" i="42"/>
  <c r="AK204" i="42" s="1"/>
  <c r="AJ202" i="42"/>
  <c r="AJ204" i="42" s="1"/>
  <c r="AI202" i="42"/>
  <c r="AI204" i="42" s="1"/>
  <c r="AH202" i="42"/>
  <c r="AH204" i="42" s="1"/>
  <c r="AF202" i="42"/>
  <c r="AF204" i="42" s="1"/>
  <c r="AE202" i="42"/>
  <c r="AE204" i="42" s="1"/>
  <c r="AD202" i="42"/>
  <c r="AD204" i="42" s="1"/>
  <c r="AC202" i="42"/>
  <c r="AC204" i="42" s="1"/>
  <c r="Z202" i="42"/>
  <c r="Z204" i="42" s="1"/>
  <c r="Y202" i="42"/>
  <c r="Y204" i="42" s="1"/>
  <c r="X202" i="42"/>
  <c r="X204" i="42" s="1"/>
  <c r="W202" i="42"/>
  <c r="W204" i="42" s="1"/>
  <c r="AZ195" i="42"/>
  <c r="AZ199" i="42" s="1"/>
  <c r="AY195" i="42"/>
  <c r="AY199" i="42" s="1"/>
  <c r="AX195" i="42"/>
  <c r="AX199" i="42" s="1"/>
  <c r="AW195" i="42"/>
  <c r="AW199" i="42" s="1"/>
  <c r="AU195" i="42"/>
  <c r="AU199" i="42" s="1"/>
  <c r="AT195" i="42"/>
  <c r="AT199" i="42" s="1"/>
  <c r="AS195" i="42"/>
  <c r="AS199" i="42" s="1"/>
  <c r="AR195" i="42"/>
  <c r="AR199" i="42" s="1"/>
  <c r="AP195" i="42"/>
  <c r="AP199" i="42" s="1"/>
  <c r="AO195" i="42"/>
  <c r="AO199" i="42" s="1"/>
  <c r="AN195" i="42"/>
  <c r="AN199" i="42" s="1"/>
  <c r="AM195" i="42"/>
  <c r="AM199" i="42" s="1"/>
  <c r="AK195" i="42"/>
  <c r="AK199" i="42" s="1"/>
  <c r="AJ195" i="42"/>
  <c r="AJ199" i="42" s="1"/>
  <c r="AI195" i="42"/>
  <c r="AI199" i="42" s="1"/>
  <c r="AH195" i="42"/>
  <c r="AH199" i="42" s="1"/>
  <c r="AF195" i="42"/>
  <c r="AF199" i="42" s="1"/>
  <c r="AE195" i="42"/>
  <c r="AE199" i="42" s="1"/>
  <c r="AD195" i="42"/>
  <c r="AD199" i="42" s="1"/>
  <c r="AC195" i="42"/>
  <c r="AC199" i="42" s="1"/>
  <c r="Z195" i="42"/>
  <c r="Z199" i="42" s="1"/>
  <c r="Y195" i="42"/>
  <c r="Y199" i="42" s="1"/>
  <c r="X195" i="42"/>
  <c r="X199" i="42" s="1"/>
  <c r="W195" i="42"/>
  <c r="W199" i="42" s="1"/>
  <c r="BC188" i="42"/>
  <c r="BC192" i="42" s="1"/>
  <c r="BB188" i="42"/>
  <c r="BB192" i="42" s="1"/>
  <c r="AZ188" i="42"/>
  <c r="AZ192" i="42" s="1"/>
  <c r="AY188" i="42"/>
  <c r="AY192" i="42" s="1"/>
  <c r="AX188" i="42"/>
  <c r="AX192" i="42" s="1"/>
  <c r="AW188" i="42"/>
  <c r="AW192" i="42" s="1"/>
  <c r="AU188" i="42"/>
  <c r="AU192" i="42" s="1"/>
  <c r="AT188" i="42"/>
  <c r="AT192" i="42" s="1"/>
  <c r="AS188" i="42"/>
  <c r="AS192" i="42" s="1"/>
  <c r="AR188" i="42"/>
  <c r="AR192" i="42" s="1"/>
  <c r="AP188" i="42"/>
  <c r="AP192" i="42" s="1"/>
  <c r="AO188" i="42"/>
  <c r="AO192" i="42" s="1"/>
  <c r="AN188" i="42"/>
  <c r="AN192" i="42" s="1"/>
  <c r="AM188" i="42"/>
  <c r="AM192" i="42" s="1"/>
  <c r="AK188" i="42"/>
  <c r="AK192" i="42" s="1"/>
  <c r="AJ188" i="42"/>
  <c r="AJ192" i="42" s="1"/>
  <c r="AI188" i="42"/>
  <c r="AI192" i="42" s="1"/>
  <c r="AH188" i="42"/>
  <c r="AH192" i="42" s="1"/>
  <c r="AF188" i="42"/>
  <c r="AF192" i="42" s="1"/>
  <c r="AE188" i="42"/>
  <c r="AE192" i="42" s="1"/>
  <c r="AD188" i="42"/>
  <c r="AD192" i="42" s="1"/>
  <c r="AC188" i="42"/>
  <c r="AC192" i="42" s="1"/>
  <c r="Z188" i="42"/>
  <c r="Z192" i="42" s="1"/>
  <c r="Y188" i="42"/>
  <c r="Y192" i="42" s="1"/>
  <c r="X188" i="42"/>
  <c r="X192" i="42" s="1"/>
  <c r="W188" i="42"/>
  <c r="W192" i="42" s="1"/>
  <c r="BH183" i="42"/>
  <c r="BC183" i="42"/>
  <c r="BC185" i="42" s="1"/>
  <c r="BB183" i="42"/>
  <c r="BB185" i="42" s="1"/>
  <c r="AZ183" i="42"/>
  <c r="AZ185" i="42" s="1"/>
  <c r="AY183" i="42"/>
  <c r="AY185" i="42" s="1"/>
  <c r="AX183" i="42"/>
  <c r="AX185" i="42" s="1"/>
  <c r="AW183" i="42"/>
  <c r="AW185" i="42" s="1"/>
  <c r="AU183" i="42"/>
  <c r="AU185" i="42" s="1"/>
  <c r="AT183" i="42"/>
  <c r="AT185" i="42" s="1"/>
  <c r="AS183" i="42"/>
  <c r="AS185" i="42" s="1"/>
  <c r="AR183" i="42"/>
  <c r="AR185" i="42" s="1"/>
  <c r="AP183" i="42"/>
  <c r="AP185" i="42" s="1"/>
  <c r="AO183" i="42"/>
  <c r="AO185" i="42" s="1"/>
  <c r="AN183" i="42"/>
  <c r="AN185" i="42" s="1"/>
  <c r="AM183" i="42"/>
  <c r="AM185" i="42" s="1"/>
  <c r="AK183" i="42"/>
  <c r="AK185" i="42" s="1"/>
  <c r="AJ183" i="42"/>
  <c r="AJ185" i="42" s="1"/>
  <c r="AI183" i="42"/>
  <c r="AI185" i="42" s="1"/>
  <c r="AH183" i="42"/>
  <c r="AH185" i="42" s="1"/>
  <c r="AF183" i="42"/>
  <c r="AF185" i="42" s="1"/>
  <c r="AE183" i="42"/>
  <c r="AE185" i="42" s="1"/>
  <c r="AD183" i="42"/>
  <c r="AD185" i="42" s="1"/>
  <c r="AC183" i="42"/>
  <c r="AC185" i="42" s="1"/>
  <c r="Z183" i="42"/>
  <c r="Z185" i="42" s="1"/>
  <c r="Y183" i="42"/>
  <c r="Y185" i="42" s="1"/>
  <c r="X183" i="42"/>
  <c r="X185" i="42" s="1"/>
  <c r="W183" i="42"/>
  <c r="W185" i="42" s="1"/>
  <c r="BC52" i="42"/>
  <c r="BC54" i="42" s="1"/>
  <c r="BB52" i="42"/>
  <c r="BB54" i="42" s="1"/>
  <c r="AZ52" i="42"/>
  <c r="AZ54" i="42" s="1"/>
  <c r="AY52" i="42"/>
  <c r="AY54" i="42" s="1"/>
  <c r="AX52" i="42"/>
  <c r="AX54" i="42" s="1"/>
  <c r="AW52" i="42"/>
  <c r="AW54" i="42" s="1"/>
  <c r="AT52" i="42"/>
  <c r="AT54" i="42" s="1"/>
  <c r="AS52" i="42"/>
  <c r="AS54" i="42" s="1"/>
  <c r="AR52" i="42"/>
  <c r="AR54" i="42" s="1"/>
  <c r="AO52" i="42"/>
  <c r="AN52" i="42"/>
  <c r="AM52" i="42"/>
  <c r="BC46" i="42"/>
  <c r="BB46" i="42"/>
  <c r="AZ46" i="42"/>
  <c r="AY46" i="42"/>
  <c r="AX46" i="42"/>
  <c r="AW46" i="42"/>
  <c r="AU46" i="42"/>
  <c r="AT46" i="42"/>
  <c r="AS46" i="42"/>
  <c r="AR46" i="42"/>
  <c r="AP46" i="42"/>
  <c r="AO46" i="42"/>
  <c r="AN46" i="42"/>
  <c r="AM46" i="42"/>
  <c r="BC27" i="42"/>
  <c r="BC31" i="42" s="1"/>
  <c r="BB27" i="42"/>
  <c r="BB31" i="42" s="1"/>
  <c r="AZ27" i="42"/>
  <c r="AZ31" i="42" s="1"/>
  <c r="AY27" i="42"/>
  <c r="AY31" i="42" s="1"/>
  <c r="AX27" i="42"/>
  <c r="AX31" i="42" s="1"/>
  <c r="AW27" i="42"/>
  <c r="AW31" i="42" s="1"/>
  <c r="AU27" i="42"/>
  <c r="AU31" i="42" s="1"/>
  <c r="AT27" i="42"/>
  <c r="AT31" i="42" s="1"/>
  <c r="AS27" i="42"/>
  <c r="AS31" i="42" s="1"/>
  <c r="AR27" i="42"/>
  <c r="AR31" i="42" s="1"/>
  <c r="AP27" i="42"/>
  <c r="AO27" i="42"/>
  <c r="AN27" i="42"/>
  <c r="BL173" i="42"/>
  <c r="BL26" i="1" s="1"/>
  <c r="BO19" i="42"/>
  <c r="BN19" i="42"/>
  <c r="BM19" i="42"/>
  <c r="BL19" i="42"/>
  <c r="BL16" i="1" s="1"/>
  <c r="BL18" i="42"/>
  <c r="BL13" i="42"/>
  <c r="BH173" i="42"/>
  <c r="BH26" i="1" s="1"/>
  <c r="BH166" i="42"/>
  <c r="BH165" i="42"/>
  <c r="BH22" i="1" s="1"/>
  <c r="BH164" i="42"/>
  <c r="BH21" i="1" s="1"/>
  <c r="BH19" i="42"/>
  <c r="BH18" i="42"/>
  <c r="BH13" i="42"/>
  <c r="BH12" i="42"/>
  <c r="BH11" i="42"/>
  <c r="BH10" i="42"/>
  <c r="BH9" i="42"/>
  <c r="BH9" i="1" s="1"/>
  <c r="BC174" i="42"/>
  <c r="BB174" i="42"/>
  <c r="BC173" i="42"/>
  <c r="BB173" i="42"/>
  <c r="BC167" i="42"/>
  <c r="BC166" i="42"/>
  <c r="BB166" i="42"/>
  <c r="BC165" i="42"/>
  <c r="BC22" i="1" s="1"/>
  <c r="AO35" i="53" s="1"/>
  <c r="BB165" i="42"/>
  <c r="BC164" i="42"/>
  <c r="BB164" i="42"/>
  <c r="BC163" i="42"/>
  <c r="BB163" i="42"/>
  <c r="BC19" i="42"/>
  <c r="BB19" i="42"/>
  <c r="BC18" i="42"/>
  <c r="BB18" i="42"/>
  <c r="BC13" i="42"/>
  <c r="BB13" i="42"/>
  <c r="BB13" i="1" s="1"/>
  <c r="AN15" i="53" s="1"/>
  <c r="BC12" i="42"/>
  <c r="BB12" i="42"/>
  <c r="BC11" i="42"/>
  <c r="BB11" i="42"/>
  <c r="BC10" i="42"/>
  <c r="BB10" i="42"/>
  <c r="BC9" i="42"/>
  <c r="BB9" i="42"/>
  <c r="AZ174" i="42"/>
  <c r="AY174" i="42"/>
  <c r="AX174" i="42"/>
  <c r="AX27" i="1" s="1"/>
  <c r="AJ40" i="53" s="1"/>
  <c r="AW174" i="42"/>
  <c r="AZ173" i="42"/>
  <c r="AZ26" i="1" s="1"/>
  <c r="AL39" i="53" s="1"/>
  <c r="AY173" i="42"/>
  <c r="AX173" i="42"/>
  <c r="AW173" i="42"/>
  <c r="AZ167" i="42"/>
  <c r="AY167" i="42"/>
  <c r="AX167" i="42"/>
  <c r="AW167" i="42"/>
  <c r="AZ166" i="42"/>
  <c r="AZ23" i="1" s="1"/>
  <c r="AL36" i="53" s="1"/>
  <c r="AY166" i="42"/>
  <c r="AX166" i="42"/>
  <c r="AW166" i="42"/>
  <c r="AW23" i="1" s="1"/>
  <c r="AI36" i="53" s="1"/>
  <c r="AZ165" i="42"/>
  <c r="AY165" i="42"/>
  <c r="AX165" i="42"/>
  <c r="AW165" i="42"/>
  <c r="AZ164" i="42"/>
  <c r="AZ21" i="1" s="1"/>
  <c r="AL34" i="53" s="1"/>
  <c r="AY164" i="42"/>
  <c r="AX164" i="42"/>
  <c r="AX21" i="1" s="1"/>
  <c r="AJ34" i="53" s="1"/>
  <c r="AW164" i="42"/>
  <c r="AZ163" i="42"/>
  <c r="AY163" i="42"/>
  <c r="AX163" i="42"/>
  <c r="AW163" i="42"/>
  <c r="AZ19" i="42"/>
  <c r="AZ16" i="1" s="1"/>
  <c r="AL20" i="53" s="1"/>
  <c r="AY19" i="42"/>
  <c r="AX19" i="42"/>
  <c r="AW19" i="42"/>
  <c r="AW16" i="1" s="1"/>
  <c r="AI20" i="53" s="1"/>
  <c r="AZ18" i="42"/>
  <c r="AY18" i="42"/>
  <c r="AX18" i="42"/>
  <c r="AW18" i="42"/>
  <c r="AZ13" i="42"/>
  <c r="AZ13" i="1" s="1"/>
  <c r="AL15" i="53" s="1"/>
  <c r="AY13" i="42"/>
  <c r="AX13" i="42"/>
  <c r="AW13" i="42"/>
  <c r="AZ12" i="42"/>
  <c r="AY12" i="42"/>
  <c r="AX12" i="42"/>
  <c r="AX12" i="1" s="1"/>
  <c r="AJ13" i="53" s="1"/>
  <c r="AW12" i="42"/>
  <c r="AZ11" i="42"/>
  <c r="AZ11" i="1" s="1"/>
  <c r="AL11" i="53" s="1"/>
  <c r="AY11" i="42"/>
  <c r="AX11" i="42"/>
  <c r="AX11" i="1" s="1"/>
  <c r="AJ11" i="53" s="1"/>
  <c r="AW11" i="42"/>
  <c r="AW11" i="1" s="1"/>
  <c r="AI11" i="53" s="1"/>
  <c r="AZ10" i="42"/>
  <c r="AY10" i="42"/>
  <c r="AX10" i="42"/>
  <c r="AW10" i="42"/>
  <c r="AZ9" i="42"/>
  <c r="AY9" i="42"/>
  <c r="AX9" i="42"/>
  <c r="AW9" i="42"/>
  <c r="AU174" i="42"/>
  <c r="AT174" i="42"/>
  <c r="AS174" i="42"/>
  <c r="AS27" i="1" s="1"/>
  <c r="AE40" i="53" s="1"/>
  <c r="AR174" i="42"/>
  <c r="AU173" i="42"/>
  <c r="AU26" i="1" s="1"/>
  <c r="AG39" i="53" s="1"/>
  <c r="AT173" i="42"/>
  <c r="AS173" i="42"/>
  <c r="AR173" i="42"/>
  <c r="AU167" i="42"/>
  <c r="AT167" i="42"/>
  <c r="AS167" i="42"/>
  <c r="AR167" i="42"/>
  <c r="AR24" i="1" s="1"/>
  <c r="AU166" i="42"/>
  <c r="AU23" i="1" s="1"/>
  <c r="AG36" i="53" s="1"/>
  <c r="AT166" i="42"/>
  <c r="AS166" i="42"/>
  <c r="AR166" i="42"/>
  <c r="AU165" i="42"/>
  <c r="AT165" i="42"/>
  <c r="AS165" i="42"/>
  <c r="AS22" i="1" s="1"/>
  <c r="AE35" i="53" s="1"/>
  <c r="AR165" i="42"/>
  <c r="AU164" i="42"/>
  <c r="AU21" i="1" s="1"/>
  <c r="AG34" i="53" s="1"/>
  <c r="AT164" i="42"/>
  <c r="AS164" i="42"/>
  <c r="AR164" i="42"/>
  <c r="AU163" i="42"/>
  <c r="AT163" i="42"/>
  <c r="AS163" i="42"/>
  <c r="AR163" i="42"/>
  <c r="AU19" i="42"/>
  <c r="AU16" i="1" s="1"/>
  <c r="AG20" i="53" s="1"/>
  <c r="AT19" i="42"/>
  <c r="AS19" i="42"/>
  <c r="AS16" i="1" s="1"/>
  <c r="AE20" i="53" s="1"/>
  <c r="AR19" i="42"/>
  <c r="AR16" i="1" s="1"/>
  <c r="AD20" i="53" s="1"/>
  <c r="AU18" i="42"/>
  <c r="AT18" i="42"/>
  <c r="AS18" i="42"/>
  <c r="AR18" i="42"/>
  <c r="AU13" i="42"/>
  <c r="AU13" i="1" s="1"/>
  <c r="AG15" i="53" s="1"/>
  <c r="AT13" i="42"/>
  <c r="AS13" i="42"/>
  <c r="AR13" i="42"/>
  <c r="AU12" i="42"/>
  <c r="AT12" i="42"/>
  <c r="AS12" i="42"/>
  <c r="AR12" i="42"/>
  <c r="AU11" i="42"/>
  <c r="AU11" i="1" s="1"/>
  <c r="AG11" i="53" s="1"/>
  <c r="AT11" i="42"/>
  <c r="AS11" i="42"/>
  <c r="AS11" i="1" s="1"/>
  <c r="AE11" i="53" s="1"/>
  <c r="AR11" i="42"/>
  <c r="AU10" i="42"/>
  <c r="AT10" i="42"/>
  <c r="AS10" i="42"/>
  <c r="AR10" i="42"/>
  <c r="AU9" i="42"/>
  <c r="AU9" i="1" s="1"/>
  <c r="AG7" i="53" s="1"/>
  <c r="AT9" i="42"/>
  <c r="AS9" i="42"/>
  <c r="AR9" i="42"/>
  <c r="AR9" i="1" s="1"/>
  <c r="AD7" i="53" s="1"/>
  <c r="AP174" i="42"/>
  <c r="AO174" i="42"/>
  <c r="AN174" i="42"/>
  <c r="AM174" i="42"/>
  <c r="AM27" i="1" s="1"/>
  <c r="Y40" i="53" s="1"/>
  <c r="AP173" i="42"/>
  <c r="AP26" i="1" s="1"/>
  <c r="AB39" i="53" s="1"/>
  <c r="AO173" i="42"/>
  <c r="AN173" i="42"/>
  <c r="AN26" i="1" s="1"/>
  <c r="Z39" i="53" s="1"/>
  <c r="AM173" i="42"/>
  <c r="AP167" i="42"/>
  <c r="AO167" i="42"/>
  <c r="AN167" i="42"/>
  <c r="AN24" i="1" s="1"/>
  <c r="Z37" i="53" s="1"/>
  <c r="AM167" i="42"/>
  <c r="AP166" i="42"/>
  <c r="AP23" i="1" s="1"/>
  <c r="AB36" i="53" s="1"/>
  <c r="AO166" i="42"/>
  <c r="AO23" i="1" s="1"/>
  <c r="AA36" i="53" s="1"/>
  <c r="AN166" i="42"/>
  <c r="AM166" i="42"/>
  <c r="AP165" i="42"/>
  <c r="AO165" i="42"/>
  <c r="AN165" i="42"/>
  <c r="AM165" i="42"/>
  <c r="AP164" i="42"/>
  <c r="AP21" i="1" s="1"/>
  <c r="AB34" i="53" s="1"/>
  <c r="AO164" i="42"/>
  <c r="AN164" i="42"/>
  <c r="AN21" i="1" s="1"/>
  <c r="AM164" i="42"/>
  <c r="AM21" i="1" s="1"/>
  <c r="Y34" i="53" s="1"/>
  <c r="AP163" i="42"/>
  <c r="AO163" i="42"/>
  <c r="AN163" i="42"/>
  <c r="AM163" i="42"/>
  <c r="AP19" i="42"/>
  <c r="AP16" i="1" s="1"/>
  <c r="AB20" i="53" s="1"/>
  <c r="AO19" i="42"/>
  <c r="AN19" i="42"/>
  <c r="AM19" i="42"/>
  <c r="AP18" i="42"/>
  <c r="AO18" i="42"/>
  <c r="AN18" i="42"/>
  <c r="AM18" i="42"/>
  <c r="AP13" i="42"/>
  <c r="AP13" i="1" s="1"/>
  <c r="AB15" i="53" s="1"/>
  <c r="AO13" i="42"/>
  <c r="AN13" i="42"/>
  <c r="AN13" i="1" s="1"/>
  <c r="Z15" i="53" s="1"/>
  <c r="AM13" i="42"/>
  <c r="AP12" i="42"/>
  <c r="AO12" i="42"/>
  <c r="AN12" i="42"/>
  <c r="AM12" i="42"/>
  <c r="AP11" i="42"/>
  <c r="AP11" i="1" s="1"/>
  <c r="AB11" i="53" s="1"/>
  <c r="AO11" i="42"/>
  <c r="AN11" i="42"/>
  <c r="AN11" i="1" s="1"/>
  <c r="Z11" i="53" s="1"/>
  <c r="AM11" i="42"/>
  <c r="AP10" i="42"/>
  <c r="AM10" i="42"/>
  <c r="AM10" i="1" s="1"/>
  <c r="Y9" i="53" s="1"/>
  <c r="AP9" i="42"/>
  <c r="AO9" i="42"/>
  <c r="AN9" i="42"/>
  <c r="AN9" i="1" s="1"/>
  <c r="Z7" i="53" s="1"/>
  <c r="AM9" i="42"/>
  <c r="AM9" i="1" s="1"/>
  <c r="Y7" i="53" s="1"/>
  <c r="AK174" i="42"/>
  <c r="AJ174" i="42"/>
  <c r="AI174" i="42"/>
  <c r="AH174" i="42"/>
  <c r="AK173" i="42"/>
  <c r="AK26" i="1" s="1"/>
  <c r="W39" i="53" s="1"/>
  <c r="AJ173" i="42"/>
  <c r="AI173" i="42"/>
  <c r="AH173" i="42"/>
  <c r="AH26" i="1" s="1"/>
  <c r="T39" i="53" s="1"/>
  <c r="AK167" i="42"/>
  <c r="AJ167" i="42"/>
  <c r="AI167" i="42"/>
  <c r="AI24" i="1" s="1"/>
  <c r="U37" i="53" s="1"/>
  <c r="AH167" i="42"/>
  <c r="AH24" i="1" s="1"/>
  <c r="T37" i="53" s="1"/>
  <c r="AK166" i="42"/>
  <c r="AK23" i="1" s="1"/>
  <c r="W36" i="53" s="1"/>
  <c r="AJ166" i="42"/>
  <c r="AI166" i="42"/>
  <c r="AI23" i="1" s="1"/>
  <c r="U36" i="53" s="1"/>
  <c r="AH166" i="42"/>
  <c r="AH23" i="1" s="1"/>
  <c r="T36" i="53" s="1"/>
  <c r="AK165" i="42"/>
  <c r="AJ165" i="42"/>
  <c r="AI165" i="42"/>
  <c r="AH165" i="42"/>
  <c r="AK164" i="42"/>
  <c r="AK21" i="1" s="1"/>
  <c r="W34" i="53" s="1"/>
  <c r="AJ164" i="42"/>
  <c r="AI164" i="42"/>
  <c r="AH164" i="42"/>
  <c r="AH21" i="1" s="1"/>
  <c r="T34" i="53" s="1"/>
  <c r="AK163" i="42"/>
  <c r="AJ163" i="42"/>
  <c r="AI163" i="42"/>
  <c r="AH163" i="42"/>
  <c r="AH20" i="1" s="1"/>
  <c r="T33" i="53" s="1"/>
  <c r="AK19" i="42"/>
  <c r="AK16" i="1" s="1"/>
  <c r="W20" i="53" s="1"/>
  <c r="AJ19" i="42"/>
  <c r="AI19" i="42"/>
  <c r="AH19" i="42"/>
  <c r="AK18" i="42"/>
  <c r="AJ18" i="42"/>
  <c r="AI18" i="42"/>
  <c r="AI15" i="1" s="1"/>
  <c r="U18" i="53" s="1"/>
  <c r="AH18" i="42"/>
  <c r="AK13" i="42"/>
  <c r="AK13" i="1" s="1"/>
  <c r="W15" i="53" s="1"/>
  <c r="AJ13" i="42"/>
  <c r="AI13" i="42"/>
  <c r="AH13" i="42"/>
  <c r="AH13" i="1" s="1"/>
  <c r="T15" i="53" s="1"/>
  <c r="AK12" i="42"/>
  <c r="AJ12" i="42"/>
  <c r="AI12" i="42"/>
  <c r="AH12" i="42"/>
  <c r="AH12" i="1" s="1"/>
  <c r="T13" i="53" s="1"/>
  <c r="AK11" i="42"/>
  <c r="AK11" i="1" s="1"/>
  <c r="W11" i="53" s="1"/>
  <c r="AJ11" i="42"/>
  <c r="AI11" i="42"/>
  <c r="AI11" i="1" s="1"/>
  <c r="U11" i="53" s="1"/>
  <c r="AH11" i="42"/>
  <c r="AH11" i="1" s="1"/>
  <c r="T11" i="53" s="1"/>
  <c r="AK10" i="42"/>
  <c r="AJ10" i="42"/>
  <c r="AI10" i="42"/>
  <c r="AH10" i="42"/>
  <c r="AK9" i="42"/>
  <c r="AJ9" i="42"/>
  <c r="AI9" i="42"/>
  <c r="AH9" i="42"/>
  <c r="AC9" i="42"/>
  <c r="AD9" i="42"/>
  <c r="AD9" i="1" s="1"/>
  <c r="AE9" i="42"/>
  <c r="AF9" i="42"/>
  <c r="AC10" i="42"/>
  <c r="AC10" i="1" s="1"/>
  <c r="AD10" i="42"/>
  <c r="AE10" i="42"/>
  <c r="AF10" i="42"/>
  <c r="AF10" i="1" s="1"/>
  <c r="R9" i="53" s="1"/>
  <c r="AC11" i="42"/>
  <c r="AD11" i="42"/>
  <c r="AE11" i="42"/>
  <c r="AF11" i="42"/>
  <c r="AF11" i="1" s="1"/>
  <c r="R11" i="53" s="1"/>
  <c r="AC12" i="42"/>
  <c r="AC12" i="1" s="1"/>
  <c r="O13" i="53" s="1"/>
  <c r="AD12" i="42"/>
  <c r="AE12" i="42"/>
  <c r="AE12" i="1" s="1"/>
  <c r="Q13" i="53" s="1"/>
  <c r="AF12" i="42"/>
  <c r="AC13" i="42"/>
  <c r="AD13" i="42"/>
  <c r="AE13" i="42"/>
  <c r="AF13" i="42"/>
  <c r="AC18" i="42"/>
  <c r="AD18" i="42"/>
  <c r="AD15" i="1" s="1"/>
  <c r="P18" i="53" s="1"/>
  <c r="AE18" i="42"/>
  <c r="AF18" i="42"/>
  <c r="AF15" i="1" s="1"/>
  <c r="R18" i="53" s="1"/>
  <c r="AC19" i="42"/>
  <c r="AC16" i="1" s="1"/>
  <c r="O20" i="53" s="1"/>
  <c r="AD19" i="42"/>
  <c r="AE19" i="42"/>
  <c r="AF19" i="42"/>
  <c r="AF16" i="1" s="1"/>
  <c r="R20" i="53" s="1"/>
  <c r="AC163" i="42"/>
  <c r="AD163" i="42"/>
  <c r="AE163" i="42"/>
  <c r="AF163" i="42"/>
  <c r="AF20" i="1" s="1"/>
  <c r="R33" i="53" s="1"/>
  <c r="AC164" i="42"/>
  <c r="AC21" i="1" s="1"/>
  <c r="O34" i="53" s="1"/>
  <c r="AD164" i="42"/>
  <c r="AD21" i="1" s="1"/>
  <c r="P34" i="53" s="1"/>
  <c r="AE164" i="42"/>
  <c r="AF164" i="42"/>
  <c r="AF21" i="1" s="1"/>
  <c r="R34" i="53" s="1"/>
  <c r="AC165" i="42"/>
  <c r="AD165" i="42"/>
  <c r="AE165" i="42"/>
  <c r="AF165" i="42"/>
  <c r="AF22" i="1" s="1"/>
  <c r="R35" i="53" s="1"/>
  <c r="AC166" i="42"/>
  <c r="AC23" i="1" s="1"/>
  <c r="O36" i="53" s="1"/>
  <c r="AD166" i="42"/>
  <c r="AE166" i="42"/>
  <c r="AF166" i="42"/>
  <c r="AF23" i="1" s="1"/>
  <c r="R36" i="53" s="1"/>
  <c r="AC167" i="42"/>
  <c r="AD167" i="42"/>
  <c r="AE167" i="42"/>
  <c r="AF167" i="42"/>
  <c r="AF24" i="1" s="1"/>
  <c r="AC173" i="42"/>
  <c r="AC26" i="1" s="1"/>
  <c r="O39" i="53" s="1"/>
  <c r="AD173" i="42"/>
  <c r="AD26" i="1" s="1"/>
  <c r="P39" i="53" s="1"/>
  <c r="AE173" i="42"/>
  <c r="AF173" i="42"/>
  <c r="AF26" i="1" s="1"/>
  <c r="R39" i="53" s="1"/>
  <c r="AC174" i="42"/>
  <c r="AD174" i="42"/>
  <c r="AE174" i="42"/>
  <c r="AF174" i="42"/>
  <c r="AF27" i="1" s="1"/>
  <c r="R40" i="53" s="1"/>
  <c r="Z174" i="42"/>
  <c r="Z27" i="1" s="1"/>
  <c r="L40" i="53" s="1"/>
  <c r="Y174" i="42"/>
  <c r="Y27" i="1" s="1"/>
  <c r="K40" i="53" s="1"/>
  <c r="X174" i="42"/>
  <c r="X27" i="1" s="1"/>
  <c r="J40" i="53" s="1"/>
  <c r="W174" i="42"/>
  <c r="W27" i="1" s="1"/>
  <c r="I40" i="53" s="1"/>
  <c r="Z173" i="42"/>
  <c r="Y173" i="42"/>
  <c r="X173" i="42"/>
  <c r="X26" i="1" s="1"/>
  <c r="W173" i="42"/>
  <c r="W26" i="1" s="1"/>
  <c r="I39" i="53" s="1"/>
  <c r="Z167" i="42"/>
  <c r="Z24" i="1" s="1"/>
  <c r="Y167" i="42"/>
  <c r="X167" i="42"/>
  <c r="W167" i="42"/>
  <c r="W24" i="1" s="1"/>
  <c r="I37" i="53" s="1"/>
  <c r="Z166" i="42"/>
  <c r="Y166" i="42"/>
  <c r="X166" i="42"/>
  <c r="W166" i="42"/>
  <c r="W23" i="1" s="1"/>
  <c r="I36" i="53" s="1"/>
  <c r="Z165" i="42"/>
  <c r="Z22" i="1" s="1"/>
  <c r="L35" i="53" s="1"/>
  <c r="Y165" i="42"/>
  <c r="X165" i="42"/>
  <c r="X22" i="1" s="1"/>
  <c r="J35" i="53" s="1"/>
  <c r="W165" i="42"/>
  <c r="W22" i="1" s="1"/>
  <c r="I35" i="53" s="1"/>
  <c r="Z164" i="42"/>
  <c r="Y164" i="42"/>
  <c r="X164" i="42"/>
  <c r="W164" i="42"/>
  <c r="W21" i="1" s="1"/>
  <c r="I34" i="53" s="1"/>
  <c r="Z163" i="42"/>
  <c r="Z20" i="1" s="1"/>
  <c r="L33" i="53" s="1"/>
  <c r="Y163" i="42"/>
  <c r="X163" i="42"/>
  <c r="W163" i="42"/>
  <c r="Z19" i="42"/>
  <c r="Z16" i="1" s="1"/>
  <c r="L20" i="53" s="1"/>
  <c r="Y19" i="42"/>
  <c r="X19" i="42"/>
  <c r="W19" i="42"/>
  <c r="W16" i="1" s="1"/>
  <c r="I20" i="53" s="1"/>
  <c r="Z18" i="42"/>
  <c r="Y18" i="42"/>
  <c r="X18" i="42"/>
  <c r="X15" i="1" s="1"/>
  <c r="J18" i="53" s="1"/>
  <c r="W18" i="42"/>
  <c r="W15" i="1" s="1"/>
  <c r="I18" i="53" s="1"/>
  <c r="Z13" i="42"/>
  <c r="Z13" i="1" s="1"/>
  <c r="L15" i="53" s="1"/>
  <c r="Y13" i="42"/>
  <c r="X13" i="42"/>
  <c r="X13" i="1" s="1"/>
  <c r="J15" i="53" s="1"/>
  <c r="W13" i="42"/>
  <c r="W13" i="1" s="1"/>
  <c r="I15" i="53" s="1"/>
  <c r="Z12" i="42"/>
  <c r="X12" i="42"/>
  <c r="X12" i="1" s="1"/>
  <c r="J13" i="53" s="1"/>
  <c r="W12" i="42"/>
  <c r="W12" i="1" s="1"/>
  <c r="I13" i="53" s="1"/>
  <c r="Z11" i="42"/>
  <c r="Y11" i="42"/>
  <c r="Y11" i="1" s="1"/>
  <c r="X11" i="42"/>
  <c r="W11" i="42"/>
  <c r="W11" i="1" s="1"/>
  <c r="I11" i="53" s="1"/>
  <c r="Z10" i="42"/>
  <c r="Y10" i="42"/>
  <c r="X10" i="42"/>
  <c r="W10" i="42"/>
  <c r="W10" i="1" s="1"/>
  <c r="I9" i="53" s="1"/>
  <c r="Z9" i="42"/>
  <c r="Y9" i="42"/>
  <c r="X9" i="42"/>
  <c r="W9" i="42"/>
  <c r="U174" i="42"/>
  <c r="T174" i="42"/>
  <c r="S174" i="42"/>
  <c r="U173" i="42"/>
  <c r="U26" i="1" s="1"/>
  <c r="G39" i="53" s="1"/>
  <c r="T173" i="42"/>
  <c r="T26" i="1" s="1"/>
  <c r="F39" i="53" s="1"/>
  <c r="S173" i="42"/>
  <c r="U167" i="42"/>
  <c r="T167" i="42"/>
  <c r="T24" i="1" s="1"/>
  <c r="F37" i="53" s="1"/>
  <c r="S167" i="42"/>
  <c r="U166" i="42"/>
  <c r="T166" i="42"/>
  <c r="S166" i="42"/>
  <c r="S23" i="1" s="1"/>
  <c r="E36" i="53" s="1"/>
  <c r="U165" i="42"/>
  <c r="T165" i="42"/>
  <c r="T22" i="1" s="1"/>
  <c r="F35" i="53" s="1"/>
  <c r="S165" i="42"/>
  <c r="U164" i="42"/>
  <c r="U21" i="1" s="1"/>
  <c r="G34" i="53" s="1"/>
  <c r="T164" i="42"/>
  <c r="S164" i="42"/>
  <c r="U163" i="42"/>
  <c r="T163" i="42"/>
  <c r="T20" i="1" s="1"/>
  <c r="F33" i="53" s="1"/>
  <c r="S163" i="42"/>
  <c r="U19" i="42"/>
  <c r="T19" i="42"/>
  <c r="S19" i="42"/>
  <c r="S16" i="1" s="1"/>
  <c r="E20" i="53" s="1"/>
  <c r="U18" i="42"/>
  <c r="T18" i="42"/>
  <c r="S18" i="42"/>
  <c r="U13" i="42"/>
  <c r="U13" i="1" s="1"/>
  <c r="G15" i="53" s="1"/>
  <c r="T13" i="42"/>
  <c r="T13" i="1" s="1"/>
  <c r="S13" i="42"/>
  <c r="S13" i="1" s="1"/>
  <c r="E15" i="53" s="1"/>
  <c r="U12" i="42"/>
  <c r="U12" i="1" s="1"/>
  <c r="T12" i="42"/>
  <c r="T12" i="1" s="1"/>
  <c r="F13" i="53" s="1"/>
  <c r="S12" i="42"/>
  <c r="U11" i="42"/>
  <c r="T11" i="42"/>
  <c r="T11" i="1" s="1"/>
  <c r="F11" i="53" s="1"/>
  <c r="S11" i="42"/>
  <c r="S11" i="1" s="1"/>
  <c r="E11" i="53" s="1"/>
  <c r="U10" i="42"/>
  <c r="T10" i="42"/>
  <c r="S10" i="42"/>
  <c r="U9" i="42"/>
  <c r="U9" i="1" s="1"/>
  <c r="G7" i="53" s="1"/>
  <c r="T9" i="42"/>
  <c r="S9" i="42"/>
  <c r="BA582" i="42"/>
  <c r="AV582" i="42"/>
  <c r="AQ582" i="42"/>
  <c r="AL582" i="42"/>
  <c r="AG582" i="42"/>
  <c r="AA582" i="42"/>
  <c r="V582" i="42"/>
  <c r="BP563" i="42"/>
  <c r="BK563" i="42"/>
  <c r="BF563" i="42"/>
  <c r="BA563" i="42"/>
  <c r="AV563" i="42"/>
  <c r="AQ563" i="42"/>
  <c r="AL563" i="42"/>
  <c r="AG563" i="42"/>
  <c r="AA563" i="42"/>
  <c r="V563" i="42"/>
  <c r="BF553" i="42"/>
  <c r="BA553" i="42"/>
  <c r="AV553" i="42"/>
  <c r="AQ553" i="42"/>
  <c r="AL553" i="42"/>
  <c r="AG553" i="42"/>
  <c r="AA553" i="42"/>
  <c r="V553" i="42"/>
  <c r="BA483" i="42"/>
  <c r="AV483" i="42"/>
  <c r="BA485" i="42" s="1"/>
  <c r="AM19" i="53" s="1"/>
  <c r="AQ483" i="42"/>
  <c r="AL483" i="42"/>
  <c r="AG483" i="42"/>
  <c r="AL485" i="42" s="1"/>
  <c r="X19" i="53" s="1"/>
  <c r="AA483" i="42"/>
  <c r="V483" i="42"/>
  <c r="BA475" i="42"/>
  <c r="AV475" i="42"/>
  <c r="AQ475" i="42"/>
  <c r="AL475" i="42"/>
  <c r="AG475" i="42"/>
  <c r="AA475" i="42"/>
  <c r="V475" i="42"/>
  <c r="BK458" i="42"/>
  <c r="BF458" i="42"/>
  <c r="BA458" i="42"/>
  <c r="AV458" i="42"/>
  <c r="AQ458" i="42"/>
  <c r="AL458" i="42"/>
  <c r="AG458" i="42"/>
  <c r="AA458" i="42"/>
  <c r="V458" i="42"/>
  <c r="BF448" i="42"/>
  <c r="BA448" i="42"/>
  <c r="AV448" i="42"/>
  <c r="AQ448" i="42"/>
  <c r="AL448" i="42"/>
  <c r="AG448" i="42"/>
  <c r="AA448" i="42"/>
  <c r="V448" i="42"/>
  <c r="AV389" i="42"/>
  <c r="AQ389" i="42"/>
  <c r="AL389" i="42"/>
  <c r="AG389" i="42"/>
  <c r="V389" i="42"/>
  <c r="BA379" i="42"/>
  <c r="AV379" i="42"/>
  <c r="AQ379" i="42"/>
  <c r="AL379" i="42"/>
  <c r="AG379" i="42"/>
  <c r="AA379" i="42"/>
  <c r="V379" i="42"/>
  <c r="AV320" i="42"/>
  <c r="AQ320" i="42"/>
  <c r="AL320" i="42"/>
  <c r="AG320" i="42"/>
  <c r="AA320" i="42"/>
  <c r="V320" i="42"/>
  <c r="BA310" i="42"/>
  <c r="AV310" i="42"/>
  <c r="AQ310" i="42"/>
  <c r="AL310" i="42"/>
  <c r="AG310" i="42"/>
  <c r="AA310" i="42"/>
  <c r="V310" i="42"/>
  <c r="BA251" i="42"/>
  <c r="AV251" i="42"/>
  <c r="AL251" i="42"/>
  <c r="AG251" i="42"/>
  <c r="AA251" i="42"/>
  <c r="V251" i="42"/>
  <c r="BA241" i="42"/>
  <c r="AV241" i="42"/>
  <c r="AQ241" i="42"/>
  <c r="AL241" i="42"/>
  <c r="AG241" i="42"/>
  <c r="AA241" i="42"/>
  <c r="V241" i="42"/>
  <c r="BF182" i="42"/>
  <c r="BA182" i="42"/>
  <c r="AV182" i="42"/>
  <c r="AQ182" i="42"/>
  <c r="AL182" i="42"/>
  <c r="AG182" i="42"/>
  <c r="AA182" i="42"/>
  <c r="V182" i="42"/>
  <c r="AA184" i="42" s="1"/>
  <c r="R174" i="42"/>
  <c r="R173" i="42"/>
  <c r="R167" i="42"/>
  <c r="R24" i="1" s="1"/>
  <c r="D37" i="53" s="1"/>
  <c r="R166" i="42"/>
  <c r="R165" i="42"/>
  <c r="R164" i="42"/>
  <c r="R21" i="1" s="1"/>
  <c r="D34" i="53" s="1"/>
  <c r="R163" i="42"/>
  <c r="R20" i="1" s="1"/>
  <c r="D33" i="53" s="1"/>
  <c r="R19" i="42"/>
  <c r="R18" i="42"/>
  <c r="R13" i="42"/>
  <c r="R13" i="1" s="1"/>
  <c r="D15" i="53" s="1"/>
  <c r="R12" i="42"/>
  <c r="R12" i="1" s="1"/>
  <c r="D13" i="53" s="1"/>
  <c r="R11" i="42"/>
  <c r="R11" i="1" s="1"/>
  <c r="D11" i="53" s="1"/>
  <c r="R10" i="42"/>
  <c r="R9" i="42"/>
  <c r="R9" i="1" s="1"/>
  <c r="D7" i="53" s="1"/>
  <c r="AU15" i="53"/>
  <c r="AU20" i="53"/>
  <c r="BH242" i="42"/>
  <c r="BH243" i="42"/>
  <c r="AQ17" i="53"/>
  <c r="AT17" i="53"/>
  <c r="AS17" i="53"/>
  <c r="BH58" i="1"/>
  <c r="AT21" i="53"/>
  <c r="AT22" i="53"/>
  <c r="AQ22" i="53"/>
  <c r="AS22" i="53"/>
  <c r="AS21" i="53"/>
  <c r="AT27" i="53"/>
  <c r="AT29" i="53"/>
  <c r="AS29" i="53"/>
  <c r="AS27" i="53"/>
  <c r="AQ21" i="53"/>
  <c r="BG132" i="42"/>
  <c r="BH132" i="42"/>
  <c r="AQ29" i="53"/>
  <c r="AQ27" i="53"/>
  <c r="BF63" i="1"/>
  <c r="AR27" i="53" s="1"/>
  <c r="BE132" i="42"/>
  <c r="BF59" i="1"/>
  <c r="BF258" i="1" s="1"/>
  <c r="P12" i="1"/>
  <c r="P12" i="42" s="1"/>
  <c r="Q26" i="1"/>
  <c r="Q27" i="1"/>
  <c r="P27" i="1"/>
  <c r="P20" i="1"/>
  <c r="Q20" i="1"/>
  <c r="P21" i="1"/>
  <c r="Q21" i="1"/>
  <c r="P22" i="1"/>
  <c r="Q22" i="1"/>
  <c r="P23" i="1"/>
  <c r="Q23" i="1"/>
  <c r="P24" i="1"/>
  <c r="Q24" i="1"/>
  <c r="D17" i="1"/>
  <c r="D20" i="42" s="1"/>
  <c r="C17" i="1"/>
  <c r="C20" i="42" s="1"/>
  <c r="N17" i="1"/>
  <c r="N20" i="42" s="1"/>
  <c r="M17" i="1"/>
  <c r="M20" i="42" s="1"/>
  <c r="L17" i="1"/>
  <c r="L20" i="42" s="1"/>
  <c r="K17" i="1"/>
  <c r="K20" i="42" s="1"/>
  <c r="J17" i="1"/>
  <c r="J20" i="42" s="1"/>
  <c r="I17" i="1"/>
  <c r="I20" i="42" s="1"/>
  <c r="H17" i="1"/>
  <c r="H20" i="42" s="1"/>
  <c r="G17" i="1"/>
  <c r="G20" i="42" s="1"/>
  <c r="F17" i="1"/>
  <c r="F20" i="42" s="1"/>
  <c r="E17" i="1"/>
  <c r="E20" i="42" s="1"/>
  <c r="O17" i="1"/>
  <c r="O20" i="42" s="1"/>
  <c r="N11" i="1"/>
  <c r="Q16" i="1"/>
  <c r="Q19" i="42" s="1"/>
  <c r="P16" i="1"/>
  <c r="P19" i="42" s="1"/>
  <c r="Q15" i="1"/>
  <c r="Q18" i="42" s="1"/>
  <c r="P15" i="1"/>
  <c r="P18" i="42" s="1"/>
  <c r="Q13" i="1"/>
  <c r="Q13" i="42" s="1"/>
  <c r="P13" i="1"/>
  <c r="P13" i="42" s="1"/>
  <c r="Q12" i="1"/>
  <c r="Q12" i="42" s="1"/>
  <c r="Q11" i="1"/>
  <c r="P11" i="1"/>
  <c r="Q10" i="1"/>
  <c r="Q10" i="42" s="1"/>
  <c r="P10" i="1"/>
  <c r="P10" i="42" s="1"/>
  <c r="Q9" i="1"/>
  <c r="Q9" i="42" s="1"/>
  <c r="P9" i="1"/>
  <c r="P9" i="42" s="1"/>
  <c r="K101" i="1"/>
  <c r="L101" i="1"/>
  <c r="M101" i="1"/>
  <c r="N101" i="1"/>
  <c r="O101" i="1"/>
  <c r="P101" i="1"/>
  <c r="Q101" i="1"/>
  <c r="V101" i="1"/>
  <c r="AA101" i="1"/>
  <c r="AG101" i="1"/>
  <c r="AL101" i="1"/>
  <c r="AV101" i="1"/>
  <c r="AQ101" i="1"/>
  <c r="AB59" i="1"/>
  <c r="AB132" i="42" s="1"/>
  <c r="AG89" i="1"/>
  <c r="AA89" i="1"/>
  <c r="AA90" i="1"/>
  <c r="BA101" i="1"/>
  <c r="N34" i="1"/>
  <c r="H41" i="1"/>
  <c r="G41" i="1"/>
  <c r="F41" i="1"/>
  <c r="E41" i="1"/>
  <c r="D41" i="1"/>
  <c r="C41" i="1"/>
  <c r="N41" i="1"/>
  <c r="M41" i="1"/>
  <c r="L41" i="1"/>
  <c r="K41" i="1"/>
  <c r="J41" i="1"/>
  <c r="I41" i="1"/>
  <c r="O41" i="1"/>
  <c r="C81" i="1"/>
  <c r="C295" i="1" s="1"/>
  <c r="P52" i="1"/>
  <c r="P26" i="1" s="1"/>
  <c r="Q38" i="1"/>
  <c r="Q41" i="1" s="1"/>
  <c r="P38" i="1"/>
  <c r="P41" i="1" s="1"/>
  <c r="Q51" i="1"/>
  <c r="Q54" i="1" s="1"/>
  <c r="P51" i="1"/>
  <c r="E93" i="1"/>
  <c r="E108" i="1" s="1"/>
  <c r="P93" i="1"/>
  <c r="P108" i="1" s="1"/>
  <c r="N93" i="1"/>
  <c r="N108" i="1" s="1"/>
  <c r="M93" i="1"/>
  <c r="M108" i="1" s="1"/>
  <c r="L93" i="1"/>
  <c r="L108" i="1" s="1"/>
  <c r="K93" i="1"/>
  <c r="K108" i="1" s="1"/>
  <c r="J93" i="1"/>
  <c r="J108" i="1" s="1"/>
  <c r="I93" i="1"/>
  <c r="I108" i="1" s="1"/>
  <c r="D93" i="1"/>
  <c r="D108" i="1" s="1"/>
  <c r="C93" i="1"/>
  <c r="C108" i="1" s="1"/>
  <c r="H93" i="1"/>
  <c r="H108" i="1" s="1"/>
  <c r="G93" i="1"/>
  <c r="G108" i="1" s="1"/>
  <c r="F93" i="1"/>
  <c r="F108" i="1" s="1"/>
  <c r="AC56" i="53"/>
  <c r="AH62" i="53"/>
  <c r="H62" i="53"/>
  <c r="BN342" i="1"/>
  <c r="BM342" i="1"/>
  <c r="BO342" i="1"/>
  <c r="BD100" i="1"/>
  <c r="BC100" i="1"/>
  <c r="BB100" i="1"/>
  <c r="BF101" i="1"/>
  <c r="BH100" i="1"/>
  <c r="BG100" i="1"/>
  <c r="BK101" i="1"/>
  <c r="AM62" i="53"/>
  <c r="BL342" i="1"/>
  <c r="BM343" i="1"/>
  <c r="BM344" i="1" s="1"/>
  <c r="BF241" i="42"/>
  <c r="BF310" i="42"/>
  <c r="BF379" i="42"/>
  <c r="BH64" i="1"/>
  <c r="BH68" i="1"/>
  <c r="BF67" i="1"/>
  <c r="BH71" i="1"/>
  <c r="BH476" i="42"/>
  <c r="BH167" i="42"/>
  <c r="BH174" i="42"/>
  <c r="BH27" i="1" s="1"/>
  <c r="BH583" i="42"/>
  <c r="BF582" i="42"/>
  <c r="AT47" i="53"/>
  <c r="AS47" i="53"/>
  <c r="AQ47" i="53"/>
  <c r="AQ59" i="53"/>
  <c r="AR56" i="53"/>
  <c r="AQ56" i="53"/>
  <c r="AS59" i="53"/>
  <c r="BG476" i="42"/>
  <c r="BB476" i="42"/>
  <c r="BF475" i="42"/>
  <c r="BB167" i="42"/>
  <c r="AS56" i="53"/>
  <c r="AT59" i="53"/>
  <c r="BF212" i="42" l="1"/>
  <c r="BF214" i="42" s="1"/>
  <c r="O307" i="1"/>
  <c r="O309" i="1" s="1"/>
  <c r="O314" i="1"/>
  <c r="AS28" i="53"/>
  <c r="V307" i="1"/>
  <c r="V309" i="1" s="1"/>
  <c r="V314" i="1"/>
  <c r="L307" i="1"/>
  <c r="L309" i="1" s="1"/>
  <c r="L314" i="1"/>
  <c r="AG222" i="1"/>
  <c r="AF222" i="1"/>
  <c r="AK274" i="1"/>
  <c r="AF253" i="1"/>
  <c r="AF255" i="1" s="1"/>
  <c r="AF256" i="1" s="1"/>
  <c r="AF268" i="1" s="1"/>
  <c r="AF274" i="1"/>
  <c r="AF231" i="1"/>
  <c r="AL307" i="1"/>
  <c r="AL309" i="1" s="1"/>
  <c r="AL314" i="1"/>
  <c r="AJ253" i="1"/>
  <c r="AJ255" i="1" s="1"/>
  <c r="AJ256" i="1" s="1"/>
  <c r="AJ268" i="1" s="1"/>
  <c r="AJ274" i="1"/>
  <c r="AO274" i="1"/>
  <c r="AJ231" i="1"/>
  <c r="N307" i="1"/>
  <c r="N309" i="1" s="1"/>
  <c r="O310" i="1" s="1"/>
  <c r="O327" i="1" s="1"/>
  <c r="N314" i="1"/>
  <c r="O315" i="1" s="1"/>
  <c r="M307" i="1"/>
  <c r="M309" i="1" s="1"/>
  <c r="M314" i="1"/>
  <c r="BF307" i="1"/>
  <c r="BF309" i="1" s="1"/>
  <c r="BF314" i="1"/>
  <c r="AQ307" i="1"/>
  <c r="AQ309" i="1" s="1"/>
  <c r="AQ314" i="1"/>
  <c r="Q307" i="1"/>
  <c r="Q309" i="1" s="1"/>
  <c r="Q314" i="1"/>
  <c r="K307" i="1"/>
  <c r="K309" i="1" s="1"/>
  <c r="K314" i="1"/>
  <c r="BE133" i="42"/>
  <c r="AE222" i="1"/>
  <c r="AE274" i="1"/>
  <c r="AE253" i="1"/>
  <c r="AE255" i="1" s="1"/>
  <c r="AE256" i="1" s="1"/>
  <c r="AE268" i="1" s="1"/>
  <c r="AE231" i="1"/>
  <c r="AG314" i="1"/>
  <c r="AG307" i="1"/>
  <c r="AG309" i="1" s="1"/>
  <c r="AB90" i="1"/>
  <c r="AA236" i="1"/>
  <c r="AA307" i="1"/>
  <c r="AA309" i="1" s="1"/>
  <c r="AA314" i="1"/>
  <c r="BK307" i="1"/>
  <c r="BK309" i="1" s="1"/>
  <c r="BK314" i="1"/>
  <c r="BA314" i="1"/>
  <c r="BA307" i="1"/>
  <c r="BA309" i="1" s="1"/>
  <c r="AV307" i="1"/>
  <c r="AV309" i="1" s="1"/>
  <c r="AV314" i="1"/>
  <c r="P307" i="1"/>
  <c r="P309" i="1" s="1"/>
  <c r="P314" i="1"/>
  <c r="BF260" i="1"/>
  <c r="BF261" i="1" s="1"/>
  <c r="BF263" i="1"/>
  <c r="BF265" i="1" s="1"/>
  <c r="BF266" i="1" s="1"/>
  <c r="AC253" i="1"/>
  <c r="AC255" i="1" s="1"/>
  <c r="AC256" i="1" s="1"/>
  <c r="AC268" i="1" s="1"/>
  <c r="AC222" i="1"/>
  <c r="AD222" i="1"/>
  <c r="AC274" i="1"/>
  <c r="AC231" i="1"/>
  <c r="AF108" i="1"/>
  <c r="BD108" i="1"/>
  <c r="BD146" i="1"/>
  <c r="BE146" i="1" s="1"/>
  <c r="AE108" i="1"/>
  <c r="BP102" i="1"/>
  <c r="AT257" i="42"/>
  <c r="BH72" i="1"/>
  <c r="BK341" i="1"/>
  <c r="BF341" i="1"/>
  <c r="AS24" i="53"/>
  <c r="M76" i="1"/>
  <c r="M78" i="1" s="1"/>
  <c r="AG76" i="1"/>
  <c r="S41" i="53" s="1"/>
  <c r="AM343" i="1"/>
  <c r="AM344" i="1" s="1"/>
  <c r="AU52" i="42"/>
  <c r="AU54" i="42" s="1"/>
  <c r="AP59" i="42"/>
  <c r="BE59" i="42"/>
  <c r="AV59" i="42"/>
  <c r="BA59" i="42"/>
  <c r="AX474" i="42"/>
  <c r="AI474" i="42"/>
  <c r="AS23" i="53"/>
  <c r="AW73" i="1"/>
  <c r="BB74" i="1" s="1"/>
  <c r="AK102" i="1"/>
  <c r="BF342" i="1"/>
  <c r="L76" i="1"/>
  <c r="L82" i="1" s="1"/>
  <c r="L86" i="1" s="1"/>
  <c r="L92" i="1" s="1"/>
  <c r="BC73" i="1"/>
  <c r="BC74" i="1" s="1"/>
  <c r="V342" i="1"/>
  <c r="E76" i="1"/>
  <c r="E82" i="1" s="1"/>
  <c r="E84" i="1" s="1"/>
  <c r="E300" i="1" s="1"/>
  <c r="E319" i="1" s="1"/>
  <c r="Q76" i="1"/>
  <c r="F72" i="1"/>
  <c r="R76" i="1"/>
  <c r="R82" i="1" s="1"/>
  <c r="R84" i="1" s="1"/>
  <c r="D48" i="53" s="1"/>
  <c r="AW76" i="1"/>
  <c r="AI41" i="53" s="1"/>
  <c r="F73" i="1"/>
  <c r="G74" i="1" s="1"/>
  <c r="Z72" i="1"/>
  <c r="AH341" i="1"/>
  <c r="AG21" i="1"/>
  <c r="S34" i="53" s="1"/>
  <c r="AF72" i="1"/>
  <c r="AA76" i="1"/>
  <c r="AE68" i="1"/>
  <c r="Q30" i="53" s="1"/>
  <c r="AI68" i="1"/>
  <c r="U30" i="53" s="1"/>
  <c r="BF35" i="42"/>
  <c r="BJ139" i="42"/>
  <c r="BE46" i="42"/>
  <c r="BJ52" i="42"/>
  <c r="AY474" i="42"/>
  <c r="AM474" i="42"/>
  <c r="AJ474" i="42"/>
  <c r="BK42" i="42"/>
  <c r="M8" i="53"/>
  <c r="BK35" i="42"/>
  <c r="AN474" i="42"/>
  <c r="AK474" i="42"/>
  <c r="BJ137" i="42"/>
  <c r="BF27" i="42"/>
  <c r="AD474" i="42"/>
  <c r="AY244" i="42"/>
  <c r="BC26" i="1"/>
  <c r="AO39" i="53" s="1"/>
  <c r="AU24" i="1"/>
  <c r="AG37" i="53" s="1"/>
  <c r="AO257" i="42"/>
  <c r="W264" i="42"/>
  <c r="V256" i="42"/>
  <c r="AA257" i="42" s="1"/>
  <c r="BF165" i="42"/>
  <c r="BF22" i="1" s="1"/>
  <c r="AR35" i="53" s="1"/>
  <c r="AU15" i="1"/>
  <c r="AG18" i="53" s="1"/>
  <c r="AP27" i="1"/>
  <c r="AB40" i="53" s="1"/>
  <c r="AP20" i="1"/>
  <c r="AB33" i="53" s="1"/>
  <c r="BH13" i="1"/>
  <c r="AT15" i="53" s="1"/>
  <c r="AM168" i="42"/>
  <c r="AM175" i="42" s="1"/>
  <c r="AP52" i="42"/>
  <c r="AZ22" i="1"/>
  <c r="AL35" i="53" s="1"/>
  <c r="AP10" i="1"/>
  <c r="AB9" i="53" s="1"/>
  <c r="BC12" i="1"/>
  <c r="AO13" i="53" s="1"/>
  <c r="AZ12" i="1"/>
  <c r="AL13" i="53" s="1"/>
  <c r="BF174" i="42"/>
  <c r="BF27" i="1" s="1"/>
  <c r="AR40" i="53" s="1"/>
  <c r="AX382" i="42"/>
  <c r="AN556" i="42"/>
  <c r="AQ31" i="53"/>
  <c r="AC102" i="1"/>
  <c r="F76" i="1"/>
  <c r="F98" i="1" s="1"/>
  <c r="F224" i="1" s="1"/>
  <c r="F240" i="1" s="1"/>
  <c r="O76" i="1"/>
  <c r="O82" i="1" s="1"/>
  <c r="O84" i="1" s="1"/>
  <c r="AY76" i="1"/>
  <c r="AY98" i="1" s="1"/>
  <c r="AG23" i="1"/>
  <c r="S36" i="53" s="1"/>
  <c r="BF64" i="1"/>
  <c r="BA76" i="1"/>
  <c r="BA82" i="1" s="1"/>
  <c r="AM46" i="53" s="1"/>
  <c r="AD343" i="1"/>
  <c r="AD344" i="1" s="1"/>
  <c r="D76" i="1"/>
  <c r="D78" i="1" s="1"/>
  <c r="AJ71" i="1"/>
  <c r="V31" i="53" s="1"/>
  <c r="P76" i="1"/>
  <c r="P82" i="1" s="1"/>
  <c r="P86" i="1" s="1"/>
  <c r="Q72" i="1"/>
  <c r="BF83" i="1"/>
  <c r="AR47" i="53" s="1"/>
  <c r="V73" i="1"/>
  <c r="BF71" i="1"/>
  <c r="C76" i="1"/>
  <c r="C78" i="1" s="1"/>
  <c r="AA349" i="1"/>
  <c r="AH102" i="1"/>
  <c r="AE9" i="1"/>
  <c r="Q7" i="53" s="1"/>
  <c r="AZ346" i="42"/>
  <c r="AZ347" i="42" s="1"/>
  <c r="BA73" i="1"/>
  <c r="AO73" i="1"/>
  <c r="BD72" i="1"/>
  <c r="AS31" i="53"/>
  <c r="BA72" i="1"/>
  <c r="N76" i="1"/>
  <c r="N78" i="1" s="1"/>
  <c r="AL76" i="1"/>
  <c r="J73" i="1"/>
  <c r="V76" i="1"/>
  <c r="V98" i="1" s="1"/>
  <c r="V99" i="1" s="1"/>
  <c r="V243" i="1" s="1"/>
  <c r="P73" i="1"/>
  <c r="BB451" i="42"/>
  <c r="AP12" i="1"/>
  <c r="AB13" i="53" s="1"/>
  <c r="AV219" i="42"/>
  <c r="W474" i="42"/>
  <c r="AY168" i="42"/>
  <c r="BL13" i="1"/>
  <c r="AX15" i="53" s="1"/>
  <c r="AX14" i="42"/>
  <c r="AZ24" i="1"/>
  <c r="AL37" i="53" s="1"/>
  <c r="AW451" i="42"/>
  <c r="I73" i="1"/>
  <c r="I76" i="1"/>
  <c r="I82" i="1" s="1"/>
  <c r="I84" i="1" s="1"/>
  <c r="I300" i="1" s="1"/>
  <c r="I319" i="1" s="1"/>
  <c r="BK485" i="42"/>
  <c r="AW19" i="53" s="1"/>
  <c r="BF555" i="42"/>
  <c r="AN252" i="42"/>
  <c r="AN312" i="42"/>
  <c r="AS313" i="42" s="1"/>
  <c r="AN10" i="42"/>
  <c r="AN10" i="1" s="1"/>
  <c r="Z9" i="53" s="1"/>
  <c r="AS252" i="42"/>
  <c r="Y450" i="42"/>
  <c r="AE451" i="42" s="1"/>
  <c r="Y12" i="42"/>
  <c r="Y14" i="42" s="1"/>
  <c r="AE390" i="42"/>
  <c r="AA389" i="42"/>
  <c r="AA390" i="42" s="1"/>
  <c r="Y390" i="42"/>
  <c r="BA450" i="42"/>
  <c r="BF484" i="42"/>
  <c r="AQ251" i="42"/>
  <c r="AQ252" i="42" s="1"/>
  <c r="AP15" i="1"/>
  <c r="AB18" i="53" s="1"/>
  <c r="AH16" i="1"/>
  <c r="T20" i="53" s="1"/>
  <c r="AY73" i="1"/>
  <c r="X474" i="42"/>
  <c r="BD244" i="42"/>
  <c r="AS474" i="42"/>
  <c r="AS73" i="1"/>
  <c r="AX74" i="1" s="1"/>
  <c r="Z76" i="1"/>
  <c r="Z98" i="1" s="1"/>
  <c r="AZ27" i="1"/>
  <c r="AL40" i="53" s="1"/>
  <c r="AU12" i="1"/>
  <c r="AG13" i="53" s="1"/>
  <c r="AA243" i="42"/>
  <c r="AS76" i="1"/>
  <c r="AS82" i="1" s="1"/>
  <c r="N73" i="1"/>
  <c r="T76" i="1"/>
  <c r="F41" i="53" s="1"/>
  <c r="AU14" i="42"/>
  <c r="AU27" i="1"/>
  <c r="AG40" i="53" s="1"/>
  <c r="V243" i="42"/>
  <c r="AU10" i="1"/>
  <c r="AG9" i="53" s="1"/>
  <c r="AC341" i="1"/>
  <c r="AZ10" i="1"/>
  <c r="AL9" i="53" s="1"/>
  <c r="Y313" i="42"/>
  <c r="AZ556" i="42"/>
  <c r="AM341" i="1"/>
  <c r="N11" i="42"/>
  <c r="AZ15" i="1"/>
  <c r="AL18" i="53" s="1"/>
  <c r="AU20" i="1"/>
  <c r="AG33" i="53" s="1"/>
  <c r="AP22" i="1"/>
  <c r="AB35" i="53" s="1"/>
  <c r="AL450" i="42"/>
  <c r="X343" i="1"/>
  <c r="X344" i="1" s="1"/>
  <c r="AG252" i="42"/>
  <c r="AR474" i="42"/>
  <c r="AO474" i="42"/>
  <c r="AC474" i="42"/>
  <c r="Y474" i="42"/>
  <c r="P11" i="42"/>
  <c r="W168" i="42"/>
  <c r="W175" i="42" s="1"/>
  <c r="AP474" i="42"/>
  <c r="Z474" i="42"/>
  <c r="Q11" i="42"/>
  <c r="AU168" i="42"/>
  <c r="BB26" i="1"/>
  <c r="AN39" i="53" s="1"/>
  <c r="BB348" i="1"/>
  <c r="X358" i="1"/>
  <c r="Y358" i="1" s="1"/>
  <c r="AA358" i="1" s="1"/>
  <c r="AW474" i="42"/>
  <c r="AT474" i="42"/>
  <c r="AH474" i="42"/>
  <c r="AE474" i="42"/>
  <c r="AF14" i="42"/>
  <c r="AH9" i="1"/>
  <c r="T7" i="53" s="1"/>
  <c r="AZ20" i="1"/>
  <c r="AU22" i="1"/>
  <c r="AG35" i="53" s="1"/>
  <c r="AP24" i="1"/>
  <c r="AB37" i="53" s="1"/>
  <c r="AZ14" i="42"/>
  <c r="Y341" i="1"/>
  <c r="AU474" i="42"/>
  <c r="AF474" i="42"/>
  <c r="AE10" i="1"/>
  <c r="Q9" i="53" s="1"/>
  <c r="AV243" i="42"/>
  <c r="BE52" i="42"/>
  <c r="BF288" i="42"/>
  <c r="BH10" i="1"/>
  <c r="AT9" i="53" s="1"/>
  <c r="BD313" i="42"/>
  <c r="AT341" i="1"/>
  <c r="AO102" i="1"/>
  <c r="AP343" i="1"/>
  <c r="AP344" i="1" s="1"/>
  <c r="AO68" i="1"/>
  <c r="AA30" i="53" s="1"/>
  <c r="U76" i="1"/>
  <c r="G41" i="53" s="1"/>
  <c r="AI342" i="1"/>
  <c r="N50" i="53"/>
  <c r="H45" i="53"/>
  <c r="BF132" i="42"/>
  <c r="AE71" i="1"/>
  <c r="AE73" i="1" s="1"/>
  <c r="AE74" i="1" s="1"/>
  <c r="P54" i="1"/>
  <c r="X76" i="1"/>
  <c r="X98" i="1" s="1"/>
  <c r="AR45" i="53"/>
  <c r="P50" i="53"/>
  <c r="I23" i="53"/>
  <c r="O29" i="53"/>
  <c r="P23" i="53"/>
  <c r="AD350" i="1"/>
  <c r="AJ68" i="1"/>
  <c r="V30" i="53" s="1"/>
  <c r="BB72" i="1"/>
  <c r="BC72" i="1"/>
  <c r="CA13" i="42"/>
  <c r="AE382" i="42"/>
  <c r="BC474" i="42"/>
  <c r="BD474" i="42"/>
  <c r="AA62" i="53"/>
  <c r="S76" i="1"/>
  <c r="S98" i="1" s="1"/>
  <c r="S99" i="1" s="1"/>
  <c r="O50" i="53"/>
  <c r="AB92" i="1"/>
  <c r="N51" i="53" s="1"/>
  <c r="AG349" i="1"/>
  <c r="AG351" i="1" s="1"/>
  <c r="M50" i="53"/>
  <c r="AB56" i="53"/>
  <c r="AA350" i="1"/>
  <c r="AA93" i="1"/>
  <c r="AA108" i="1" s="1"/>
  <c r="AC350" i="1"/>
  <c r="AJ28" i="53"/>
  <c r="AQ76" i="1"/>
  <c r="AQ98" i="1" s="1"/>
  <c r="P133" i="42"/>
  <c r="AB28" i="53"/>
  <c r="AF28" i="53"/>
  <c r="AV66" i="1"/>
  <c r="AN28" i="53"/>
  <c r="I28" i="53"/>
  <c r="M28" i="53"/>
  <c r="AT76" i="1"/>
  <c r="AT82" i="1" s="1"/>
  <c r="AT86" i="1" s="1"/>
  <c r="AT107" i="1" s="1"/>
  <c r="AT109" i="1" s="1"/>
  <c r="AT122" i="1" s="1"/>
  <c r="AV76" i="1"/>
  <c r="G76" i="1"/>
  <c r="X72" i="1"/>
  <c r="AX72" i="1"/>
  <c r="Y74" i="1"/>
  <c r="J76" i="1"/>
  <c r="J78" i="1" s="1"/>
  <c r="K76" i="1"/>
  <c r="K78" i="1" s="1"/>
  <c r="W72" i="1"/>
  <c r="AY72" i="1"/>
  <c r="K73" i="1"/>
  <c r="L74" i="1" s="1"/>
  <c r="W73" i="1"/>
  <c r="W74" i="1" s="1"/>
  <c r="K72" i="1"/>
  <c r="BL66" i="1"/>
  <c r="H78" i="1"/>
  <c r="AT48" i="42"/>
  <c r="AY48" i="42"/>
  <c r="BG347" i="42"/>
  <c r="BH48" i="42"/>
  <c r="AU48" i="42"/>
  <c r="AZ48" i="42"/>
  <c r="BD48" i="42"/>
  <c r="BG48" i="42"/>
  <c r="BG416" i="42"/>
  <c r="AR48" i="42"/>
  <c r="AW48" i="42"/>
  <c r="BB48" i="42"/>
  <c r="BJ46" i="42"/>
  <c r="AQ243" i="42"/>
  <c r="AS48" i="42"/>
  <c r="AX48" i="42"/>
  <c r="BC48" i="42"/>
  <c r="BT16" i="1"/>
  <c r="BR16" i="1"/>
  <c r="BU341" i="1"/>
  <c r="BQ16" i="1"/>
  <c r="H82" i="1"/>
  <c r="M62" i="53"/>
  <c r="Y133" i="42"/>
  <c r="S62" i="53"/>
  <c r="H98" i="1"/>
  <c r="H224" i="1" s="1"/>
  <c r="H240" i="1" s="1"/>
  <c r="AS61" i="1"/>
  <c r="AE25" i="53" s="1"/>
  <c r="AB23" i="53"/>
  <c r="AK72" i="1"/>
  <c r="AZ208" i="42"/>
  <c r="AZ209" i="42" s="1"/>
  <c r="AZ168" i="42"/>
  <c r="AZ175" i="42" s="1"/>
  <c r="AD14" i="42"/>
  <c r="AD20" i="42" s="1"/>
  <c r="BC10" i="1"/>
  <c r="AO9" i="53" s="1"/>
  <c r="AQ321" i="42"/>
  <c r="AQ323" i="42" s="1"/>
  <c r="AL390" i="42"/>
  <c r="AG554" i="42"/>
  <c r="BA554" i="42"/>
  <c r="BA564" i="42"/>
  <c r="AP168" i="42"/>
  <c r="AA183" i="42"/>
  <c r="AZ9" i="1"/>
  <c r="AL7" i="53" s="1"/>
  <c r="Y24" i="1"/>
  <c r="K37" i="53" s="1"/>
  <c r="BC20" i="1"/>
  <c r="AO33" i="53" s="1"/>
  <c r="AV183" i="42"/>
  <c r="AV185" i="42" s="1"/>
  <c r="AV242" i="42"/>
  <c r="AG312" i="42"/>
  <c r="BK13" i="42"/>
  <c r="BC15" i="1"/>
  <c r="AO18" i="53" s="1"/>
  <c r="K133" i="42"/>
  <c r="K134" i="42" s="1"/>
  <c r="BH323" i="42"/>
  <c r="BH342" i="42" s="1"/>
  <c r="BU102" i="1"/>
  <c r="AT63" i="53"/>
  <c r="BA449" i="42"/>
  <c r="AT35" i="53"/>
  <c r="AP353" i="42"/>
  <c r="AP354" i="42" s="1"/>
  <c r="U29" i="53"/>
  <c r="BH66" i="1"/>
  <c r="BM66" i="1"/>
  <c r="BH185" i="42"/>
  <c r="BH192" i="42" s="1"/>
  <c r="AD93" i="1"/>
  <c r="CV69" i="1"/>
  <c r="DA69" i="1" s="1"/>
  <c r="DF69" i="1" s="1"/>
  <c r="BM70" i="1"/>
  <c r="BH474" i="42"/>
  <c r="AT40" i="53"/>
  <c r="AT30" i="53"/>
  <c r="AT34" i="53"/>
  <c r="AT39" i="53"/>
  <c r="AT33" i="53"/>
  <c r="AH47" i="53"/>
  <c r="AK23" i="53"/>
  <c r="X133" i="42"/>
  <c r="AV133" i="42"/>
  <c r="BH254" i="42"/>
  <c r="BH273" i="42" s="1"/>
  <c r="BH392" i="42"/>
  <c r="BH411" i="42" s="1"/>
  <c r="BH486" i="42"/>
  <c r="AT66" i="1"/>
  <c r="BM486" i="42"/>
  <c r="U22" i="1"/>
  <c r="G35" i="53" s="1"/>
  <c r="BF253" i="42"/>
  <c r="BA252" i="42"/>
  <c r="BA254" i="42" s="1"/>
  <c r="AG485" i="42"/>
  <c r="AA555" i="42"/>
  <c r="T9" i="1"/>
  <c r="F7" i="53" s="1"/>
  <c r="U10" i="1"/>
  <c r="G9" i="53" s="1"/>
  <c r="S12" i="1"/>
  <c r="E13" i="53" s="1"/>
  <c r="U15" i="1"/>
  <c r="G18" i="53" s="1"/>
  <c r="S20" i="1"/>
  <c r="E33" i="53" s="1"/>
  <c r="S168" i="42"/>
  <c r="T21" i="1"/>
  <c r="F34" i="53" s="1"/>
  <c r="S24" i="1"/>
  <c r="E37" i="53" s="1"/>
  <c r="U27" i="1"/>
  <c r="G40" i="53" s="1"/>
  <c r="Z14" i="42"/>
  <c r="Z9" i="1"/>
  <c r="L7" i="53" s="1"/>
  <c r="Z10" i="1"/>
  <c r="L9" i="53" s="1"/>
  <c r="Z12" i="1"/>
  <c r="L13" i="53" s="1"/>
  <c r="Z15" i="1"/>
  <c r="L18" i="53" s="1"/>
  <c r="Z168" i="42"/>
  <c r="Z21" i="1"/>
  <c r="L34" i="53" s="1"/>
  <c r="Z23" i="1"/>
  <c r="L36" i="53" s="1"/>
  <c r="Z26" i="1"/>
  <c r="L39" i="53" s="1"/>
  <c r="AC27" i="1"/>
  <c r="O40" i="53" s="1"/>
  <c r="AC24" i="1"/>
  <c r="O37" i="53" s="1"/>
  <c r="AC22" i="1"/>
  <c r="O35" i="53" s="1"/>
  <c r="AC20" i="1"/>
  <c r="O33" i="53" s="1"/>
  <c r="AC168" i="42"/>
  <c r="AC175" i="42" s="1"/>
  <c r="AC15" i="1"/>
  <c r="O18" i="53" s="1"/>
  <c r="AC13" i="1"/>
  <c r="O15" i="53" s="1"/>
  <c r="AC11" i="1"/>
  <c r="O11" i="53" s="1"/>
  <c r="AC9" i="1"/>
  <c r="O7" i="53" s="1"/>
  <c r="AK9" i="1"/>
  <c r="W7" i="53" s="1"/>
  <c r="AK14" i="42"/>
  <c r="AK10" i="1"/>
  <c r="W9" i="53" s="1"/>
  <c r="AK12" i="1"/>
  <c r="W13" i="53" s="1"/>
  <c r="AK15" i="1"/>
  <c r="W18" i="53" s="1"/>
  <c r="AK20" i="1"/>
  <c r="W33" i="53" s="1"/>
  <c r="AK168" i="42"/>
  <c r="AK22" i="1"/>
  <c r="W35" i="53" s="1"/>
  <c r="AK24" i="1"/>
  <c r="W37" i="53" s="1"/>
  <c r="AK27" i="1"/>
  <c r="W40" i="53" s="1"/>
  <c r="AP14" i="42"/>
  <c r="AP9" i="1"/>
  <c r="AB7" i="53" s="1"/>
  <c r="AM11" i="1"/>
  <c r="Y11" i="53" s="1"/>
  <c r="AM14" i="42"/>
  <c r="AM13" i="1"/>
  <c r="Y15" i="53" s="1"/>
  <c r="AM15" i="1"/>
  <c r="Y18" i="53" s="1"/>
  <c r="AM16" i="1"/>
  <c r="Y20" i="53" s="1"/>
  <c r="AM22" i="1"/>
  <c r="Y35" i="53" s="1"/>
  <c r="AM23" i="1"/>
  <c r="Y36" i="53" s="1"/>
  <c r="AM24" i="1"/>
  <c r="Y37" i="53" s="1"/>
  <c r="AM26" i="1"/>
  <c r="Y39" i="53" s="1"/>
  <c r="AR14" i="42"/>
  <c r="AR10" i="1"/>
  <c r="AD9" i="53" s="1"/>
  <c r="AR11" i="1"/>
  <c r="AD11" i="53" s="1"/>
  <c r="AR12" i="1"/>
  <c r="AD13" i="53" s="1"/>
  <c r="AR13" i="1"/>
  <c r="AD15" i="53" s="1"/>
  <c r="AR15" i="1"/>
  <c r="AD18" i="53" s="1"/>
  <c r="AR20" i="1"/>
  <c r="AD33" i="53" s="1"/>
  <c r="AR168" i="42"/>
  <c r="AR21" i="1"/>
  <c r="AD34" i="53" s="1"/>
  <c r="AR22" i="1"/>
  <c r="AD35" i="53" s="1"/>
  <c r="AR23" i="1"/>
  <c r="AD36" i="53" s="1"/>
  <c r="AR26" i="1"/>
  <c r="AD39" i="53" s="1"/>
  <c r="AR27" i="1"/>
  <c r="AD40" i="53" s="1"/>
  <c r="AW9" i="1"/>
  <c r="AI7" i="53" s="1"/>
  <c r="AW14" i="42"/>
  <c r="AW10" i="1"/>
  <c r="AI9" i="53" s="1"/>
  <c r="AW12" i="1"/>
  <c r="AI13" i="53" s="1"/>
  <c r="AW13" i="1"/>
  <c r="AI15" i="53" s="1"/>
  <c r="AW15" i="1"/>
  <c r="AI18" i="53" s="1"/>
  <c r="AW20" i="1"/>
  <c r="AI33" i="53" s="1"/>
  <c r="AW168" i="42"/>
  <c r="AW21" i="1"/>
  <c r="AI34" i="53" s="1"/>
  <c r="AW22" i="1"/>
  <c r="AI35" i="53" s="1"/>
  <c r="AW24" i="1"/>
  <c r="AI37" i="53" s="1"/>
  <c r="AW26" i="1"/>
  <c r="AI39" i="53" s="1"/>
  <c r="AW27" i="1"/>
  <c r="AI40" i="53" s="1"/>
  <c r="BB9" i="1"/>
  <c r="AN7" i="53" s="1"/>
  <c r="BB11" i="1"/>
  <c r="AN11" i="53" s="1"/>
  <c r="BF13" i="42"/>
  <c r="BB16" i="1"/>
  <c r="AN20" i="53" s="1"/>
  <c r="BB21" i="1"/>
  <c r="AN34" i="53" s="1"/>
  <c r="BB23" i="1"/>
  <c r="AN36" i="53" s="1"/>
  <c r="BH15" i="1"/>
  <c r="Z11" i="1"/>
  <c r="L11" i="53" s="1"/>
  <c r="BF554" i="42"/>
  <c r="AA583" i="42"/>
  <c r="AV583" i="42"/>
  <c r="AQ311" i="42"/>
  <c r="AA321" i="42"/>
  <c r="AA323" i="42" s="1"/>
  <c r="AQ390" i="42"/>
  <c r="AG459" i="42"/>
  <c r="AA476" i="42"/>
  <c r="AV476" i="42"/>
  <c r="AL554" i="42"/>
  <c r="AL564" i="42"/>
  <c r="BF564" i="42"/>
  <c r="AF12" i="1"/>
  <c r="R13" i="53" s="1"/>
  <c r="AF9" i="1"/>
  <c r="R7" i="53" s="1"/>
  <c r="BC13" i="1"/>
  <c r="AO15" i="53" s="1"/>
  <c r="BF19" i="42"/>
  <c r="BF166" i="42"/>
  <c r="BF23" i="1" s="1"/>
  <c r="AR36" i="53" s="1"/>
  <c r="BD73" i="1"/>
  <c r="BE72" i="1"/>
  <c r="AZ73" i="1"/>
  <c r="AZ74" i="1" s="1"/>
  <c r="AZ72" i="1"/>
  <c r="AH31" i="53"/>
  <c r="AV73" i="1"/>
  <c r="AV72" i="1"/>
  <c r="Z31" i="53"/>
  <c r="AN73" i="1"/>
  <c r="AS72" i="1"/>
  <c r="S31" i="53"/>
  <c r="AG73" i="1"/>
  <c r="K31" i="53"/>
  <c r="Y76" i="1"/>
  <c r="Y72" i="1"/>
  <c r="U73" i="1"/>
  <c r="Z74" i="1" s="1"/>
  <c r="G31" i="53"/>
  <c r="Q73" i="1"/>
  <c r="V72" i="1"/>
  <c r="N72" i="1"/>
  <c r="J72" i="1"/>
  <c r="E73" i="1"/>
  <c r="AQ554" i="42"/>
  <c r="AL312" i="42"/>
  <c r="AN382" i="42"/>
  <c r="AM41" i="1"/>
  <c r="AQ41" i="1" s="1"/>
  <c r="AQ38" i="1"/>
  <c r="AD56" i="53"/>
  <c r="AC23" i="53"/>
  <c r="AH23" i="53"/>
  <c r="AM23" i="53"/>
  <c r="AV102" i="1"/>
  <c r="BA341" i="1"/>
  <c r="Z343" i="1"/>
  <c r="Z344" i="1" s="1"/>
  <c r="Y102" i="1"/>
  <c r="Y342" i="1"/>
  <c r="AH45" i="53"/>
  <c r="AU133" i="42"/>
  <c r="AU76" i="1"/>
  <c r="AU98" i="1" s="1"/>
  <c r="W9" i="1"/>
  <c r="W14" i="1" s="1"/>
  <c r="I16" i="53" s="1"/>
  <c r="AO382" i="42"/>
  <c r="AW72" i="1"/>
  <c r="AR72" i="1"/>
  <c r="AD349" i="1"/>
  <c r="D56" i="53"/>
  <c r="AJ343" i="1"/>
  <c r="AJ344" i="1" s="1"/>
  <c r="BD13" i="1"/>
  <c r="AP15" i="53" s="1"/>
  <c r="BD76" i="1"/>
  <c r="BD82" i="1" s="1"/>
  <c r="AP46" i="53" s="1"/>
  <c r="AP24" i="53"/>
  <c r="AQ381" i="42"/>
  <c r="AL264" i="42"/>
  <c r="AQ395" i="42"/>
  <c r="AQ409" i="42"/>
  <c r="P351" i="1"/>
  <c r="AQ583" i="42"/>
  <c r="AQ207" i="42"/>
  <c r="AQ209" i="42" s="1"/>
  <c r="BA276" i="42"/>
  <c r="BA278" i="42" s="1"/>
  <c r="AG340" i="42"/>
  <c r="AG342" i="42" s="1"/>
  <c r="X451" i="42"/>
  <c r="AI451" i="42"/>
  <c r="BC451" i="42"/>
  <c r="BD556" i="42"/>
  <c r="AQ183" i="42"/>
  <c r="AQ185" i="42" s="1"/>
  <c r="AA312" i="42"/>
  <c r="AV312" i="42"/>
  <c r="AL321" i="42"/>
  <c r="AL323" i="42" s="1"/>
  <c r="AA380" i="42"/>
  <c r="U168" i="42"/>
  <c r="AG173" i="42"/>
  <c r="AG18" i="42"/>
  <c r="AG188" i="42"/>
  <c r="AG192" i="42" s="1"/>
  <c r="AL195" i="42"/>
  <c r="AL199" i="42" s="1"/>
  <c r="BA212" i="42"/>
  <c r="BA214" i="42" s="1"/>
  <c r="AM451" i="42"/>
  <c r="AR451" i="42"/>
  <c r="X556" i="42"/>
  <c r="AI556" i="42"/>
  <c r="AS556" i="42"/>
  <c r="AL56" i="53"/>
  <c r="AR32" i="53"/>
  <c r="C61" i="1"/>
  <c r="AA395" i="42"/>
  <c r="N133" i="42"/>
  <c r="N134" i="42" s="1"/>
  <c r="BQ13" i="42"/>
  <c r="AV381" i="42"/>
  <c r="AL381" i="42"/>
  <c r="AG450" i="42"/>
  <c r="I56" i="53"/>
  <c r="AS133" i="42"/>
  <c r="AI168" i="42"/>
  <c r="BF163" i="42"/>
  <c r="X23" i="1"/>
  <c r="J36" i="53" s="1"/>
  <c r="AI13" i="1"/>
  <c r="U15" i="53" s="1"/>
  <c r="AK213" i="42"/>
  <c r="AK214" i="42" s="1"/>
  <c r="AP346" i="42"/>
  <c r="AP347" i="42" s="1"/>
  <c r="AU346" i="42"/>
  <c r="AU347" i="42" s="1"/>
  <c r="AU353" i="42"/>
  <c r="AU354" i="42" s="1"/>
  <c r="Y395" i="42"/>
  <c r="AQ202" i="42"/>
  <c r="AQ204" i="42" s="1"/>
  <c r="AF244" i="42"/>
  <c r="AP244" i="42"/>
  <c r="AE168" i="42"/>
  <c r="BF167" i="42"/>
  <c r="BF24" i="1" s="1"/>
  <c r="AR37" i="53" s="1"/>
  <c r="BA34" i="42"/>
  <c r="BA38" i="42" s="1"/>
  <c r="AK330" i="42"/>
  <c r="AV395" i="42"/>
  <c r="AQ46" i="42"/>
  <c r="AJ244" i="42"/>
  <c r="AG9" i="42"/>
  <c r="BF12" i="42"/>
  <c r="AY21" i="1"/>
  <c r="AK34" i="53" s="1"/>
  <c r="AA311" i="42"/>
  <c r="BA166" i="42"/>
  <c r="BA167" i="42"/>
  <c r="BC168" i="42"/>
  <c r="AP208" i="42"/>
  <c r="AP209" i="42" s="1"/>
  <c r="AH168" i="42"/>
  <c r="AA9" i="42"/>
  <c r="AA174" i="42"/>
  <c r="BA173" i="42"/>
  <c r="AG167" i="42"/>
  <c r="AA381" i="42"/>
  <c r="AG13" i="42"/>
  <c r="AA163" i="42"/>
  <c r="AA20" i="1" s="1"/>
  <c r="M33" i="53" s="1"/>
  <c r="BA484" i="42"/>
  <c r="V12" i="42"/>
  <c r="BA52" i="42"/>
  <c r="BA54" i="42" s="1"/>
  <c r="BA555" i="42"/>
  <c r="W14" i="42"/>
  <c r="AH14" i="42"/>
  <c r="W20" i="1"/>
  <c r="I33" i="53" s="1"/>
  <c r="AS24" i="1"/>
  <c r="AE37" i="53" s="1"/>
  <c r="AX26" i="1"/>
  <c r="AJ39" i="53" s="1"/>
  <c r="AF13" i="1"/>
  <c r="BF42" i="42"/>
  <c r="V312" i="42"/>
  <c r="AQ357" i="42"/>
  <c r="AL449" i="42"/>
  <c r="BF449" i="42"/>
  <c r="AL459" i="42"/>
  <c r="BF459" i="42"/>
  <c r="AG476" i="42"/>
  <c r="BA476" i="42"/>
  <c r="AQ564" i="42"/>
  <c r="BK564" i="42"/>
  <c r="AG583" i="42"/>
  <c r="BA583" i="42"/>
  <c r="S14" i="42"/>
  <c r="S20" i="42" s="1"/>
  <c r="V19" i="42"/>
  <c r="V163" i="42"/>
  <c r="V20" i="1" s="1"/>
  <c r="H33" i="53" s="1"/>
  <c r="AA164" i="42"/>
  <c r="AG165" i="42"/>
  <c r="AG164" i="42"/>
  <c r="AG19" i="42"/>
  <c r="AG16" i="1" s="1"/>
  <c r="S20" i="53" s="1"/>
  <c r="AE395" i="42"/>
  <c r="BA402" i="42"/>
  <c r="BA406" i="42" s="1"/>
  <c r="BK19" i="42"/>
  <c r="AQ34" i="42"/>
  <c r="AQ38" i="42" s="1"/>
  <c r="AL252" i="42"/>
  <c r="AV380" i="42"/>
  <c r="AA19" i="42"/>
  <c r="AG484" i="42"/>
  <c r="V164" i="42"/>
  <c r="V21" i="1" s="1"/>
  <c r="H34" i="53" s="1"/>
  <c r="BA41" i="42"/>
  <c r="BA43" i="42" s="1"/>
  <c r="AV46" i="42"/>
  <c r="AG555" i="42"/>
  <c r="BB12" i="1"/>
  <c r="AN13" i="53" s="1"/>
  <c r="BO16" i="1"/>
  <c r="AS13" i="1"/>
  <c r="AE15" i="53" s="1"/>
  <c r="S22" i="1"/>
  <c r="E35" i="53" s="1"/>
  <c r="AS26" i="1"/>
  <c r="AE39" i="53" s="1"/>
  <c r="X10" i="1"/>
  <c r="J9" i="53" s="1"/>
  <c r="R26" i="1"/>
  <c r="D39" i="53" s="1"/>
  <c r="V173" i="42"/>
  <c r="BF188" i="42"/>
  <c r="BF192" i="42" s="1"/>
  <c r="AA202" i="42"/>
  <c r="BA264" i="42"/>
  <c r="BA268" i="42" s="1"/>
  <c r="AF168" i="42"/>
  <c r="T168" i="42"/>
  <c r="T175" i="42" s="1"/>
  <c r="T14" i="42"/>
  <c r="AV321" i="42"/>
  <c r="AV323" i="42" s="1"/>
  <c r="V9" i="42"/>
  <c r="AA11" i="42"/>
  <c r="AA11" i="1" s="1"/>
  <c r="AB11" i="1" s="1"/>
  <c r="N11" i="53" s="1"/>
  <c r="V166" i="42"/>
  <c r="AV34" i="42"/>
  <c r="AV38" i="42" s="1"/>
  <c r="BA27" i="42"/>
  <c r="BA31" i="42" s="1"/>
  <c r="BH23" i="1"/>
  <c r="BB20" i="1"/>
  <c r="AN33" i="53" s="1"/>
  <c r="AI21" i="1"/>
  <c r="U34" i="53" s="1"/>
  <c r="AY23" i="1"/>
  <c r="AK36" i="53" s="1"/>
  <c r="AS15" i="1"/>
  <c r="AE18" i="53" s="1"/>
  <c r="BD382" i="42"/>
  <c r="AG395" i="42"/>
  <c r="AS244" i="42"/>
  <c r="BK341" i="42"/>
  <c r="BF340" i="42"/>
  <c r="BF342" i="42" s="1"/>
  <c r="BG10" i="1"/>
  <c r="BA390" i="42"/>
  <c r="BA392" i="42" s="1"/>
  <c r="AV450" i="42"/>
  <c r="AQ485" i="42"/>
  <c r="AC19" i="53" s="1"/>
  <c r="AL484" i="42"/>
  <c r="S15" i="1"/>
  <c r="E18" i="53" s="1"/>
  <c r="T23" i="1"/>
  <c r="F36" i="53" s="1"/>
  <c r="S27" i="1"/>
  <c r="E40" i="53" s="1"/>
  <c r="X20" i="1"/>
  <c r="J33" i="53" s="1"/>
  <c r="X168" i="42"/>
  <c r="X24" i="1"/>
  <c r="J37" i="53" s="1"/>
  <c r="AA167" i="42"/>
  <c r="AA24" i="1" s="1"/>
  <c r="M37" i="53" s="1"/>
  <c r="AE26" i="1"/>
  <c r="Q39" i="53" s="1"/>
  <c r="AE24" i="1"/>
  <c r="Q37" i="53" s="1"/>
  <c r="AE20" i="1"/>
  <c r="Q33" i="53" s="1"/>
  <c r="AE13" i="1"/>
  <c r="Q15" i="53" s="1"/>
  <c r="AE11" i="1"/>
  <c r="Q11" i="53" s="1"/>
  <c r="AI9" i="1"/>
  <c r="U7" i="53" s="1"/>
  <c r="AI14" i="42"/>
  <c r="AI10" i="1"/>
  <c r="U9" i="53" s="1"/>
  <c r="AI12" i="1"/>
  <c r="U13" i="53" s="1"/>
  <c r="AI22" i="1"/>
  <c r="U35" i="53" s="1"/>
  <c r="AI27" i="1"/>
  <c r="U40" i="53" s="1"/>
  <c r="AN16" i="1"/>
  <c r="Z20" i="53" s="1"/>
  <c r="AS20" i="1"/>
  <c r="AE33" i="53" s="1"/>
  <c r="AS21" i="1"/>
  <c r="AE34" i="53" s="1"/>
  <c r="AS23" i="1"/>
  <c r="AE36" i="53" s="1"/>
  <c r="AX20" i="1"/>
  <c r="AJ33" i="53" s="1"/>
  <c r="BA163" i="42"/>
  <c r="BA20" i="1" s="1"/>
  <c r="AM33" i="53" s="1"/>
  <c r="BA165" i="42"/>
  <c r="BC9" i="1"/>
  <c r="AO7" i="53" s="1"/>
  <c r="BF9" i="42"/>
  <c r="BC11" i="1"/>
  <c r="AO11" i="53" s="1"/>
  <c r="BL15" i="1"/>
  <c r="AO312" i="42"/>
  <c r="AO313" i="42" s="1"/>
  <c r="AT252" i="42"/>
  <c r="AO252" i="42"/>
  <c r="Z408" i="42"/>
  <c r="AA408" i="42" s="1"/>
  <c r="AE409" i="42"/>
  <c r="Y409" i="42"/>
  <c r="BF258" i="42"/>
  <c r="BF257" i="42"/>
  <c r="BG474" i="42"/>
  <c r="BF583" i="42"/>
  <c r="AS168" i="42"/>
  <c r="AA10" i="42"/>
  <c r="AA10" i="1" s="1"/>
  <c r="M9" i="53" s="1"/>
  <c r="AG321" i="42"/>
  <c r="AG323" i="42" s="1"/>
  <c r="BF11" i="42"/>
  <c r="BA164" i="42"/>
  <c r="AA252" i="42"/>
  <c r="BF450" i="42"/>
  <c r="AA13" i="42"/>
  <c r="AA13" i="1" s="1"/>
  <c r="AV564" i="42"/>
  <c r="AL583" i="42"/>
  <c r="AL555" i="42"/>
  <c r="AZ353" i="42"/>
  <c r="AZ354" i="42" s="1"/>
  <c r="AX168" i="42"/>
  <c r="AX15" i="1"/>
  <c r="AJ18" i="53" s="1"/>
  <c r="AN12" i="1"/>
  <c r="S10" i="1"/>
  <c r="E9" i="53" s="1"/>
  <c r="AX13" i="1"/>
  <c r="AJ15" i="53" s="1"/>
  <c r="AS10" i="1"/>
  <c r="AE9" i="53" s="1"/>
  <c r="AX22" i="1"/>
  <c r="AJ35" i="53" s="1"/>
  <c r="V11" i="42"/>
  <c r="R16" i="1"/>
  <c r="D20" i="53" s="1"/>
  <c r="R23" i="1"/>
  <c r="D36" i="53" s="1"/>
  <c r="AQ219" i="42"/>
  <c r="AQ242" i="42"/>
  <c r="AG311" i="42"/>
  <c r="BA311" i="42"/>
  <c r="AV357" i="42"/>
  <c r="AV555" i="42"/>
  <c r="AV554" i="42"/>
  <c r="AA564" i="42"/>
  <c r="BP564" i="42"/>
  <c r="T15" i="1"/>
  <c r="F18" i="53" s="1"/>
  <c r="Y10" i="1"/>
  <c r="K9" i="53" s="1"/>
  <c r="Y16" i="1"/>
  <c r="K20" i="53" s="1"/>
  <c r="Y168" i="42"/>
  <c r="Y23" i="1"/>
  <c r="K36" i="53" s="1"/>
  <c r="AG174" i="42"/>
  <c r="AD24" i="1"/>
  <c r="P37" i="53" s="1"/>
  <c r="AD168" i="42"/>
  <c r="AG163" i="42"/>
  <c r="AD13" i="1"/>
  <c r="P15" i="53" s="1"/>
  <c r="AG12" i="42"/>
  <c r="AG12" i="1" s="1"/>
  <c r="S13" i="53" s="1"/>
  <c r="AD11" i="1"/>
  <c r="P11" i="53" s="1"/>
  <c r="AG11" i="42"/>
  <c r="AO10" i="42"/>
  <c r="AY26" i="1"/>
  <c r="AK39" i="53" s="1"/>
  <c r="BB10" i="1"/>
  <c r="AN9" i="53" s="1"/>
  <c r="BB14" i="42"/>
  <c r="BF10" i="42"/>
  <c r="BB15" i="1"/>
  <c r="AN18" i="53" s="1"/>
  <c r="BF18" i="42"/>
  <c r="BC24" i="1"/>
  <c r="AO37" i="53" s="1"/>
  <c r="BF173" i="42"/>
  <c r="AL243" i="42"/>
  <c r="T16" i="1"/>
  <c r="F20" i="53" s="1"/>
  <c r="U20" i="1"/>
  <c r="G33" i="53" s="1"/>
  <c r="U24" i="1"/>
  <c r="G37" i="53" s="1"/>
  <c r="V167" i="42"/>
  <c r="X9" i="1"/>
  <c r="J7" i="53" s="1"/>
  <c r="X11" i="1"/>
  <c r="J11" i="53" s="1"/>
  <c r="X16" i="1"/>
  <c r="J20" i="53" s="1"/>
  <c r="X21" i="1"/>
  <c r="J34" i="53" s="1"/>
  <c r="AA173" i="42"/>
  <c r="AA26" i="1" s="1"/>
  <c r="M39" i="53" s="1"/>
  <c r="AE27" i="1"/>
  <c r="Q40" i="53" s="1"/>
  <c r="AI16" i="1"/>
  <c r="U20" i="53" s="1"/>
  <c r="AI20" i="1"/>
  <c r="U33" i="53" s="1"/>
  <c r="AN15" i="1"/>
  <c r="Z18" i="53" s="1"/>
  <c r="AN168" i="42"/>
  <c r="AN22" i="1"/>
  <c r="Z35" i="53" s="1"/>
  <c r="AN27" i="1"/>
  <c r="Z40" i="53" s="1"/>
  <c r="AS9" i="1"/>
  <c r="AE7" i="53" s="1"/>
  <c r="AS12" i="1"/>
  <c r="AE13" i="53" s="1"/>
  <c r="AX9" i="1"/>
  <c r="AJ7" i="53" s="1"/>
  <c r="AX10" i="1"/>
  <c r="AJ9" i="53" s="1"/>
  <c r="AX16" i="1"/>
  <c r="AJ20" i="53" s="1"/>
  <c r="AX23" i="1"/>
  <c r="AJ36" i="53" s="1"/>
  <c r="AX24" i="1"/>
  <c r="AJ37" i="53" s="1"/>
  <c r="BC21" i="1"/>
  <c r="AO34" i="53" s="1"/>
  <c r="BB27" i="1"/>
  <c r="AN40" i="53" s="1"/>
  <c r="BH11" i="1"/>
  <c r="BK403" i="42"/>
  <c r="BF402" i="42"/>
  <c r="BG11" i="1"/>
  <c r="BG16" i="1"/>
  <c r="BG22" i="1"/>
  <c r="BF473" i="42"/>
  <c r="BF164" i="42"/>
  <c r="BH14" i="42"/>
  <c r="AE14" i="42"/>
  <c r="BC14" i="42"/>
  <c r="AS14" i="42"/>
  <c r="X14" i="42"/>
  <c r="AA165" i="42"/>
  <c r="BA174" i="42"/>
  <c r="AV311" i="42"/>
  <c r="AV390" i="42"/>
  <c r="AQ380" i="42"/>
  <c r="AV27" i="42"/>
  <c r="AV31" i="42" s="1"/>
  <c r="AN20" i="1"/>
  <c r="Z33" i="53" s="1"/>
  <c r="AN23" i="1"/>
  <c r="Z36" i="53" s="1"/>
  <c r="AI26" i="1"/>
  <c r="U39" i="53" s="1"/>
  <c r="BF403" i="42"/>
  <c r="V270" i="42"/>
  <c r="AA271" i="42" s="1"/>
  <c r="AI313" i="42"/>
  <c r="BD451" i="42"/>
  <c r="AY451" i="42"/>
  <c r="AP556" i="42"/>
  <c r="BL556" i="42"/>
  <c r="BF52" i="42"/>
  <c r="BF54" i="42" s="1"/>
  <c r="BE54" i="42" s="1"/>
  <c r="AY382" i="42"/>
  <c r="AI382" i="42"/>
  <c r="AS382" i="42"/>
  <c r="BF345" i="42"/>
  <c r="BF347" i="42" s="1"/>
  <c r="BA345" i="42"/>
  <c r="BA347" i="42" s="1"/>
  <c r="AL402" i="42"/>
  <c r="AL409" i="42"/>
  <c r="BF34" i="42"/>
  <c r="BF46" i="42"/>
  <c r="BA46" i="42"/>
  <c r="BC313" i="42"/>
  <c r="Y382" i="42"/>
  <c r="AJ382" i="42"/>
  <c r="AT382" i="42"/>
  <c r="BF396" i="42"/>
  <c r="BA395" i="42"/>
  <c r="BA399" i="42" s="1"/>
  <c r="AD451" i="42"/>
  <c r="AN451" i="42"/>
  <c r="AS451" i="42"/>
  <c r="AX451" i="42"/>
  <c r="AA401" i="42"/>
  <c r="AG402" i="42" s="1"/>
  <c r="AE402" i="42"/>
  <c r="Y402" i="42"/>
  <c r="BA257" i="42"/>
  <c r="BA261" i="42" s="1"/>
  <c r="BA321" i="42"/>
  <c r="BA323" i="42" s="1"/>
  <c r="AK337" i="42"/>
  <c r="BG382" i="42"/>
  <c r="BA326" i="42"/>
  <c r="BA330" i="42" s="1"/>
  <c r="BA352" i="42"/>
  <c r="BA354" i="42" s="1"/>
  <c r="AS39" i="53"/>
  <c r="AS40" i="53"/>
  <c r="AS36" i="53"/>
  <c r="AS18" i="53"/>
  <c r="AC62" i="53"/>
  <c r="AL31" i="53"/>
  <c r="AP31" i="53"/>
  <c r="BG351" i="1"/>
  <c r="BM18" i="42"/>
  <c r="X62" i="53"/>
  <c r="BD9" i="1"/>
  <c r="AP7" i="53" s="1"/>
  <c r="W342" i="1"/>
  <c r="AQ486" i="42"/>
  <c r="BH351" i="1"/>
  <c r="AX20" i="53"/>
  <c r="AA242" i="42"/>
  <c r="AL311" i="42"/>
  <c r="V381" i="42"/>
  <c r="AC14" i="42"/>
  <c r="BA188" i="42"/>
  <c r="BA192" i="42" s="1"/>
  <c r="AL207" i="42"/>
  <c r="AL209" i="42" s="1"/>
  <c r="AV257" i="42"/>
  <c r="AA333" i="42"/>
  <c r="BG185" i="42"/>
  <c r="BL486" i="42"/>
  <c r="BG254" i="42"/>
  <c r="BG486" i="42"/>
  <c r="BG73" i="1"/>
  <c r="BG74" i="1" s="1"/>
  <c r="BG323" i="42"/>
  <c r="BK459" i="42"/>
  <c r="BG392" i="42"/>
  <c r="AS63" i="53"/>
  <c r="AX39" i="53"/>
  <c r="AR63" i="53"/>
  <c r="BH168" i="42"/>
  <c r="BA340" i="42"/>
  <c r="BA342" i="42" s="1"/>
  <c r="AU213" i="42"/>
  <c r="AU214" i="42" s="1"/>
  <c r="AZ213" i="42"/>
  <c r="AZ214" i="42" s="1"/>
  <c r="AL486" i="42"/>
  <c r="AL326" i="42"/>
  <c r="AL330" i="42" s="1"/>
  <c r="X74" i="1"/>
  <c r="AE244" i="42"/>
  <c r="AL340" i="42"/>
  <c r="AL342" i="42" s="1"/>
  <c r="AM47" i="53"/>
  <c r="O62" i="53"/>
  <c r="AI62" i="53"/>
  <c r="AI69" i="1"/>
  <c r="AN70" i="1" s="1"/>
  <c r="AG449" i="42"/>
  <c r="BA459" i="42"/>
  <c r="AA554" i="42"/>
  <c r="AG564" i="42"/>
  <c r="AV41" i="42"/>
  <c r="AV43" i="42" s="1"/>
  <c r="AQ41" i="42"/>
  <c r="AQ43" i="42" s="1"/>
  <c r="BP343" i="1"/>
  <c r="BP344" i="1" s="1"/>
  <c r="AM357" i="1"/>
  <c r="AD57" i="53"/>
  <c r="AR357" i="1"/>
  <c r="BH61" i="1"/>
  <c r="BM62" i="1" s="1"/>
  <c r="AY26" i="53" s="1"/>
  <c r="BH133" i="42"/>
  <c r="AT24" i="53"/>
  <c r="BI66" i="1"/>
  <c r="BL340" i="42"/>
  <c r="BL342" i="42" s="1"/>
  <c r="AR29" i="53"/>
  <c r="BB474" i="42"/>
  <c r="BH76" i="1"/>
  <c r="BH82" i="1" s="1"/>
  <c r="X56" i="53"/>
  <c r="P14" i="1"/>
  <c r="P14" i="42" s="1"/>
  <c r="Q25" i="1"/>
  <c r="Q28" i="1" s="1"/>
  <c r="U24" i="53"/>
  <c r="AI61" i="1"/>
  <c r="U25" i="53" s="1"/>
  <c r="BA333" i="42"/>
  <c r="BA337" i="42" s="1"/>
  <c r="AV333" i="42"/>
  <c r="AV337" i="42" s="1"/>
  <c r="BF410" i="42"/>
  <c r="BF409" i="42"/>
  <c r="BF414" i="42"/>
  <c r="BF416" i="42" s="1"/>
  <c r="BA414" i="42"/>
  <c r="BA416" i="42" s="1"/>
  <c r="AJ451" i="42"/>
  <c r="AO451" i="42"/>
  <c r="AT451" i="42"/>
  <c r="BD22" i="1"/>
  <c r="AP35" i="53" s="1"/>
  <c r="BD27" i="1"/>
  <c r="AP40" i="53" s="1"/>
  <c r="U11" i="1"/>
  <c r="G11" i="53" s="1"/>
  <c r="U16" i="1"/>
  <c r="G20" i="53" s="1"/>
  <c r="S21" i="1"/>
  <c r="E34" i="53" s="1"/>
  <c r="S26" i="1"/>
  <c r="E39" i="53" s="1"/>
  <c r="T27" i="1"/>
  <c r="F40" i="53" s="1"/>
  <c r="Y9" i="1"/>
  <c r="K7" i="53" s="1"/>
  <c r="Y13" i="1"/>
  <c r="K15" i="53" s="1"/>
  <c r="Y15" i="1"/>
  <c r="K18" i="53" s="1"/>
  <c r="Y21" i="1"/>
  <c r="K34" i="53" s="1"/>
  <c r="Y22" i="1"/>
  <c r="K35" i="53" s="1"/>
  <c r="Y26" i="1"/>
  <c r="K39" i="53" s="1"/>
  <c r="AD27" i="1"/>
  <c r="P40" i="53" s="1"/>
  <c r="AD23" i="1"/>
  <c r="P36" i="53" s="1"/>
  <c r="AD20" i="1"/>
  <c r="P33" i="53" s="1"/>
  <c r="AD16" i="1"/>
  <c r="P20" i="53" s="1"/>
  <c r="AD12" i="1"/>
  <c r="P13" i="53" s="1"/>
  <c r="AD10" i="1"/>
  <c r="P9" i="53" s="1"/>
  <c r="AY20" i="1"/>
  <c r="AK33" i="53" s="1"/>
  <c r="AY22" i="1"/>
  <c r="AK35" i="53" s="1"/>
  <c r="AY24" i="1"/>
  <c r="AK37" i="53" s="1"/>
  <c r="AY27" i="1"/>
  <c r="AK40" i="53" s="1"/>
  <c r="BB22" i="1"/>
  <c r="AN35" i="53" s="1"/>
  <c r="BH12" i="1"/>
  <c r="BH16" i="1"/>
  <c r="AE313" i="42"/>
  <c r="AJ313" i="42"/>
  <c r="AV326" i="42"/>
  <c r="AV330" i="42" s="1"/>
  <c r="AQ326" i="42"/>
  <c r="AQ330" i="42" s="1"/>
  <c r="W24" i="53"/>
  <c r="AK76" i="1"/>
  <c r="AK98" i="1" s="1"/>
  <c r="AC45" i="53"/>
  <c r="AC58" i="1"/>
  <c r="AC60" i="1"/>
  <c r="AF343" i="1"/>
  <c r="AF344" i="1" s="1"/>
  <c r="AE102" i="1"/>
  <c r="AE342" i="1"/>
  <c r="AE341" i="1"/>
  <c r="Q342" i="1"/>
  <c r="Q341" i="1"/>
  <c r="V341" i="1"/>
  <c r="Q102" i="1"/>
  <c r="U14" i="42"/>
  <c r="BA312" i="42"/>
  <c r="AG10" i="42"/>
  <c r="AG166" i="42"/>
  <c r="AA18" i="42"/>
  <c r="V13" i="42"/>
  <c r="V13" i="1" s="1"/>
  <c r="H15" i="53" s="1"/>
  <c r="AA166" i="42"/>
  <c r="AG486" i="42"/>
  <c r="Y20" i="1"/>
  <c r="K33" i="53" s="1"/>
  <c r="BC27" i="1"/>
  <c r="AO40" i="53" s="1"/>
  <c r="AL271" i="42"/>
  <c r="AG271" i="42"/>
  <c r="T357" i="1"/>
  <c r="T358" i="1" s="1"/>
  <c r="AK323" i="42"/>
  <c r="AA188" i="42"/>
  <c r="AQ188" i="42"/>
  <c r="AQ192" i="42" s="1"/>
  <c r="AA195" i="42"/>
  <c r="AG202" i="42"/>
  <c r="AG204" i="42" s="1"/>
  <c r="BA202" i="42"/>
  <c r="BA204" i="42" s="1"/>
  <c r="AD244" i="42"/>
  <c r="AQ257" i="42"/>
  <c r="AG333" i="42"/>
  <c r="AG337" i="42" s="1"/>
  <c r="AL395" i="42"/>
  <c r="E56" i="53"/>
  <c r="BA133" i="42"/>
  <c r="BA61" i="1"/>
  <c r="AM25" i="53" s="1"/>
  <c r="AY12" i="53"/>
  <c r="AV271" i="42"/>
  <c r="Z244" i="42"/>
  <c r="AU244" i="42"/>
  <c r="AV38" i="1"/>
  <c r="K23" i="53"/>
  <c r="AA56" i="53"/>
  <c r="AO56" i="53"/>
  <c r="F24" i="53"/>
  <c r="T61" i="1"/>
  <c r="F25" i="53" s="1"/>
  <c r="BD15" i="1"/>
  <c r="AP18" i="53" s="1"/>
  <c r="T29" i="53"/>
  <c r="AH71" i="1"/>
  <c r="T31" i="53" s="1"/>
  <c r="AM68" i="1"/>
  <c r="Y30" i="53" s="1"/>
  <c r="M72" i="1"/>
  <c r="L72" i="1"/>
  <c r="BJ213" i="42"/>
  <c r="BJ212" i="42"/>
  <c r="BJ283" i="42"/>
  <c r="BJ284" i="42"/>
  <c r="BJ353" i="42"/>
  <c r="BJ352" i="42"/>
  <c r="AQ57" i="53"/>
  <c r="BE357" i="1"/>
  <c r="AZ70" i="1"/>
  <c r="AF23" i="53"/>
  <c r="BA358" i="1"/>
  <c r="AR341" i="1"/>
  <c r="AM342" i="1"/>
  <c r="AN343" i="1"/>
  <c r="AN344" i="1" s="1"/>
  <c r="AI343" i="1"/>
  <c r="AH342" i="1"/>
  <c r="BD26" i="1"/>
  <c r="AP39" i="53" s="1"/>
  <c r="BD11" i="1"/>
  <c r="AP11" i="53" s="1"/>
  <c r="I61" i="1"/>
  <c r="I133" i="42"/>
  <c r="I134" i="42" s="1"/>
  <c r="BN173" i="42"/>
  <c r="AH68" i="1"/>
  <c r="T30" i="53" s="1"/>
  <c r="AI28" i="53"/>
  <c r="AM28" i="53"/>
  <c r="G72" i="1"/>
  <c r="BG61" i="1"/>
  <c r="BL62" i="1" s="1"/>
  <c r="AX26" i="53" s="1"/>
  <c r="BG76" i="1"/>
  <c r="BG82" i="1" s="1"/>
  <c r="AS57" i="53"/>
  <c r="AW57" i="53"/>
  <c r="D61" i="1"/>
  <c r="D133" i="42"/>
  <c r="D134" i="42" s="1"/>
  <c r="AR351" i="1"/>
  <c r="AF351" i="1"/>
  <c r="AJ351" i="1"/>
  <c r="BJ277" i="42"/>
  <c r="BJ279" i="42"/>
  <c r="BJ276" i="42"/>
  <c r="BJ346" i="42"/>
  <c r="BJ348" i="42"/>
  <c r="BJ345" i="42"/>
  <c r="BO349" i="42" s="1"/>
  <c r="BJ417" i="42"/>
  <c r="BJ415" i="42"/>
  <c r="BJ414" i="42"/>
  <c r="BO418" i="42" s="1"/>
  <c r="V355" i="1"/>
  <c r="R62" i="53"/>
  <c r="AG62" i="53"/>
  <c r="BJ208" i="42"/>
  <c r="BJ207" i="42"/>
  <c r="BJ422" i="42"/>
  <c r="BJ496" i="42"/>
  <c r="BJ421" i="42"/>
  <c r="AZ66" i="1"/>
  <c r="BH73" i="1"/>
  <c r="BF68" i="1"/>
  <c r="AR30" i="53" s="1"/>
  <c r="AT28" i="53"/>
  <c r="AT62" i="53"/>
  <c r="Y54" i="1"/>
  <c r="AA54" i="1" s="1"/>
  <c r="AA51" i="1"/>
  <c r="U23" i="53"/>
  <c r="J23" i="53"/>
  <c r="N357" i="1"/>
  <c r="N358" i="1" s="1"/>
  <c r="AY17" i="53"/>
  <c r="AH56" i="53"/>
  <c r="BO13" i="1"/>
  <c r="BM16" i="1"/>
  <c r="BP19" i="42"/>
  <c r="BM13" i="42"/>
  <c r="AV195" i="42"/>
  <c r="AV199" i="42" s="1"/>
  <c r="BA195" i="42"/>
  <c r="BA199" i="42" s="1"/>
  <c r="AZ216" i="42"/>
  <c r="AZ56" i="42" s="1"/>
  <c r="AV207" i="42"/>
  <c r="AV209" i="42" s="1"/>
  <c r="AQ212" i="42"/>
  <c r="AQ214" i="42" s="1"/>
  <c r="AV212" i="42"/>
  <c r="AV214" i="42" s="1"/>
  <c r="X244" i="42"/>
  <c r="AN244" i="42"/>
  <c r="BC244" i="42"/>
  <c r="BH244" i="42"/>
  <c r="AV264" i="42"/>
  <c r="AQ264" i="42"/>
  <c r="AA326" i="42"/>
  <c r="AG326" i="42"/>
  <c r="AG330" i="42" s="1"/>
  <c r="AQ340" i="42"/>
  <c r="AQ342" i="42" s="1"/>
  <c r="AV340" i="42"/>
  <c r="AV342" i="42" s="1"/>
  <c r="AQ345" i="42"/>
  <c r="AQ347" i="42" s="1"/>
  <c r="AQ352" i="42"/>
  <c r="AQ354" i="42" s="1"/>
  <c r="AV352" i="42"/>
  <c r="AV354" i="42" s="1"/>
  <c r="AV402" i="42"/>
  <c r="AQ402" i="42"/>
  <c r="BA421" i="42"/>
  <c r="BA423" i="42" s="1"/>
  <c r="W556" i="42"/>
  <c r="AC556" i="42"/>
  <c r="AH556" i="42"/>
  <c r="AR556" i="42"/>
  <c r="AW556" i="42"/>
  <c r="AT23" i="53"/>
  <c r="AV188" i="42"/>
  <c r="AV192" i="42" s="1"/>
  <c r="BA486" i="42"/>
  <c r="AQ27" i="42"/>
  <c r="AQ31" i="42" s="1"/>
  <c r="BF28" i="42"/>
  <c r="AE22" i="1"/>
  <c r="Q35" i="53" s="1"/>
  <c r="AE21" i="1"/>
  <c r="Q34" i="53" s="1"/>
  <c r="AE15" i="1"/>
  <c r="Q18" i="53" s="1"/>
  <c r="BC16" i="1"/>
  <c r="AO20" i="53" s="1"/>
  <c r="BC23" i="1"/>
  <c r="AO36" i="53" s="1"/>
  <c r="BN16" i="1"/>
  <c r="BF41" i="42"/>
  <c r="AG195" i="42"/>
  <c r="AG199" i="42" s="1"/>
  <c r="AL202" i="42"/>
  <c r="AL204" i="42" s="1"/>
  <c r="BF207" i="42"/>
  <c r="BF209" i="42" s="1"/>
  <c r="BA207" i="42"/>
  <c r="BA209" i="42" s="1"/>
  <c r="AO244" i="42"/>
  <c r="AT244" i="42"/>
  <c r="W313" i="42"/>
  <c r="X382" i="42"/>
  <c r="AD382" i="42"/>
  <c r="AQ333" i="42"/>
  <c r="AQ337" i="42" s="1"/>
  <c r="AL333" i="42"/>
  <c r="AL337" i="42" s="1"/>
  <c r="AA340" i="42"/>
  <c r="AV345" i="42"/>
  <c r="AV347" i="42" s="1"/>
  <c r="W451" i="42"/>
  <c r="AC451" i="42"/>
  <c r="AH451" i="42"/>
  <c r="AD556" i="42"/>
  <c r="AX556" i="42"/>
  <c r="BC556" i="42"/>
  <c r="BH556" i="42"/>
  <c r="AD61" i="1"/>
  <c r="P25" i="53" s="1"/>
  <c r="AD133" i="42"/>
  <c r="AC349" i="1"/>
  <c r="M23" i="53"/>
  <c r="AG23" i="53"/>
  <c r="AL23" i="53"/>
  <c r="W133" i="42"/>
  <c r="W76" i="1"/>
  <c r="S9" i="1"/>
  <c r="E7" i="53" s="1"/>
  <c r="T10" i="1"/>
  <c r="F9" i="53" s="1"/>
  <c r="AA38" i="1"/>
  <c r="BB61" i="1"/>
  <c r="AN25" i="53" s="1"/>
  <c r="Z357" i="1"/>
  <c r="P56" i="53"/>
  <c r="AH64" i="1"/>
  <c r="O27" i="53"/>
  <c r="AC64" i="1"/>
  <c r="O28" i="53" s="1"/>
  <c r="AC71" i="1"/>
  <c r="AD69" i="1"/>
  <c r="AD70" i="1" s="1"/>
  <c r="AD68" i="1"/>
  <c r="P30" i="53" s="1"/>
  <c r="P29" i="53"/>
  <c r="AD71" i="1"/>
  <c r="P31" i="53" s="1"/>
  <c r="AD22" i="1"/>
  <c r="P35" i="53" s="1"/>
  <c r="U23" i="1"/>
  <c r="G36" i="53" s="1"/>
  <c r="Q60" i="53"/>
  <c r="E60" i="53"/>
  <c r="BA102" i="1"/>
  <c r="BA342" i="1"/>
  <c r="AJ102" i="1"/>
  <c r="AL340" i="1"/>
  <c r="AO341" i="1"/>
  <c r="AK343" i="1"/>
  <c r="AK344" i="1" s="1"/>
  <c r="AJ341" i="1"/>
  <c r="AJ342" i="1"/>
  <c r="X102" i="1"/>
  <c r="AA340" i="1"/>
  <c r="Y343" i="1"/>
  <c r="Y344" i="1" s="1"/>
  <c r="X342" i="1"/>
  <c r="X341" i="1"/>
  <c r="BE556" i="42"/>
  <c r="BJ556" i="42"/>
  <c r="BE76" i="1"/>
  <c r="BE78" i="1" s="1"/>
  <c r="BE61" i="1"/>
  <c r="U56" i="53"/>
  <c r="AF57" i="53"/>
  <c r="AT357" i="1"/>
  <c r="AA60" i="53"/>
  <c r="AC47" i="53"/>
  <c r="AL188" i="42"/>
  <c r="AL192" i="42" s="1"/>
  <c r="AQ195" i="42"/>
  <c r="AQ199" i="42" s="1"/>
  <c r="AV202" i="42"/>
  <c r="AV204" i="42" s="1"/>
  <c r="AL212" i="42"/>
  <c r="AL214" i="42" s="1"/>
  <c r="AL257" i="42"/>
  <c r="BV13" i="42"/>
  <c r="G60" i="53"/>
  <c r="F351" i="1"/>
  <c r="BM390" i="42"/>
  <c r="AL133" i="42"/>
  <c r="X24" i="53"/>
  <c r="AO351" i="1"/>
  <c r="AS351" i="1"/>
  <c r="AW351" i="1"/>
  <c r="BA351" i="1"/>
  <c r="AK351" i="1"/>
  <c r="AP351" i="1"/>
  <c r="AX351" i="1"/>
  <c r="D62" i="53"/>
  <c r="AU341" i="1"/>
  <c r="AR343" i="1"/>
  <c r="AR344" i="1" s="1"/>
  <c r="AP341" i="1"/>
  <c r="AP342" i="1"/>
  <c r="Z342" i="1"/>
  <c r="Z341" i="1"/>
  <c r="Z102" i="1"/>
  <c r="AC343" i="1"/>
  <c r="AC344" i="1" s="1"/>
  <c r="R102" i="1"/>
  <c r="W341" i="1"/>
  <c r="H56" i="53"/>
  <c r="Q133" i="42"/>
  <c r="Q61" i="1"/>
  <c r="Q62" i="1" s="1"/>
  <c r="P28" i="53"/>
  <c r="Y28" i="53"/>
  <c r="AG28" i="53"/>
  <c r="AO28" i="53"/>
  <c r="BF326" i="42"/>
  <c r="BF330" i="42" s="1"/>
  <c r="BE345" i="42"/>
  <c r="BE347" i="42" s="1"/>
  <c r="BE414" i="42"/>
  <c r="BE416" i="42" s="1"/>
  <c r="F66" i="1"/>
  <c r="Y66" i="1"/>
  <c r="AS66" i="1"/>
  <c r="BJ66" i="1"/>
  <c r="D351" i="1"/>
  <c r="H351" i="1"/>
  <c r="L351" i="1"/>
  <c r="T351" i="1"/>
  <c r="X351" i="1"/>
  <c r="J351" i="1"/>
  <c r="R351" i="1"/>
  <c r="V351" i="1"/>
  <c r="Z351" i="1"/>
  <c r="AD342" i="1"/>
  <c r="AG340" i="1"/>
  <c r="AD102" i="1"/>
  <c r="AI341" i="1"/>
  <c r="AD341" i="1"/>
  <c r="BD16" i="1"/>
  <c r="AP20" i="53" s="1"/>
  <c r="AO31" i="53"/>
  <c r="AK31" i="53"/>
  <c r="AG31" i="53"/>
  <c r="AC31" i="53"/>
  <c r="R31" i="53"/>
  <c r="J31" i="53"/>
  <c r="F31" i="53"/>
  <c r="BK327" i="42"/>
  <c r="J66" i="1"/>
  <c r="R56" i="53"/>
  <c r="Z61" i="1"/>
  <c r="L25" i="53" s="1"/>
  <c r="L24" i="53"/>
  <c r="Z133" i="42"/>
  <c r="AO343" i="1"/>
  <c r="AO344" i="1" s="1"/>
  <c r="AQ340" i="1"/>
  <c r="AV341" i="1" s="1"/>
  <c r="AN342" i="1"/>
  <c r="AN341" i="1"/>
  <c r="AN102" i="1"/>
  <c r="AF341" i="1"/>
  <c r="AF342" i="1"/>
  <c r="AF102" i="1"/>
  <c r="AH343" i="1"/>
  <c r="AH344" i="1" s="1"/>
  <c r="AK341" i="1"/>
  <c r="W343" i="1"/>
  <c r="W344" i="1" s="1"/>
  <c r="U102" i="1"/>
  <c r="BD20" i="1"/>
  <c r="AP33" i="53" s="1"/>
  <c r="G61" i="1"/>
  <c r="G133" i="42"/>
  <c r="G134" i="42" s="1"/>
  <c r="BM10" i="42"/>
  <c r="BE10" i="1"/>
  <c r="BE14" i="1" s="1"/>
  <c r="BE14" i="42"/>
  <c r="BE212" i="42"/>
  <c r="BE214" i="42" s="1"/>
  <c r="BE283" i="42"/>
  <c r="BE285" i="42" s="1"/>
  <c r="BE421" i="42"/>
  <c r="BE423" i="42" s="1"/>
  <c r="N66" i="1"/>
  <c r="V66" i="1"/>
  <c r="BB66" i="1"/>
  <c r="K70" i="1"/>
  <c r="W70" i="1"/>
  <c r="BA70" i="1"/>
  <c r="BJ70" i="1"/>
  <c r="F61" i="1"/>
  <c r="AI71" i="1"/>
  <c r="AI76" i="1" s="1"/>
  <c r="BU342" i="1"/>
  <c r="G66" i="1"/>
  <c r="K66" i="1"/>
  <c r="AG66" i="1"/>
  <c r="J61" i="1"/>
  <c r="K62" i="1" s="1"/>
  <c r="BD351" i="1"/>
  <c r="BJ54" i="42"/>
  <c r="AU66" i="1"/>
  <c r="AX66" i="1"/>
  <c r="M66" i="1"/>
  <c r="AL66" i="1"/>
  <c r="Z70" i="1"/>
  <c r="AT7" i="53"/>
  <c r="K11" i="53"/>
  <c r="Z34" i="53"/>
  <c r="L37" i="53"/>
  <c r="BM333" i="42"/>
  <c r="BM337" i="42" s="1"/>
  <c r="BM271" i="42"/>
  <c r="BM273" i="42" s="1"/>
  <c r="BK342" i="1"/>
  <c r="BP341" i="1"/>
  <c r="AT60" i="53"/>
  <c r="W41" i="1"/>
  <c r="AA41" i="1" s="1"/>
  <c r="AG41" i="1"/>
  <c r="R61" i="1"/>
  <c r="D25" i="53" s="1"/>
  <c r="BA51" i="1"/>
  <c r="AX61" i="1"/>
  <c r="AZ61" i="1"/>
  <c r="AL25" i="53" s="1"/>
  <c r="AL24" i="53"/>
  <c r="AZ133" i="42"/>
  <c r="AZ76" i="1"/>
  <c r="R357" i="1"/>
  <c r="R358" i="1" s="1"/>
  <c r="AT31" i="53"/>
  <c r="V41" i="1"/>
  <c r="AI24" i="53"/>
  <c r="AW61" i="1"/>
  <c r="AI25" i="53" s="1"/>
  <c r="U357" i="1"/>
  <c r="AF31" i="53"/>
  <c r="AT73" i="1"/>
  <c r="AT72" i="1"/>
  <c r="AU72" i="1"/>
  <c r="AP73" i="1"/>
  <c r="AU74" i="1" s="1"/>
  <c r="AP72" i="1"/>
  <c r="AL72" i="1"/>
  <c r="AL73" i="1"/>
  <c r="AQ72" i="1"/>
  <c r="AA73" i="1"/>
  <c r="AG72" i="1"/>
  <c r="AA72" i="1"/>
  <c r="O73" i="1"/>
  <c r="P72" i="1"/>
  <c r="O72" i="1"/>
  <c r="H73" i="1"/>
  <c r="H74" i="1" s="1"/>
  <c r="I72" i="1"/>
  <c r="H72" i="1"/>
  <c r="D73" i="1"/>
  <c r="E72" i="1"/>
  <c r="D72" i="1"/>
  <c r="Q14" i="1"/>
  <c r="Q14" i="42" s="1"/>
  <c r="BA25" i="53"/>
  <c r="AN76" i="1"/>
  <c r="AN82" i="1" s="1"/>
  <c r="BC61" i="1"/>
  <c r="AO61" i="1"/>
  <c r="AA25" i="53" s="1"/>
  <c r="AG56" i="53"/>
  <c r="BB357" i="1"/>
  <c r="AR59" i="53"/>
  <c r="V51" i="1"/>
  <c r="AG38" i="1"/>
  <c r="AX76" i="1"/>
  <c r="AX133" i="42"/>
  <c r="AM54" i="1"/>
  <c r="AQ54" i="1" s="1"/>
  <c r="AQ51" i="1"/>
  <c r="V56" i="53"/>
  <c r="AK56" i="53"/>
  <c r="AP133" i="42"/>
  <c r="AI56" i="53"/>
  <c r="AE57" i="53"/>
  <c r="AS357" i="1"/>
  <c r="AL93" i="1"/>
  <c r="AL108" i="1" s="1"/>
  <c r="AL350" i="1"/>
  <c r="X50" i="53"/>
  <c r="L60" i="53"/>
  <c r="AG57" i="53"/>
  <c r="AF62" i="53"/>
  <c r="BC344" i="1"/>
  <c r="BF343" i="1"/>
  <c r="BF344" i="1" s="1"/>
  <c r="AY344" i="1"/>
  <c r="BA343" i="1"/>
  <c r="BA344" i="1" s="1"/>
  <c r="AT344" i="1"/>
  <c r="G24" i="53"/>
  <c r="U133" i="42"/>
  <c r="U61" i="1"/>
  <c r="G25" i="53" s="1"/>
  <c r="V62" i="53"/>
  <c r="AN56" i="53"/>
  <c r="AM45" i="53"/>
  <c r="M45" i="53"/>
  <c r="BF350" i="1"/>
  <c r="BF90" i="1" s="1"/>
  <c r="BF236" i="1" s="1"/>
  <c r="BB351" i="1"/>
  <c r="AE344" i="1"/>
  <c r="F62" i="53"/>
  <c r="E351" i="1"/>
  <c r="M351" i="1"/>
  <c r="U351" i="1"/>
  <c r="Y351" i="1"/>
  <c r="AH351" i="1"/>
  <c r="AU351" i="1"/>
  <c r="AY351" i="1"/>
  <c r="BC351" i="1"/>
  <c r="G351" i="1"/>
  <c r="O351" i="1"/>
  <c r="S351" i="1"/>
  <c r="W351" i="1"/>
  <c r="AI351" i="1"/>
  <c r="AN351" i="1"/>
  <c r="AV351" i="1"/>
  <c r="AZ351" i="1"/>
  <c r="L62" i="53"/>
  <c r="AJ62" i="53"/>
  <c r="AB62" i="53"/>
  <c r="AK62" i="53"/>
  <c r="M133" i="42"/>
  <c r="M134" i="42" s="1"/>
  <c r="M61" i="1"/>
  <c r="N62" i="1" s="1"/>
  <c r="H133" i="42"/>
  <c r="H134" i="42" s="1"/>
  <c r="H61" i="1"/>
  <c r="BG66" i="1"/>
  <c r="BE351" i="1"/>
  <c r="L66" i="1"/>
  <c r="O66" i="1"/>
  <c r="W66" i="1"/>
  <c r="AY66" i="1"/>
  <c r="BC66" i="1"/>
  <c r="H70" i="1"/>
  <c r="L70" i="1"/>
  <c r="P70" i="1"/>
  <c r="X70" i="1"/>
  <c r="AG70" i="1"/>
  <c r="AX70" i="1"/>
  <c r="BB70" i="1"/>
  <c r="AP70" i="1"/>
  <c r="F134" i="42"/>
  <c r="J134" i="42"/>
  <c r="AJ65" i="1"/>
  <c r="AJ69" i="1"/>
  <c r="AO70" i="1" s="1"/>
  <c r="AQ63" i="53"/>
  <c r="AF65" i="1"/>
  <c r="P25" i="1"/>
  <c r="P28" i="1" s="1"/>
  <c r="AJ58" i="1"/>
  <c r="Q21" i="53"/>
  <c r="AL54" i="1"/>
  <c r="AK61" i="1"/>
  <c r="W25" i="53" s="1"/>
  <c r="S56" i="53"/>
  <c r="I57" i="53"/>
  <c r="Q56" i="53"/>
  <c r="Q57" i="53"/>
  <c r="AE357" i="1"/>
  <c r="AE358" i="1" s="1"/>
  <c r="V57" i="53"/>
  <c r="AV41" i="1"/>
  <c r="J57" i="53"/>
  <c r="R57" i="53"/>
  <c r="AF357" i="1"/>
  <c r="AF358" i="1" s="1"/>
  <c r="W57" i="53"/>
  <c r="Y57" i="53"/>
  <c r="AE56" i="53"/>
  <c r="AL57" i="53"/>
  <c r="AZ357" i="1"/>
  <c r="AP56" i="53"/>
  <c r="H47" i="53"/>
  <c r="X45" i="53"/>
  <c r="AM351" i="1"/>
  <c r="AL41" i="1"/>
  <c r="AL38" i="1"/>
  <c r="AG51" i="1"/>
  <c r="AW133" i="42"/>
  <c r="AI133" i="42"/>
  <c r="AV54" i="1"/>
  <c r="AO76" i="1"/>
  <c r="AO133" i="42"/>
  <c r="AC24" i="53"/>
  <c r="AQ133" i="42"/>
  <c r="AC65" i="1"/>
  <c r="BA38" i="1"/>
  <c r="V54" i="1"/>
  <c r="L57" i="53"/>
  <c r="P57" i="53"/>
  <c r="U57" i="53"/>
  <c r="AI357" i="1"/>
  <c r="BB32" i="53"/>
  <c r="AQ61" i="1"/>
  <c r="AA61" i="1"/>
  <c r="M25" i="53" s="1"/>
  <c r="M24" i="53"/>
  <c r="AL349" i="1"/>
  <c r="S133" i="42"/>
  <c r="E24" i="53"/>
  <c r="S61" i="1"/>
  <c r="E25" i="53" s="1"/>
  <c r="I24" i="53"/>
  <c r="W61" i="1"/>
  <c r="T62" i="53"/>
  <c r="AA57" i="53"/>
  <c r="AJ57" i="53"/>
  <c r="AO57" i="53"/>
  <c r="BP357" i="1"/>
  <c r="BB57" i="53"/>
  <c r="K351" i="1"/>
  <c r="AE351" i="1"/>
  <c r="I351" i="1"/>
  <c r="Q351" i="1"/>
  <c r="AT351" i="1"/>
  <c r="W60" i="53"/>
  <c r="K28" i="53"/>
  <c r="Q28" i="53"/>
  <c r="V28" i="53"/>
  <c r="Z28" i="53"/>
  <c r="AD28" i="53"/>
  <c r="AL28" i="53"/>
  <c r="BG72" i="1"/>
  <c r="AN31" i="53"/>
  <c r="AJ31" i="53"/>
  <c r="AB31" i="53"/>
  <c r="X31" i="53"/>
  <c r="M31" i="53"/>
  <c r="E31" i="53"/>
  <c r="AB57" i="53"/>
  <c r="AK57" i="53"/>
  <c r="BF349" i="1"/>
  <c r="AQ351" i="1"/>
  <c r="K57" i="53"/>
  <c r="O57" i="53"/>
  <c r="T57" i="53"/>
  <c r="AX357" i="1"/>
  <c r="AK60" i="53"/>
  <c r="Z57" i="53"/>
  <c r="AI57" i="53"/>
  <c r="AN57" i="53"/>
  <c r="S23" i="53"/>
  <c r="AM24" i="53"/>
  <c r="J24" i="53"/>
  <c r="K62" i="53"/>
  <c r="S45" i="53"/>
  <c r="O61" i="1"/>
  <c r="O62" i="1" s="1"/>
  <c r="O133" i="42"/>
  <c r="O134" i="42" s="1"/>
  <c r="L133" i="42"/>
  <c r="L134" i="42" s="1"/>
  <c r="L61" i="1"/>
  <c r="E133" i="42"/>
  <c r="E134" i="42" s="1"/>
  <c r="E61" i="1"/>
  <c r="AP28" i="53"/>
  <c r="I31" i="53"/>
  <c r="H28" i="53"/>
  <c r="R28" i="53"/>
  <c r="W31" i="53"/>
  <c r="L31" i="53"/>
  <c r="D31" i="53"/>
  <c r="AP23" i="53"/>
  <c r="AG24" i="53"/>
  <c r="AU61" i="1"/>
  <c r="AG25" i="53" s="1"/>
  <c r="C351" i="1"/>
  <c r="N351" i="1"/>
  <c r="Q62" i="53"/>
  <c r="G62" i="53"/>
  <c r="AZ25" i="53"/>
  <c r="BD133" i="42"/>
  <c r="BD61" i="1"/>
  <c r="AF24" i="53"/>
  <c r="AT133" i="42"/>
  <c r="O47" i="53"/>
  <c r="BD357" i="1"/>
  <c r="AA28" i="53"/>
  <c r="H66" i="1"/>
  <c r="I66" i="1"/>
  <c r="AP66" i="1"/>
  <c r="AT70" i="1"/>
  <c r="BG70" i="1"/>
  <c r="CZ69" i="1"/>
  <c r="DE69" i="1" s="1"/>
  <c r="BI100" i="1"/>
  <c r="BI72" i="1"/>
  <c r="BR344" i="1"/>
  <c r="BU343" i="1"/>
  <c r="BU344" i="1" s="1"/>
  <c r="AV61" i="1"/>
  <c r="BE73" i="1"/>
  <c r="BG57" i="53"/>
  <c r="X66" i="1"/>
  <c r="E70" i="1"/>
  <c r="I70" i="1"/>
  <c r="M70" i="1"/>
  <c r="Q70" i="1"/>
  <c r="Y70" i="1"/>
  <c r="AU70" i="1"/>
  <c r="AY70" i="1"/>
  <c r="BC70" i="1"/>
  <c r="BH70" i="1"/>
  <c r="Q66" i="1"/>
  <c r="Z66" i="1"/>
  <c r="AN66" i="1"/>
  <c r="G70" i="1"/>
  <c r="O70" i="1"/>
  <c r="AA70" i="1"/>
  <c r="AL70" i="1"/>
  <c r="CW69" i="1"/>
  <c r="DB69" i="1" s="1"/>
  <c r="DG69" i="1" s="1"/>
  <c r="BI70" i="1"/>
  <c r="AS70" i="1"/>
  <c r="W244" i="42"/>
  <c r="BK334" i="42"/>
  <c r="BF333" i="42"/>
  <c r="BF337" i="42" s="1"/>
  <c r="BE392" i="42"/>
  <c r="BE207" i="42"/>
  <c r="BE209" i="42" s="1"/>
  <c r="W382" i="42"/>
  <c r="AC382" i="42"/>
  <c r="AH382" i="42"/>
  <c r="AM382" i="42"/>
  <c r="AW382" i="42"/>
  <c r="BA409" i="42"/>
  <c r="BA411" i="42" s="1"/>
  <c r="AV409" i="42"/>
  <c r="Z451" i="42"/>
  <c r="AK451" i="42"/>
  <c r="AU451" i="42"/>
  <c r="AF556" i="42"/>
  <c r="AK556" i="42"/>
  <c r="BF390" i="42"/>
  <c r="BF391" i="42"/>
  <c r="BF496" i="42"/>
  <c r="AC313" i="42"/>
  <c r="AH313" i="42"/>
  <c r="AM313" i="42"/>
  <c r="AW313" i="42"/>
  <c r="BG313" i="42"/>
  <c r="BB313" i="42"/>
  <c r="AQ51" i="42"/>
  <c r="AZ474" i="42"/>
  <c r="BE474" i="42"/>
  <c r="BH24" i="1"/>
  <c r="AA459" i="42"/>
  <c r="AU208" i="42"/>
  <c r="AU209" i="42" s="1"/>
  <c r="AP213" i="42"/>
  <c r="AP214" i="42" s="1"/>
  <c r="BK391" i="42"/>
  <c r="BC382" i="42"/>
  <c r="BF195" i="42"/>
  <c r="BF199" i="42" s="1"/>
  <c r="BE382" i="42"/>
  <c r="AQ271" i="42"/>
  <c r="BF395" i="42"/>
  <c r="Y556" i="42"/>
  <c r="BF219" i="42"/>
  <c r="BF242" i="42"/>
  <c r="V10" i="42"/>
  <c r="R10" i="1"/>
  <c r="R14" i="42"/>
  <c r="R20" i="42" s="1"/>
  <c r="R15" i="1"/>
  <c r="D18" i="53" s="1"/>
  <c r="V18" i="42"/>
  <c r="R22" i="1"/>
  <c r="R168" i="42"/>
  <c r="V165" i="42"/>
  <c r="V174" i="42"/>
  <c r="R27" i="1"/>
  <c r="D40" i="53" s="1"/>
  <c r="AG183" i="42"/>
  <c r="AG185" i="42" s="1"/>
  <c r="AL183" i="42"/>
  <c r="AL185" i="42" s="1"/>
  <c r="BF184" i="42"/>
  <c r="BF183" i="42"/>
  <c r="BA183" i="42"/>
  <c r="BA185" i="42" s="1"/>
  <c r="AG242" i="42"/>
  <c r="AL242" i="42"/>
  <c r="AG243" i="42"/>
  <c r="BA219" i="42"/>
  <c r="BA243" i="42"/>
  <c r="BA242" i="42"/>
  <c r="AL357" i="42"/>
  <c r="AG381" i="42"/>
  <c r="AG380" i="42"/>
  <c r="AL380" i="42"/>
  <c r="BA380" i="42"/>
  <c r="BA357" i="42"/>
  <c r="BA381" i="42"/>
  <c r="AA449" i="42"/>
  <c r="V450" i="42"/>
  <c r="AQ450" i="42"/>
  <c r="AQ449" i="42"/>
  <c r="AV449" i="42"/>
  <c r="AV459" i="42"/>
  <c r="AQ459" i="42"/>
  <c r="AL473" i="42"/>
  <c r="AQ476" i="42"/>
  <c r="AL476" i="42"/>
  <c r="AA484" i="42"/>
  <c r="V555" i="42"/>
  <c r="AV485" i="42"/>
  <c r="AQ555" i="42"/>
  <c r="AV484" i="42"/>
  <c r="AQ484" i="42"/>
  <c r="AV486" i="42"/>
  <c r="AL9" i="42"/>
  <c r="AJ9" i="1"/>
  <c r="AJ14" i="42"/>
  <c r="AL10" i="42"/>
  <c r="AJ10" i="1"/>
  <c r="V9" i="53" s="1"/>
  <c r="AJ11" i="1"/>
  <c r="V11" i="53" s="1"/>
  <c r="AJ12" i="1"/>
  <c r="V13" i="53" s="1"/>
  <c r="AL12" i="42"/>
  <c r="AL13" i="42"/>
  <c r="AJ13" i="1"/>
  <c r="V15" i="53" s="1"/>
  <c r="AJ15" i="1"/>
  <c r="V18" i="53" s="1"/>
  <c r="AL18" i="42"/>
  <c r="AL19" i="42"/>
  <c r="AJ16" i="1"/>
  <c r="V20" i="53" s="1"/>
  <c r="AJ20" i="1"/>
  <c r="AJ168" i="42"/>
  <c r="AJ175" i="42" s="1"/>
  <c r="AL163" i="42"/>
  <c r="AL164" i="42"/>
  <c r="AJ21" i="1"/>
  <c r="V34" i="53" s="1"/>
  <c r="AJ22" i="1"/>
  <c r="V35" i="53" s="1"/>
  <c r="AL165" i="42"/>
  <c r="AJ23" i="1"/>
  <c r="V36" i="53" s="1"/>
  <c r="AL166" i="42"/>
  <c r="AL167" i="42"/>
  <c r="AJ24" i="1"/>
  <c r="V37" i="53" s="1"/>
  <c r="AJ26" i="1"/>
  <c r="V39" i="53" s="1"/>
  <c r="AJ27" i="1"/>
  <c r="V40" i="53" s="1"/>
  <c r="AL174" i="42"/>
  <c r="AO9" i="1"/>
  <c r="AQ9" i="42"/>
  <c r="AO11" i="1"/>
  <c r="AA11" i="53" s="1"/>
  <c r="AQ11" i="42"/>
  <c r="AQ12" i="42"/>
  <c r="AO12" i="1"/>
  <c r="AA13" i="53" s="1"/>
  <c r="AQ13" i="42"/>
  <c r="AO13" i="1"/>
  <c r="AA15" i="53" s="1"/>
  <c r="AO15" i="1"/>
  <c r="AA18" i="53" s="1"/>
  <c r="AQ18" i="42"/>
  <c r="AO16" i="1"/>
  <c r="AA20" i="53" s="1"/>
  <c r="AQ19" i="42"/>
  <c r="AO20" i="1"/>
  <c r="AO168" i="42"/>
  <c r="AO175" i="42" s="1"/>
  <c r="AQ163" i="42"/>
  <c r="AQ164" i="42"/>
  <c r="AO21" i="1"/>
  <c r="AA34" i="53" s="1"/>
  <c r="AQ165" i="42"/>
  <c r="AO22" i="1"/>
  <c r="AA35" i="53" s="1"/>
  <c r="AQ166" i="42"/>
  <c r="AO24" i="1"/>
  <c r="AA37" i="53" s="1"/>
  <c r="AQ167" i="42"/>
  <c r="AO26" i="1"/>
  <c r="AA39" i="53" s="1"/>
  <c r="AQ173" i="42"/>
  <c r="AO27" i="1"/>
  <c r="AA40" i="53" s="1"/>
  <c r="AQ174" i="42"/>
  <c r="AT9" i="1"/>
  <c r="AT14" i="42"/>
  <c r="AV9" i="42"/>
  <c r="AV10" i="42"/>
  <c r="AT10" i="1"/>
  <c r="AF9" i="53" s="1"/>
  <c r="AT11" i="1"/>
  <c r="AF11" i="53" s="1"/>
  <c r="AV11" i="42"/>
  <c r="AV12" i="42"/>
  <c r="AT12" i="1"/>
  <c r="AF13" i="53" s="1"/>
  <c r="AT13" i="1"/>
  <c r="AF15" i="53" s="1"/>
  <c r="AV13" i="42"/>
  <c r="AT15" i="1"/>
  <c r="AF18" i="53" s="1"/>
  <c r="AV18" i="42"/>
  <c r="AT16" i="1"/>
  <c r="AF20" i="53" s="1"/>
  <c r="AV19" i="42"/>
  <c r="AT20" i="1"/>
  <c r="AT168" i="42"/>
  <c r="AV163" i="42"/>
  <c r="AV164" i="42"/>
  <c r="AT21" i="1"/>
  <c r="AF34" i="53" s="1"/>
  <c r="AT22" i="1"/>
  <c r="AF35" i="53" s="1"/>
  <c r="AV165" i="42"/>
  <c r="AV166" i="42"/>
  <c r="AT23" i="1"/>
  <c r="AF36" i="53" s="1"/>
  <c r="AT24" i="1"/>
  <c r="AF37" i="53" s="1"/>
  <c r="AV167" i="42"/>
  <c r="AV173" i="42"/>
  <c r="AT26" i="1"/>
  <c r="AF39" i="53" s="1"/>
  <c r="AT27" i="1"/>
  <c r="AF40" i="53" s="1"/>
  <c r="AV174" i="42"/>
  <c r="AY9" i="1"/>
  <c r="BA9" i="42"/>
  <c r="AY14" i="42"/>
  <c r="AY10" i="1"/>
  <c r="AK9" i="53" s="1"/>
  <c r="BA10" i="42"/>
  <c r="AY11" i="1"/>
  <c r="AK11" i="53" s="1"/>
  <c r="BA11" i="42"/>
  <c r="BA12" i="42"/>
  <c r="AY12" i="1"/>
  <c r="AK13" i="53" s="1"/>
  <c r="AY13" i="1"/>
  <c r="AK15" i="53" s="1"/>
  <c r="BA13" i="42"/>
  <c r="AY15" i="1"/>
  <c r="AK18" i="53" s="1"/>
  <c r="BA18" i="42"/>
  <c r="AY16" i="1"/>
  <c r="AK20" i="53" s="1"/>
  <c r="BA19" i="42"/>
  <c r="BL409" i="42"/>
  <c r="BL411" i="42" s="1"/>
  <c r="BM257" i="42"/>
  <c r="BM261" i="42" s="1"/>
  <c r="BB168" i="42"/>
  <c r="AL11" i="42"/>
  <c r="AL173" i="42"/>
  <c r="J39" i="53"/>
  <c r="AD37" i="53"/>
  <c r="BF357" i="42"/>
  <c r="F15" i="53"/>
  <c r="G13" i="53"/>
  <c r="BF476" i="42"/>
  <c r="R37" i="53"/>
  <c r="AF25" i="1"/>
  <c r="O9" i="53"/>
  <c r="AV20" i="53"/>
  <c r="P7" i="53"/>
  <c r="AV18" i="53"/>
  <c r="BE24" i="1"/>
  <c r="BE25" i="1" s="1"/>
  <c r="BE168" i="42"/>
  <c r="AH10" i="1"/>
  <c r="AH15" i="1"/>
  <c r="T18" i="53" s="1"/>
  <c r="AH22" i="1"/>
  <c r="AH27" i="1"/>
  <c r="T40" i="53" s="1"/>
  <c r="AM12" i="1"/>
  <c r="AM20" i="1"/>
  <c r="AV15" i="53"/>
  <c r="BF485" i="42"/>
  <c r="AE23" i="1"/>
  <c r="Q36" i="53" s="1"/>
  <c r="AE16" i="1"/>
  <c r="BE244" i="42"/>
  <c r="AZ244" i="42"/>
  <c r="AG257" i="42"/>
  <c r="AG264" i="42"/>
  <c r="AA264" i="42"/>
  <c r="BF271" i="42"/>
  <c r="BA271" i="42"/>
  <c r="BA273" i="42" s="1"/>
  <c r="BF283" i="42"/>
  <c r="BF285" i="42" s="1"/>
  <c r="BA283" i="42"/>
  <c r="BA285" i="42" s="1"/>
  <c r="Z313" i="42"/>
  <c r="AF313" i="42"/>
  <c r="AK313" i="42"/>
  <c r="AP313" i="42"/>
  <c r="AU313" i="42"/>
  <c r="BE313" i="42"/>
  <c r="AZ313" i="42"/>
  <c r="Z382" i="42"/>
  <c r="AF382" i="42"/>
  <c r="AK382" i="42"/>
  <c r="AP382" i="42"/>
  <c r="AU382" i="42"/>
  <c r="AZ382" i="42"/>
  <c r="AE556" i="42"/>
  <c r="AJ556" i="42"/>
  <c r="AO556" i="42"/>
  <c r="AT556" i="42"/>
  <c r="BN13" i="42"/>
  <c r="BF264" i="42"/>
  <c r="BF265" i="42"/>
  <c r="BF322" i="42"/>
  <c r="BF321" i="42"/>
  <c r="AC244" i="42"/>
  <c r="AH244" i="42"/>
  <c r="AM244" i="42"/>
  <c r="AR244" i="42"/>
  <c r="AW244" i="42"/>
  <c r="AF451" i="42"/>
  <c r="AP451" i="42"/>
  <c r="BE451" i="42"/>
  <c r="AZ451" i="42"/>
  <c r="W12" i="53"/>
  <c r="BD12" i="1"/>
  <c r="BD14" i="42"/>
  <c r="BD21" i="1"/>
  <c r="BD168" i="42"/>
  <c r="BG21" i="1"/>
  <c r="BG168" i="42"/>
  <c r="BK272" i="42"/>
  <c r="BL264" i="42"/>
  <c r="BL268" i="42" s="1"/>
  <c r="AG473" i="42"/>
  <c r="BA473" i="42"/>
  <c r="BH382" i="42"/>
  <c r="BG556" i="42"/>
  <c r="BB556" i="42"/>
  <c r="BQ484" i="42"/>
  <c r="BE185" i="42"/>
  <c r="BF185" i="42" s="1"/>
  <c r="BE276" i="42"/>
  <c r="BE278" i="42" s="1"/>
  <c r="BE352" i="42"/>
  <c r="BE354" i="42" s="1"/>
  <c r="BM264" i="42"/>
  <c r="BM268" i="42" s="1"/>
  <c r="AR313" i="42"/>
  <c r="AR382" i="42"/>
  <c r="BG451" i="42"/>
  <c r="Z556" i="42"/>
  <c r="AU556" i="42"/>
  <c r="AY556" i="42"/>
  <c r="AV14" i="53"/>
  <c r="AY14" i="53"/>
  <c r="Y244" i="42"/>
  <c r="X313" i="42"/>
  <c r="AX313" i="42"/>
  <c r="AM556" i="42"/>
  <c r="BE486" i="42"/>
  <c r="BF486" i="42" s="1"/>
  <c r="AK244" i="42"/>
  <c r="BH313" i="42"/>
  <c r="BH451" i="42"/>
  <c r="BK9" i="42"/>
  <c r="BU19" i="42"/>
  <c r="BM409" i="42"/>
  <c r="BM411" i="42" s="1"/>
  <c r="BM402" i="42"/>
  <c r="BM406" i="42" s="1"/>
  <c r="BL402" i="42"/>
  <c r="BL406" i="42" s="1"/>
  <c r="BK18" i="42"/>
  <c r="BK553" i="42"/>
  <c r="AX14" i="53"/>
  <c r="AY8" i="53"/>
  <c r="BK343" i="1"/>
  <c r="BK344" i="1" s="1"/>
  <c r="AW32" i="53"/>
  <c r="AS62" i="53"/>
  <c r="X60" i="53"/>
  <c r="AQ60" i="53"/>
  <c r="AQ62" i="53"/>
  <c r="AM60" i="53"/>
  <c r="C134" i="42"/>
  <c r="AC60" i="53"/>
  <c r="AH60" i="53"/>
  <c r="V38" i="1"/>
  <c r="BA54" i="1"/>
  <c r="AE60" i="1"/>
  <c r="AE69" i="1"/>
  <c r="AE70" i="1" s="1"/>
  <c r="AE65" i="1"/>
  <c r="AE58" i="1"/>
  <c r="Z25" i="53"/>
  <c r="AB25" i="53"/>
  <c r="AF73" i="1"/>
  <c r="AO58" i="1"/>
  <c r="R133" i="42"/>
  <c r="V21" i="53"/>
  <c r="AF69" i="1"/>
  <c r="AF70" i="1" s="1"/>
  <c r="AY41" i="1"/>
  <c r="BA41" i="1" s="1"/>
  <c r="P24" i="53"/>
  <c r="D24" i="53"/>
  <c r="AV51" i="1"/>
  <c r="AL51" i="1"/>
  <c r="AN133" i="42"/>
  <c r="AO24" i="53"/>
  <c r="Z24" i="53"/>
  <c r="AP76" i="1"/>
  <c r="AY133" i="42"/>
  <c r="AK24" i="53"/>
  <c r="AB24" i="53"/>
  <c r="AF60" i="1"/>
  <c r="AF58" i="1"/>
  <c r="AJ60" i="1"/>
  <c r="R21" i="53"/>
  <c r="BC76" i="1"/>
  <c r="BB133" i="42"/>
  <c r="AN24" i="53"/>
  <c r="AY61" i="1"/>
  <c r="AK133" i="42"/>
  <c r="AK58" i="1"/>
  <c r="BB76" i="1"/>
  <c r="BC133" i="42"/>
  <c r="Z60" i="53"/>
  <c r="AD60" i="53"/>
  <c r="N74" i="1"/>
  <c r="M74" i="1"/>
  <c r="X23" i="53"/>
  <c r="AJ23" i="53"/>
  <c r="U60" i="53"/>
  <c r="M47" i="53"/>
  <c r="AN60" i="53"/>
  <c r="V61" i="1"/>
  <c r="H24" i="53"/>
  <c r="V133" i="42"/>
  <c r="H60" i="53"/>
  <c r="AG133" i="42"/>
  <c r="AG61" i="1"/>
  <c r="S24" i="53"/>
  <c r="AF60" i="53"/>
  <c r="BK359" i="1"/>
  <c r="AP60" i="53"/>
  <c r="O21" i="53"/>
  <c r="AC69" i="1"/>
  <c r="AC70" i="1" s="1"/>
  <c r="Y61" i="1"/>
  <c r="T133" i="42"/>
  <c r="AP62" i="53"/>
  <c r="AP63" i="53"/>
  <c r="AP30" i="53"/>
  <c r="J70" i="1"/>
  <c r="V70" i="1"/>
  <c r="E66" i="1"/>
  <c r="P66" i="1"/>
  <c r="AI66" i="1"/>
  <c r="AD66" i="1"/>
  <c r="AQ66" i="1"/>
  <c r="BD66" i="1"/>
  <c r="F70" i="1"/>
  <c r="N70" i="1"/>
  <c r="AA66" i="1"/>
  <c r="BA66" i="1"/>
  <c r="BE66" i="1"/>
  <c r="AQ70" i="1"/>
  <c r="AV70" i="1"/>
  <c r="BD70" i="1"/>
  <c r="BE70" i="1"/>
  <c r="BN554" i="42"/>
  <c r="BN484" i="42"/>
  <c r="BN18" i="42"/>
  <c r="BB24" i="1"/>
  <c r="BF381" i="42"/>
  <c r="BF312" i="42"/>
  <c r="BF380" i="42"/>
  <c r="BF311" i="42"/>
  <c r="BF243" i="42"/>
  <c r="AU39" i="53"/>
  <c r="BF252" i="42"/>
  <c r="BK184" i="42"/>
  <c r="BF426" i="42"/>
  <c r="AA473" i="42"/>
  <c r="AV473" i="42"/>
  <c r="BA496" i="42"/>
  <c r="V473" i="42"/>
  <c r="AQ473" i="42"/>
  <c r="AI244" i="42"/>
  <c r="AX244" i="42"/>
  <c r="BG244" i="42"/>
  <c r="BB244" i="42"/>
  <c r="AD313" i="42"/>
  <c r="BP485" i="42"/>
  <c r="BK484" i="42"/>
  <c r="BF272" i="42"/>
  <c r="BF203" i="42"/>
  <c r="BF202" i="42"/>
  <c r="BP458" i="42"/>
  <c r="BP459" i="42" s="1"/>
  <c r="BB382" i="42"/>
  <c r="AY313" i="42"/>
  <c r="AP36" i="53"/>
  <c r="AP37" i="53"/>
  <c r="AX10" i="53"/>
  <c r="BL333" i="42"/>
  <c r="BL337" i="42" s="1"/>
  <c r="AX8" i="53"/>
  <c r="AY10" i="53"/>
  <c r="BD254" i="42"/>
  <c r="BD392" i="42"/>
  <c r="BU564" i="42"/>
  <c r="BO409" i="42"/>
  <c r="BO411" i="42" s="1"/>
  <c r="AV12" i="53"/>
  <c r="AX12" i="53"/>
  <c r="AU12" i="53"/>
  <c r="BG14" i="42"/>
  <c r="BE254" i="42"/>
  <c r="BE323" i="42"/>
  <c r="BF323" i="42" s="1"/>
  <c r="AU18" i="53"/>
  <c r="BK322" i="42"/>
  <c r="BK251" i="42"/>
  <c r="BK252" i="42" s="1"/>
  <c r="AV8" i="53"/>
  <c r="BK28" i="42"/>
  <c r="AU8" i="53"/>
  <c r="BM395" i="42"/>
  <c r="BM399" i="42" s="1"/>
  <c r="BL395" i="42"/>
  <c r="BL399" i="42" s="1"/>
  <c r="BK394" i="42"/>
  <c r="BK408" i="42"/>
  <c r="BK401" i="42"/>
  <c r="BM326" i="42"/>
  <c r="BM330" i="42" s="1"/>
  <c r="BM340" i="42"/>
  <c r="BM342" i="42" s="1"/>
  <c r="BL326" i="42"/>
  <c r="BL330" i="42" s="1"/>
  <c r="BK339" i="42"/>
  <c r="BK340" i="42" s="1"/>
  <c r="BK332" i="42"/>
  <c r="BK325" i="42"/>
  <c r="BL257" i="42"/>
  <c r="BL261" i="42" s="1"/>
  <c r="BK263" i="42"/>
  <c r="BK264" i="42" s="1"/>
  <c r="BK268" i="42" s="1"/>
  <c r="BK256" i="42"/>
  <c r="BK270" i="42"/>
  <c r="BK201" i="42"/>
  <c r="BK187" i="42"/>
  <c r="BK194" i="42"/>
  <c r="AQ78" i="1" l="1"/>
  <c r="BA310" i="1"/>
  <c r="BA327" i="1" s="1"/>
  <c r="P84" i="1"/>
  <c r="BF310" i="1"/>
  <c r="Q310" i="1"/>
  <c r="Q327" i="1" s="1"/>
  <c r="BK315" i="1"/>
  <c r="M82" i="1"/>
  <c r="M86" i="1" s="1"/>
  <c r="N82" i="1"/>
  <c r="N84" i="1" s="1"/>
  <c r="BA86" i="1"/>
  <c r="BA299" i="1" s="1"/>
  <c r="R86" i="1"/>
  <c r="D49" i="53" s="1"/>
  <c r="AR28" i="53"/>
  <c r="AV310" i="1"/>
  <c r="AV327" i="1" s="1"/>
  <c r="AQ315" i="1"/>
  <c r="O86" i="1"/>
  <c r="O107" i="1" s="1"/>
  <c r="O109" i="1" s="1"/>
  <c r="O122" i="1" s="1"/>
  <c r="BA84" i="1"/>
  <c r="BA301" i="1" s="1"/>
  <c r="BA320" i="1" s="1"/>
  <c r="D46" i="53"/>
  <c r="V315" i="1"/>
  <c r="N315" i="1"/>
  <c r="M315" i="1"/>
  <c r="BH74" i="1"/>
  <c r="F82" i="1"/>
  <c r="F84" i="1" s="1"/>
  <c r="F300" i="1" s="1"/>
  <c r="F319" i="1" s="1"/>
  <c r="BA315" i="1"/>
  <c r="V310" i="1"/>
  <c r="V327" i="1" s="1"/>
  <c r="N310" i="1"/>
  <c r="N327" i="1" s="1"/>
  <c r="AC228" i="1"/>
  <c r="AC242" i="1"/>
  <c r="AC270" i="1"/>
  <c r="AC271" i="1" s="1"/>
  <c r="L310" i="1"/>
  <c r="L327" i="1" s="1"/>
  <c r="K310" i="1"/>
  <c r="K327" i="1" s="1"/>
  <c r="AE242" i="1"/>
  <c r="AE228" i="1"/>
  <c r="AE270" i="1"/>
  <c r="AE271" i="1" s="1"/>
  <c r="AB350" i="1"/>
  <c r="AB236" i="1"/>
  <c r="M310" i="1"/>
  <c r="M327" i="1" s="1"/>
  <c r="O300" i="1"/>
  <c r="O319" i="1" s="1"/>
  <c r="O301" i="1"/>
  <c r="O320" i="1" s="1"/>
  <c r="Q315" i="1"/>
  <c r="BF315" i="1"/>
  <c r="BK310" i="1"/>
  <c r="AQ310" i="1"/>
  <c r="AQ327" i="1" s="1"/>
  <c r="AG315" i="1"/>
  <c r="AG310" i="1"/>
  <c r="AG327" i="1" s="1"/>
  <c r="AL310" i="1"/>
  <c r="AL327" i="1" s="1"/>
  <c r="L315" i="1"/>
  <c r="K315" i="1"/>
  <c r="AV315" i="1"/>
  <c r="AF270" i="1"/>
  <c r="AF271" i="1" s="1"/>
  <c r="AF228" i="1"/>
  <c r="AF242" i="1"/>
  <c r="AA315" i="1"/>
  <c r="P315" i="1"/>
  <c r="P300" i="1"/>
  <c r="P319" i="1" s="1"/>
  <c r="P301" i="1"/>
  <c r="P320" i="1" s="1"/>
  <c r="P299" i="1"/>
  <c r="P336" i="1"/>
  <c r="L299" i="1"/>
  <c r="L336" i="1"/>
  <c r="AD242" i="1"/>
  <c r="AD228" i="1"/>
  <c r="AD270" i="1"/>
  <c r="AD271" i="1" s="1"/>
  <c r="AL315" i="1"/>
  <c r="AG228" i="1"/>
  <c r="AG270" i="1"/>
  <c r="AG271" i="1" s="1"/>
  <c r="AA310" i="1"/>
  <c r="AA327" i="1" s="1"/>
  <c r="P310" i="1"/>
  <c r="P327" i="1" s="1"/>
  <c r="P107" i="1"/>
  <c r="P109" i="1" s="1"/>
  <c r="P122" i="1" s="1"/>
  <c r="P317" i="1" s="1"/>
  <c r="L107" i="1"/>
  <c r="L109" i="1" s="1"/>
  <c r="L122" i="1" s="1"/>
  <c r="L317" i="1" s="1"/>
  <c r="AT138" i="1"/>
  <c r="AT142" i="1"/>
  <c r="AD108" i="1"/>
  <c r="BF38" i="42"/>
  <c r="W77" i="1"/>
  <c r="I42" i="53" s="1"/>
  <c r="AA78" i="1"/>
  <c r="R78" i="1"/>
  <c r="D43" i="53" s="1"/>
  <c r="AW78" i="1"/>
  <c r="AI43" i="53" s="1"/>
  <c r="N77" i="1"/>
  <c r="R98" i="1"/>
  <c r="R99" i="1" s="1"/>
  <c r="AA98" i="1"/>
  <c r="M98" i="1"/>
  <c r="M224" i="1" s="1"/>
  <c r="M240" i="1" s="1"/>
  <c r="BA74" i="1"/>
  <c r="D41" i="53"/>
  <c r="BA77" i="1"/>
  <c r="AM42" i="53" s="1"/>
  <c r="AA82" i="1"/>
  <c r="M46" i="53" s="1"/>
  <c r="AW98" i="1"/>
  <c r="F74" i="1"/>
  <c r="AG77" i="1"/>
  <c r="S42" i="53" s="1"/>
  <c r="AG78" i="1"/>
  <c r="S43" i="53" s="1"/>
  <c r="AG82" i="1"/>
  <c r="S46" i="53" s="1"/>
  <c r="AW82" i="1"/>
  <c r="AI46" i="53" s="1"/>
  <c r="AG98" i="1"/>
  <c r="E86" i="1"/>
  <c r="M41" i="53"/>
  <c r="E98" i="1"/>
  <c r="E224" i="1" s="1"/>
  <c r="E240" i="1" s="1"/>
  <c r="E78" i="1"/>
  <c r="E79" i="1" s="1"/>
  <c r="Q98" i="1"/>
  <c r="Q224" i="1" s="1"/>
  <c r="Q240" i="1" s="1"/>
  <c r="Q82" i="1"/>
  <c r="Q84" i="1" s="1"/>
  <c r="AS78" i="1"/>
  <c r="AE43" i="53" s="1"/>
  <c r="AL77" i="1"/>
  <c r="X42" i="53" s="1"/>
  <c r="M77" i="1"/>
  <c r="AE41" i="53"/>
  <c r="AK41" i="53"/>
  <c r="AT77" i="1"/>
  <c r="AF42" i="53" s="1"/>
  <c r="V78" i="1"/>
  <c r="AA79" i="1" s="1"/>
  <c r="Q78" i="1"/>
  <c r="D98" i="1"/>
  <c r="D224" i="1" s="1"/>
  <c r="D240" i="1" s="1"/>
  <c r="AF41" i="53"/>
  <c r="L98" i="1"/>
  <c r="L84" i="1"/>
  <c r="U82" i="1"/>
  <c r="G46" i="53" s="1"/>
  <c r="L78" i="1"/>
  <c r="M79" i="1" s="1"/>
  <c r="S82" i="1"/>
  <c r="E46" i="53" s="1"/>
  <c r="P78" i="1"/>
  <c r="AV78" i="1"/>
  <c r="AH43" i="53" s="1"/>
  <c r="AA351" i="1"/>
  <c r="AY77" i="1"/>
  <c r="AK42" i="53" s="1"/>
  <c r="AT78" i="1"/>
  <c r="AF43" i="53" s="1"/>
  <c r="AQ59" i="42"/>
  <c r="AQ312" i="42"/>
  <c r="AV313" i="42" s="1"/>
  <c r="D79" i="1"/>
  <c r="BF12" i="1"/>
  <c r="AR13" i="53" s="1"/>
  <c r="BF11" i="1"/>
  <c r="AR11" i="53" s="1"/>
  <c r="BF13" i="1"/>
  <c r="AR15" i="53" s="1"/>
  <c r="BF16" i="1"/>
  <c r="AR20" i="53" s="1"/>
  <c r="AA556" i="42"/>
  <c r="CX69" i="1"/>
  <c r="DC69" i="1" s="1"/>
  <c r="DH69" i="1" s="1"/>
  <c r="BF31" i="42"/>
  <c r="BJ53" i="42"/>
  <c r="BG49" i="42"/>
  <c r="AH49" i="42"/>
  <c r="AZ49" i="42"/>
  <c r="BK16" i="1"/>
  <c r="AW20" i="53" s="1"/>
  <c r="AR20" i="42"/>
  <c r="BD49" i="42"/>
  <c r="BE20" i="42"/>
  <c r="BJ21" i="42" s="1"/>
  <c r="BJ23" i="42" s="1"/>
  <c r="BH49" i="42"/>
  <c r="BB49" i="42"/>
  <c r="AP20" i="42"/>
  <c r="BK13" i="1"/>
  <c r="AW15" i="53" s="1"/>
  <c r="BA382" i="42"/>
  <c r="AM169" i="42"/>
  <c r="AA450" i="42"/>
  <c r="AG451" i="42" s="1"/>
  <c r="U175" i="42"/>
  <c r="AA12" i="42"/>
  <c r="U170" i="42"/>
  <c r="Y451" i="42"/>
  <c r="AG556" i="42"/>
  <c r="BF474" i="42"/>
  <c r="BA451" i="42"/>
  <c r="AV244" i="42"/>
  <c r="Z169" i="42"/>
  <c r="CK13" i="42"/>
  <c r="CA13" i="1"/>
  <c r="BK342" i="42"/>
  <c r="AP175" i="42"/>
  <c r="AM170" i="42"/>
  <c r="W170" i="42"/>
  <c r="BA244" i="42"/>
  <c r="AA9" i="1"/>
  <c r="M7" i="53" s="1"/>
  <c r="AF20" i="42"/>
  <c r="AG390" i="42"/>
  <c r="AA244" i="42"/>
  <c r="BH199" i="42"/>
  <c r="AF170" i="42"/>
  <c r="BK185" i="42"/>
  <c r="AN14" i="42"/>
  <c r="AQ244" i="42"/>
  <c r="AV252" i="42"/>
  <c r="AR175" i="42"/>
  <c r="AO14" i="42"/>
  <c r="W20" i="42"/>
  <c r="W177" i="42" s="1"/>
  <c r="BA22" i="1"/>
  <c r="AM35" i="53" s="1"/>
  <c r="AY175" i="42"/>
  <c r="BH204" i="42"/>
  <c r="Z175" i="42"/>
  <c r="AU49" i="42"/>
  <c r="Y12" i="1"/>
  <c r="K13" i="53" s="1"/>
  <c r="AU20" i="42"/>
  <c r="AK20" i="42"/>
  <c r="AK134" i="42" s="1"/>
  <c r="BH268" i="42"/>
  <c r="BH20" i="42"/>
  <c r="BH134" i="42" s="1"/>
  <c r="AU78" i="1"/>
  <c r="AG43" i="53" s="1"/>
  <c r="AQ77" i="1"/>
  <c r="AC42" i="53" s="1"/>
  <c r="O78" i="1"/>
  <c r="O79" i="1" s="1"/>
  <c r="F78" i="1"/>
  <c r="I78" i="1"/>
  <c r="I79" i="1" s="1"/>
  <c r="N98" i="1"/>
  <c r="N224" i="1" s="1"/>
  <c r="N240" i="1" s="1"/>
  <c r="AM41" i="53"/>
  <c r="BA78" i="1"/>
  <c r="AQ82" i="1"/>
  <c r="AC46" i="53" s="1"/>
  <c r="Y77" i="1"/>
  <c r="K42" i="53" s="1"/>
  <c r="O98" i="1"/>
  <c r="P77" i="1"/>
  <c r="I77" i="1"/>
  <c r="I98" i="1"/>
  <c r="I224" i="1" s="1"/>
  <c r="I240" i="1" s="1"/>
  <c r="AG41" i="53"/>
  <c r="BA98" i="1"/>
  <c r="F77" i="1"/>
  <c r="P92" i="1"/>
  <c r="P94" i="1" s="1"/>
  <c r="O77" i="1"/>
  <c r="AY74" i="1"/>
  <c r="AU25" i="1"/>
  <c r="AG38" i="53" s="1"/>
  <c r="T82" i="1"/>
  <c r="T84" i="1" s="1"/>
  <c r="F48" i="53" s="1"/>
  <c r="AH41" i="53"/>
  <c r="I86" i="1"/>
  <c r="I92" i="1" s="1"/>
  <c r="P98" i="1"/>
  <c r="P224" i="1" s="1"/>
  <c r="P240" i="1" s="1"/>
  <c r="Q77" i="1"/>
  <c r="C98" i="1"/>
  <c r="C224" i="1" s="1"/>
  <c r="C240" i="1" s="1"/>
  <c r="AY78" i="1"/>
  <c r="D82" i="1"/>
  <c r="D84" i="1" s="1"/>
  <c r="D300" i="1" s="1"/>
  <c r="D319" i="1" s="1"/>
  <c r="AA74" i="1"/>
  <c r="AZ25" i="1"/>
  <c r="AZ28" i="1" s="1"/>
  <c r="AY82" i="1"/>
  <c r="AY86" i="1" s="1"/>
  <c r="AY107" i="1" s="1"/>
  <c r="AY109" i="1" s="1"/>
  <c r="AY122" i="1" s="1"/>
  <c r="Q17" i="1"/>
  <c r="Q20" i="42" s="1"/>
  <c r="AT98" i="1"/>
  <c r="U98" i="1"/>
  <c r="AS74" i="1"/>
  <c r="AG25" i="1"/>
  <c r="S38" i="53" s="1"/>
  <c r="AX77" i="1"/>
  <c r="AJ42" i="53" s="1"/>
  <c r="U78" i="1"/>
  <c r="G43" i="53" s="1"/>
  <c r="AU82" i="1"/>
  <c r="AU84" i="1" s="1"/>
  <c r="AG48" i="53" s="1"/>
  <c r="V74" i="1"/>
  <c r="AV82" i="1"/>
  <c r="AV86" i="1" s="1"/>
  <c r="D77" i="1"/>
  <c r="AO72" i="1"/>
  <c r="AV77" i="1"/>
  <c r="AH42" i="53" s="1"/>
  <c r="AD351" i="1"/>
  <c r="K74" i="1"/>
  <c r="AV98" i="1"/>
  <c r="AV99" i="1" s="1"/>
  <c r="AV243" i="1" s="1"/>
  <c r="BF72" i="1"/>
  <c r="AC41" i="53"/>
  <c r="C82" i="1"/>
  <c r="AJ73" i="1"/>
  <c r="AJ74" i="1" s="1"/>
  <c r="AR31" i="53"/>
  <c r="E77" i="1"/>
  <c r="AP25" i="1"/>
  <c r="AP28" i="1" s="1"/>
  <c r="J74" i="1"/>
  <c r="BC15" i="42"/>
  <c r="BC17" i="42" s="1"/>
  <c r="AX20" i="42"/>
  <c r="AZ15" i="42"/>
  <c r="AZ17" i="42" s="1"/>
  <c r="BE53" i="42"/>
  <c r="BH406" i="42"/>
  <c r="BJ48" i="42"/>
  <c r="BJ47" i="42" s="1"/>
  <c r="BH399" i="42"/>
  <c r="AF15" i="42"/>
  <c r="X15" i="42"/>
  <c r="BF556" i="42"/>
  <c r="AC170" i="42"/>
  <c r="AZ20" i="42"/>
  <c r="AX49" i="42"/>
  <c r="BF399" i="42"/>
  <c r="AJ72" i="1"/>
  <c r="Z82" i="1"/>
  <c r="Z86" i="1" s="1"/>
  <c r="Z107" i="1" s="1"/>
  <c r="Z109" i="1" s="1"/>
  <c r="Z122" i="1" s="1"/>
  <c r="V82" i="1"/>
  <c r="H46" i="53" s="1"/>
  <c r="AE72" i="1"/>
  <c r="AS62" i="1"/>
  <c r="AE26" i="53" s="1"/>
  <c r="J82" i="1"/>
  <c r="J86" i="1" s="1"/>
  <c r="Y82" i="1"/>
  <c r="Y78" i="1"/>
  <c r="K43" i="53" s="1"/>
  <c r="Z77" i="1"/>
  <c r="L42" i="53" s="1"/>
  <c r="L41" i="53"/>
  <c r="H41" i="53"/>
  <c r="AB94" i="1"/>
  <c r="N53" i="53" s="1"/>
  <c r="AL82" i="1"/>
  <c r="X41" i="53"/>
  <c r="AL78" i="1"/>
  <c r="X43" i="53" s="1"/>
  <c r="AL98" i="1"/>
  <c r="X77" i="1"/>
  <c r="J42" i="53" s="1"/>
  <c r="Q31" i="53"/>
  <c r="V77" i="1"/>
  <c r="H42" i="53" s="1"/>
  <c r="AA77" i="1"/>
  <c r="M42" i="53" s="1"/>
  <c r="Z78" i="1"/>
  <c r="L43" i="53" s="1"/>
  <c r="AC351" i="1"/>
  <c r="E41" i="53"/>
  <c r="BK392" i="42"/>
  <c r="AP170" i="42"/>
  <c r="AZ170" i="42"/>
  <c r="AA27" i="1"/>
  <c r="M40" i="53" s="1"/>
  <c r="AN313" i="42"/>
  <c r="Y20" i="42"/>
  <c r="Y134" i="42" s="1"/>
  <c r="AH19" i="53"/>
  <c r="AG313" i="42"/>
  <c r="AE15" i="42"/>
  <c r="AT313" i="42"/>
  <c r="K41" i="53"/>
  <c r="X82" i="1"/>
  <c r="J46" i="53" s="1"/>
  <c r="X170" i="42"/>
  <c r="T78" i="1"/>
  <c r="F43" i="53" s="1"/>
  <c r="AU169" i="42"/>
  <c r="V26" i="1"/>
  <c r="H39" i="53" s="1"/>
  <c r="AK170" i="42"/>
  <c r="AL33" i="53"/>
  <c r="X78" i="1"/>
  <c r="J43" i="53" s="1"/>
  <c r="AG9" i="1"/>
  <c r="S7" i="53" s="1"/>
  <c r="BF451" i="42"/>
  <c r="BH330" i="42"/>
  <c r="Q74" i="1"/>
  <c r="AU14" i="1"/>
  <c r="AU17" i="1" s="1"/>
  <c r="X20" i="42"/>
  <c r="X134" i="42" s="1"/>
  <c r="Y175" i="42"/>
  <c r="AU175" i="42"/>
  <c r="AU170" i="42"/>
  <c r="T98" i="1"/>
  <c r="T99" i="1" s="1"/>
  <c r="J41" i="53"/>
  <c r="Y98" i="1"/>
  <c r="AZ169" i="42"/>
  <c r="AA382" i="42"/>
  <c r="BH15" i="42"/>
  <c r="BH17" i="42" s="1"/>
  <c r="AW175" i="42"/>
  <c r="Z20" i="42"/>
  <c r="BK486" i="42"/>
  <c r="AU62" i="1"/>
  <c r="AG26" i="53" s="1"/>
  <c r="O23" i="53"/>
  <c r="Z41" i="53"/>
  <c r="BH78" i="1"/>
  <c r="AT43" i="53" s="1"/>
  <c r="AO10" i="1"/>
  <c r="AA9" i="53" s="1"/>
  <c r="E62" i="1"/>
  <c r="BC20" i="42"/>
  <c r="AA402" i="42"/>
  <c r="T170" i="42"/>
  <c r="T20" i="42"/>
  <c r="AC169" i="42"/>
  <c r="AP15" i="42"/>
  <c r="N79" i="1"/>
  <c r="AR15" i="42"/>
  <c r="AR17" i="42" s="1"/>
  <c r="AC20" i="42"/>
  <c r="BK323" i="42"/>
  <c r="BA24" i="1"/>
  <c r="AM37" i="53" s="1"/>
  <c r="AP169" i="42"/>
  <c r="AC176" i="42"/>
  <c r="AC15" i="42"/>
  <c r="Y15" i="42"/>
  <c r="AC76" i="1"/>
  <c r="AC77" i="1" s="1"/>
  <c r="O42" i="53" s="1"/>
  <c r="L77" i="1"/>
  <c r="BH261" i="42"/>
  <c r="AK175" i="42"/>
  <c r="AR170" i="42"/>
  <c r="V12" i="1"/>
  <c r="H13" i="53" s="1"/>
  <c r="BF15" i="1"/>
  <c r="AR18" i="53" s="1"/>
  <c r="BH337" i="42"/>
  <c r="X169" i="42"/>
  <c r="AZ14" i="1"/>
  <c r="AZ17" i="1" s="1"/>
  <c r="AD15" i="42"/>
  <c r="AL313" i="42"/>
  <c r="AS175" i="42"/>
  <c r="AK15" i="42"/>
  <c r="BA313" i="42"/>
  <c r="S170" i="42"/>
  <c r="AU15" i="42"/>
  <c r="AU17" i="42" s="1"/>
  <c r="BB20" i="42"/>
  <c r="BK254" i="42"/>
  <c r="S175" i="42"/>
  <c r="AQ382" i="42"/>
  <c r="AP74" i="1"/>
  <c r="AT74" i="1"/>
  <c r="Z99" i="1"/>
  <c r="AK99" i="1"/>
  <c r="AU99" i="1"/>
  <c r="S78" i="1"/>
  <c r="E43" i="53" s="1"/>
  <c r="CF13" i="42"/>
  <c r="AA313" i="42"/>
  <c r="AV382" i="42"/>
  <c r="BC62" i="1"/>
  <c r="AO26" i="53" s="1"/>
  <c r="T28" i="53"/>
  <c r="AL74" i="1"/>
  <c r="J77" i="1"/>
  <c r="J98" i="1"/>
  <c r="J224" i="1" s="1"/>
  <c r="J240" i="1" s="1"/>
  <c r="K98" i="1"/>
  <c r="K224" i="1" s="1"/>
  <c r="K240" i="1" s="1"/>
  <c r="K77" i="1"/>
  <c r="K82" i="1"/>
  <c r="G82" i="1"/>
  <c r="G78" i="1"/>
  <c r="G98" i="1"/>
  <c r="G224" i="1" s="1"/>
  <c r="G240" i="1" s="1"/>
  <c r="H77" i="1"/>
  <c r="G77" i="1"/>
  <c r="BF20" i="53"/>
  <c r="AO62" i="53"/>
  <c r="AI60" i="53"/>
  <c r="F60" i="53"/>
  <c r="D62" i="1"/>
  <c r="BE20" i="53"/>
  <c r="BC49" i="42"/>
  <c r="AR49" i="42"/>
  <c r="AM20" i="42"/>
  <c r="AM49" i="42"/>
  <c r="AP49" i="42"/>
  <c r="AK49" i="42"/>
  <c r="BF48" i="42"/>
  <c r="AY20" i="42"/>
  <c r="AY134" i="42" s="1"/>
  <c r="AY49" i="42"/>
  <c r="AJ20" i="42"/>
  <c r="AJ49" i="42"/>
  <c r="AQ48" i="42"/>
  <c r="BE49" i="42"/>
  <c r="AT20" i="42"/>
  <c r="AT49" i="42"/>
  <c r="BA48" i="42"/>
  <c r="AS49" i="42"/>
  <c r="AI170" i="42"/>
  <c r="AI49" i="42"/>
  <c r="AV48" i="42"/>
  <c r="AW49" i="42"/>
  <c r="BD20" i="53"/>
  <c r="BR271" i="42"/>
  <c r="BR273" i="42" s="1"/>
  <c r="AX18" i="53"/>
  <c r="BU16" i="1"/>
  <c r="BG20" i="53" s="1"/>
  <c r="BC20" i="53"/>
  <c r="BQ486" i="42"/>
  <c r="Y56" i="53"/>
  <c r="D60" i="53"/>
  <c r="P60" i="53"/>
  <c r="H84" i="1"/>
  <c r="H300" i="1" s="1"/>
  <c r="H319" i="1" s="1"/>
  <c r="H86" i="1"/>
  <c r="AB358" i="1"/>
  <c r="AI70" i="1"/>
  <c r="BE82" i="1"/>
  <c r="BE86" i="1" s="1"/>
  <c r="BE107" i="1" s="1"/>
  <c r="BE109" i="1" s="1"/>
  <c r="BE122" i="1" s="1"/>
  <c r="P17" i="1"/>
  <c r="P20" i="42" s="1"/>
  <c r="P134" i="42" s="1"/>
  <c r="P135" i="42" s="1"/>
  <c r="BB62" i="1"/>
  <c r="AN26" i="53" s="1"/>
  <c r="BK357" i="1"/>
  <c r="AJ60" i="53"/>
  <c r="BI77" i="1"/>
  <c r="AQ343" i="1"/>
  <c r="AQ344" i="1" s="1"/>
  <c r="I62" i="53"/>
  <c r="BQ13" i="1"/>
  <c r="BW402" i="42"/>
  <c r="BW406" i="42" s="1"/>
  <c r="BW340" i="42"/>
  <c r="BW342" i="42" s="1"/>
  <c r="BA20" i="53"/>
  <c r="BA15" i="53"/>
  <c r="BQ173" i="42"/>
  <c r="BF19" i="53"/>
  <c r="BN486" i="42"/>
  <c r="BG170" i="42"/>
  <c r="AZ20" i="53"/>
  <c r="BF261" i="42"/>
  <c r="BN340" i="42"/>
  <c r="BN342" i="42" s="1"/>
  <c r="BB14" i="1"/>
  <c r="AN16" i="53" s="1"/>
  <c r="Z25" i="1"/>
  <c r="L38" i="53" s="1"/>
  <c r="I7" i="53"/>
  <c r="AR25" i="1"/>
  <c r="AR28" i="1" s="1"/>
  <c r="AK25" i="1"/>
  <c r="AK28" i="1" s="1"/>
  <c r="AP14" i="1"/>
  <c r="AP17" i="1" s="1"/>
  <c r="AK14" i="1"/>
  <c r="AK17" i="1" s="1"/>
  <c r="AC25" i="1"/>
  <c r="AC28" i="1" s="1"/>
  <c r="AW14" i="1"/>
  <c r="AI16" i="53" s="1"/>
  <c r="AR60" i="53"/>
  <c r="AT20" i="53"/>
  <c r="BH25" i="1"/>
  <c r="BH28" i="1" s="1"/>
  <c r="BE62" i="1"/>
  <c r="AQ26" i="53" s="1"/>
  <c r="BH86" i="1"/>
  <c r="BH107" i="1" s="1"/>
  <c r="BH109" i="1" s="1"/>
  <c r="BH122" i="1" s="1"/>
  <c r="AT11" i="53"/>
  <c r="V9" i="1"/>
  <c r="H7" i="53" s="1"/>
  <c r="AA16" i="1"/>
  <c r="M20" i="53" s="1"/>
  <c r="AT13" i="53"/>
  <c r="AA21" i="1"/>
  <c r="M34" i="53" s="1"/>
  <c r="BA23" i="1"/>
  <c r="AM36" i="53" s="1"/>
  <c r="AG15" i="1"/>
  <c r="S18" i="53" s="1"/>
  <c r="BA556" i="42"/>
  <c r="AT36" i="53"/>
  <c r="AT18" i="53"/>
  <c r="AY20" i="53"/>
  <c r="BM392" i="42"/>
  <c r="BF392" i="42"/>
  <c r="BF20" i="1"/>
  <c r="AR33" i="53" s="1"/>
  <c r="V60" i="53"/>
  <c r="AK82" i="1"/>
  <c r="W46" i="53" s="1"/>
  <c r="W41" i="53"/>
  <c r="AK78" i="1"/>
  <c r="BD77" i="1"/>
  <c r="AP42" i="53" s="1"/>
  <c r="AD62" i="1"/>
  <c r="P26" i="53" s="1"/>
  <c r="AA14" i="42"/>
  <c r="AQ10" i="42"/>
  <c r="AD169" i="42"/>
  <c r="M60" i="53"/>
  <c r="Z14" i="1"/>
  <c r="Z17" i="1" s="1"/>
  <c r="AW15" i="42"/>
  <c r="AW17" i="42" s="1"/>
  <c r="BB15" i="42"/>
  <c r="BB17" i="42" s="1"/>
  <c r="AH175" i="42"/>
  <c r="AF169" i="42"/>
  <c r="C43" i="53"/>
  <c r="BA168" i="42"/>
  <c r="AF14" i="1"/>
  <c r="R16" i="53" s="1"/>
  <c r="BI74" i="1"/>
  <c r="BD74" i="1"/>
  <c r="BN555" i="42"/>
  <c r="S19" i="53"/>
  <c r="BH175" i="42"/>
  <c r="AQ43" i="53"/>
  <c r="BJ79" i="1"/>
  <c r="AQ74" i="1"/>
  <c r="AW25" i="1"/>
  <c r="AW28" i="1" s="1"/>
  <c r="AW169" i="42"/>
  <c r="L56" i="53"/>
  <c r="AC43" i="53"/>
  <c r="AV74" i="1"/>
  <c r="AW170" i="42"/>
  <c r="AW20" i="42"/>
  <c r="X175" i="42"/>
  <c r="AR10" i="53"/>
  <c r="K79" i="1"/>
  <c r="AP41" i="53"/>
  <c r="BD98" i="1"/>
  <c r="AQ99" i="1"/>
  <c r="AQ243" i="1" s="1"/>
  <c r="K60" i="53"/>
  <c r="J60" i="53"/>
  <c r="BG62" i="1"/>
  <c r="M43" i="53"/>
  <c r="AC14" i="1"/>
  <c r="AC17" i="1" s="1"/>
  <c r="BH170" i="42"/>
  <c r="BD78" i="1"/>
  <c r="AV343" i="1"/>
  <c r="AV344" i="1" s="1"/>
  <c r="AR14" i="1"/>
  <c r="AD16" i="53" s="1"/>
  <c r="G62" i="1"/>
  <c r="AR169" i="42"/>
  <c r="AD170" i="42"/>
  <c r="T25" i="1"/>
  <c r="F38" i="53" s="1"/>
  <c r="Z170" i="42"/>
  <c r="AD175" i="42"/>
  <c r="AD177" i="42" s="1"/>
  <c r="AP62" i="1"/>
  <c r="AB26" i="53" s="1"/>
  <c r="S60" i="53"/>
  <c r="AG11" i="1"/>
  <c r="S11" i="53" s="1"/>
  <c r="BH169" i="42"/>
  <c r="BC175" i="42"/>
  <c r="BC170" i="42"/>
  <c r="AL451" i="42"/>
  <c r="AG358" i="1"/>
  <c r="R15" i="53"/>
  <c r="V16" i="1"/>
  <c r="H20" i="53" s="1"/>
  <c r="BM173" i="42"/>
  <c r="BM26" i="1" s="1"/>
  <c r="BM554" i="42"/>
  <c r="AS170" i="42"/>
  <c r="D74" i="1"/>
  <c r="E74" i="1"/>
  <c r="AG74" i="1"/>
  <c r="U62" i="53"/>
  <c r="I74" i="1"/>
  <c r="J56" i="53"/>
  <c r="BF21" i="1"/>
  <c r="AR34" i="53" s="1"/>
  <c r="AS11" i="53"/>
  <c r="BG14" i="1"/>
  <c r="V11" i="1"/>
  <c r="Z13" i="53"/>
  <c r="AN14" i="1"/>
  <c r="AN17" i="1" s="1"/>
  <c r="AX170" i="42"/>
  <c r="AX175" i="42"/>
  <c r="AX169" i="42"/>
  <c r="V23" i="1"/>
  <c r="H36" i="53" s="1"/>
  <c r="AH20" i="42"/>
  <c r="AH15" i="42"/>
  <c r="AM15" i="42"/>
  <c r="AG13" i="1"/>
  <c r="S15" i="53" s="1"/>
  <c r="AE175" i="42"/>
  <c r="AE169" i="42"/>
  <c r="AI169" i="42"/>
  <c r="AI175" i="42"/>
  <c r="AI344" i="1"/>
  <c r="AL343" i="1"/>
  <c r="AL344" i="1" s="1"/>
  <c r="BC169" i="42"/>
  <c r="CV483" i="42"/>
  <c r="DA483" i="42" s="1"/>
  <c r="DF483" i="42" s="1"/>
  <c r="BR484" i="42"/>
  <c r="BR18" i="42"/>
  <c r="AD62" i="53"/>
  <c r="S134" i="42"/>
  <c r="AL351" i="1"/>
  <c r="AA409" i="42"/>
  <c r="AG14" i="42"/>
  <c r="AL556" i="42"/>
  <c r="BF406" i="42"/>
  <c r="W25" i="1"/>
  <c r="W28" i="1" s="1"/>
  <c r="BM555" i="42"/>
  <c r="AG409" i="42"/>
  <c r="AH170" i="42"/>
  <c r="Y170" i="42"/>
  <c r="Y169" i="42"/>
  <c r="AI20" i="42"/>
  <c r="BA26" i="1"/>
  <c r="AM39" i="53" s="1"/>
  <c r="AI15" i="42"/>
  <c r="AK169" i="42"/>
  <c r="AH169" i="42"/>
  <c r="AA168" i="42"/>
  <c r="AG168" i="42"/>
  <c r="AF175" i="42"/>
  <c r="BF244" i="42"/>
  <c r="BF43" i="42"/>
  <c r="U14" i="1"/>
  <c r="U17" i="1" s="1"/>
  <c r="AY25" i="1"/>
  <c r="AK38" i="53" s="1"/>
  <c r="X25" i="1"/>
  <c r="J38" i="53" s="1"/>
  <c r="W17" i="1"/>
  <c r="O135" i="42"/>
  <c r="V24" i="1"/>
  <c r="H37" i="53" s="1"/>
  <c r="AB10" i="1"/>
  <c r="N9" i="53" s="1"/>
  <c r="BF10" i="1"/>
  <c r="AR9" i="53" s="1"/>
  <c r="AN25" i="1"/>
  <c r="X14" i="1"/>
  <c r="J16" i="53" s="1"/>
  <c r="AI14" i="1"/>
  <c r="U16" i="53" s="1"/>
  <c r="AA22" i="1"/>
  <c r="M35" i="53" s="1"/>
  <c r="T14" i="1"/>
  <c r="T17" i="1" s="1"/>
  <c r="M11" i="53"/>
  <c r="BF9" i="1"/>
  <c r="AR7" i="53" s="1"/>
  <c r="M15" i="53"/>
  <c r="AB13" i="1"/>
  <c r="N15" i="53" s="1"/>
  <c r="AS25" i="1"/>
  <c r="AE38" i="53" s="1"/>
  <c r="AS14" i="1"/>
  <c r="AI25" i="1"/>
  <c r="U38" i="53" s="1"/>
  <c r="AX14" i="1"/>
  <c r="AX17" i="1" s="1"/>
  <c r="D135" i="42"/>
  <c r="BC14" i="1"/>
  <c r="BC17" i="1" s="1"/>
  <c r="AX25" i="1"/>
  <c r="AX28" i="1" s="1"/>
  <c r="AE14" i="1"/>
  <c r="Q16" i="53" s="1"/>
  <c r="AS20" i="53"/>
  <c r="AS9" i="53"/>
  <c r="AS20" i="42"/>
  <c r="AX15" i="42"/>
  <c r="AX17" i="42" s="1"/>
  <c r="AN175" i="42"/>
  <c r="AN169" i="42"/>
  <c r="BF26" i="1"/>
  <c r="AR39" i="53" s="1"/>
  <c r="BA21" i="1"/>
  <c r="AM34" i="53" s="1"/>
  <c r="AS169" i="42"/>
  <c r="BA27" i="1"/>
  <c r="AM40" i="53" s="1"/>
  <c r="AS35" i="53"/>
  <c r="AE170" i="42"/>
  <c r="AF409" i="42"/>
  <c r="Z409" i="42"/>
  <c r="AE20" i="42"/>
  <c r="M135" i="42"/>
  <c r="S14" i="1"/>
  <c r="S17" i="1" s="1"/>
  <c r="E135" i="42"/>
  <c r="BD14" i="1"/>
  <c r="BD17" i="1" s="1"/>
  <c r="U25" i="1"/>
  <c r="G38" i="53" s="1"/>
  <c r="BC25" i="1"/>
  <c r="BC28" i="1" s="1"/>
  <c r="S25" i="1"/>
  <c r="S28" i="1" s="1"/>
  <c r="AG343" i="1"/>
  <c r="AG344" i="1" s="1"/>
  <c r="BM12" i="42"/>
  <c r="BM12" i="1" s="1"/>
  <c r="BM166" i="42"/>
  <c r="BM15" i="1"/>
  <c r="Z62" i="53"/>
  <c r="AJ56" i="53"/>
  <c r="U358" i="1"/>
  <c r="AV62" i="1"/>
  <c r="AH26" i="53" s="1"/>
  <c r="AS34" i="53"/>
  <c r="W56" i="53"/>
  <c r="AS60" i="53"/>
  <c r="AJ70" i="1"/>
  <c r="BJ347" i="42"/>
  <c r="BJ416" i="42"/>
  <c r="BJ209" i="42"/>
  <c r="BJ354" i="42"/>
  <c r="BJ214" i="42"/>
  <c r="Z62" i="1"/>
  <c r="L26" i="53" s="1"/>
  <c r="BQ340" i="42"/>
  <c r="BQ342" i="42" s="1"/>
  <c r="O24" i="53"/>
  <c r="AC61" i="1"/>
  <c r="O25" i="53" s="1"/>
  <c r="R60" i="53"/>
  <c r="AT62" i="1"/>
  <c r="AF26" i="53" s="1"/>
  <c r="BK555" i="42"/>
  <c r="BK556" i="42" s="1"/>
  <c r="BK496" i="42"/>
  <c r="W15" i="42"/>
  <c r="AB60" i="53"/>
  <c r="AI62" i="1"/>
  <c r="U26" i="53" s="1"/>
  <c r="AC133" i="42"/>
  <c r="AD25" i="1"/>
  <c r="P38" i="53" s="1"/>
  <c r="AD134" i="42"/>
  <c r="BG78" i="1"/>
  <c r="AS41" i="53"/>
  <c r="BG98" i="1"/>
  <c r="BH14" i="1"/>
  <c r="AE60" i="53"/>
  <c r="AA15" i="1"/>
  <c r="BF313" i="42"/>
  <c r="I60" i="53"/>
  <c r="AN62" i="1"/>
  <c r="Z26" i="53" s="1"/>
  <c r="X62" i="1"/>
  <c r="J26" i="53" s="1"/>
  <c r="AG60" i="53"/>
  <c r="J62" i="1"/>
  <c r="AS25" i="53"/>
  <c r="AT41" i="53"/>
  <c r="BH98" i="1"/>
  <c r="L94" i="1"/>
  <c r="I135" i="42"/>
  <c r="AQ474" i="42"/>
  <c r="BF382" i="42"/>
  <c r="AO60" i="53"/>
  <c r="BD25" i="1"/>
  <c r="BD28" i="1" s="1"/>
  <c r="AD14" i="1"/>
  <c r="P16" i="53" s="1"/>
  <c r="I62" i="1"/>
  <c r="AA343" i="1"/>
  <c r="Y25" i="1"/>
  <c r="Y28" i="1" s="1"/>
  <c r="BJ423" i="42"/>
  <c r="BJ278" i="42"/>
  <c r="BJ285" i="42"/>
  <c r="AM72" i="1"/>
  <c r="O60" i="53"/>
  <c r="AA23" i="1"/>
  <c r="AG10" i="1"/>
  <c r="U20" i="42"/>
  <c r="U134" i="42" s="1"/>
  <c r="Z15" i="42"/>
  <c r="BF411" i="42"/>
  <c r="AT25" i="53"/>
  <c r="AI98" i="1"/>
  <c r="AI78" i="1"/>
  <c r="AI82" i="1"/>
  <c r="AI86" i="1" s="1"/>
  <c r="AI107" i="1" s="1"/>
  <c r="AI109" i="1" s="1"/>
  <c r="AI122" i="1" s="1"/>
  <c r="U41" i="53"/>
  <c r="BR326" i="42"/>
  <c r="BR330" i="42" s="1"/>
  <c r="BT409" i="42"/>
  <c r="BT411" i="42" s="1"/>
  <c r="BT13" i="42"/>
  <c r="BR333" i="42"/>
  <c r="BR337" i="42" s="1"/>
  <c r="AQ9" i="53"/>
  <c r="BV13" i="1"/>
  <c r="BH15" i="53" s="1"/>
  <c r="BJ62" i="1"/>
  <c r="AQ25" i="53"/>
  <c r="AL102" i="1"/>
  <c r="AL341" i="1"/>
  <c r="AL342" i="1"/>
  <c r="K56" i="53"/>
  <c r="Y60" i="53"/>
  <c r="T60" i="53"/>
  <c r="X99" i="1"/>
  <c r="BP16" i="1"/>
  <c r="BB20" i="53" s="1"/>
  <c r="AS98" i="1"/>
  <c r="BR395" i="42"/>
  <c r="BR399" i="42" s="1"/>
  <c r="BE169" i="42"/>
  <c r="BJ169" i="42"/>
  <c r="U31" i="53"/>
  <c r="AN72" i="1"/>
  <c r="AI73" i="1"/>
  <c r="AI72" i="1"/>
  <c r="BJ77" i="1"/>
  <c r="BE98" i="1"/>
  <c r="AQ41" i="53"/>
  <c r="Z56" i="53"/>
  <c r="BM13" i="1"/>
  <c r="BE74" i="1"/>
  <c r="BJ74" i="1"/>
  <c r="G56" i="53"/>
  <c r="AA102" i="1"/>
  <c r="AA342" i="1"/>
  <c r="AA341" i="1"/>
  <c r="AB341" i="1" s="1"/>
  <c r="AB340" i="1"/>
  <c r="AB342" i="1" s="1"/>
  <c r="F56" i="53"/>
  <c r="AD72" i="1"/>
  <c r="AD73" i="1"/>
  <c r="AD74" i="1" s="1"/>
  <c r="AD76" i="1"/>
  <c r="AI77" i="1" s="1"/>
  <c r="U42" i="53" s="1"/>
  <c r="O31" i="53"/>
  <c r="AH72" i="1"/>
  <c r="AC73" i="1"/>
  <c r="AC74" i="1" s="1"/>
  <c r="AC72" i="1"/>
  <c r="BR13" i="42"/>
  <c r="AT56" i="53"/>
  <c r="BR409" i="42"/>
  <c r="BR411" i="42" s="1"/>
  <c r="BJ15" i="42"/>
  <c r="BM252" i="42"/>
  <c r="AQ102" i="1"/>
  <c r="AQ342" i="1"/>
  <c r="AQ341" i="1"/>
  <c r="AG342" i="1"/>
  <c r="AG102" i="1"/>
  <c r="I41" i="53"/>
  <c r="W82" i="1"/>
  <c r="W78" i="1"/>
  <c r="W98" i="1"/>
  <c r="BE15" i="42"/>
  <c r="BH84" i="1"/>
  <c r="AT48" i="53" s="1"/>
  <c r="AT46" i="53"/>
  <c r="BF25" i="53"/>
  <c r="BE25" i="53"/>
  <c r="BR264" i="42"/>
  <c r="BR268" i="42" s="1"/>
  <c r="BR257" i="42"/>
  <c r="BR261" i="42" s="1"/>
  <c r="BQ18" i="42"/>
  <c r="BQ264" i="42"/>
  <c r="BQ268" i="42" s="1"/>
  <c r="BQ257" i="42"/>
  <c r="BQ261" i="42" s="1"/>
  <c r="BQ271" i="42"/>
  <c r="BQ273" i="42" s="1"/>
  <c r="BQ326" i="42"/>
  <c r="BQ330" i="42" s="1"/>
  <c r="BQ402" i="42"/>
  <c r="BQ406" i="42" s="1"/>
  <c r="BQ409" i="42"/>
  <c r="BQ411" i="42" s="1"/>
  <c r="BQ395" i="42"/>
  <c r="BQ399" i="42" s="1"/>
  <c r="J135" i="42"/>
  <c r="AP34" i="53"/>
  <c r="F135" i="42"/>
  <c r="AT37" i="53"/>
  <c r="BG25" i="1"/>
  <c r="AS38" i="53" s="1"/>
  <c r="BM450" i="42"/>
  <c r="BO340" i="42"/>
  <c r="BO342" i="42" s="1"/>
  <c r="BM10" i="1"/>
  <c r="H62" i="1"/>
  <c r="AR50" i="53"/>
  <c r="BF93" i="1"/>
  <c r="BF108" i="1" s="1"/>
  <c r="AT84" i="1"/>
  <c r="AF48" i="53" s="1"/>
  <c r="AF46" i="53"/>
  <c r="AN78" i="1"/>
  <c r="AN98" i="1"/>
  <c r="AN77" i="1"/>
  <c r="Z42" i="53" s="1"/>
  <c r="P74" i="1"/>
  <c r="O74" i="1"/>
  <c r="AS77" i="1"/>
  <c r="AE42" i="53" s="1"/>
  <c r="AW99" i="1"/>
  <c r="AN62" i="53"/>
  <c r="P62" i="1"/>
  <c r="AJ41" i="53"/>
  <c r="AX98" i="1"/>
  <c r="AY224" i="1" s="1"/>
  <c r="AY240" i="1" s="1"/>
  <c r="AX82" i="1"/>
  <c r="AX78" i="1"/>
  <c r="AO25" i="53"/>
  <c r="BH62" i="1"/>
  <c r="BE77" i="1"/>
  <c r="AL41" i="53"/>
  <c r="AZ77" i="1"/>
  <c r="AL42" i="53" s="1"/>
  <c r="AZ82" i="1"/>
  <c r="AZ98" i="1"/>
  <c r="AZ78" i="1"/>
  <c r="AX62" i="1"/>
  <c r="AJ26" i="53" s="1"/>
  <c r="AJ25" i="53"/>
  <c r="M62" i="1"/>
  <c r="L62" i="1"/>
  <c r="P62" i="53"/>
  <c r="BP101" i="1"/>
  <c r="BM100" i="1"/>
  <c r="BL100" i="1"/>
  <c r="BO100" i="1"/>
  <c r="BN100" i="1"/>
  <c r="BI62" i="1"/>
  <c r="AP25" i="53"/>
  <c r="F62" i="1"/>
  <c r="I25" i="53"/>
  <c r="W62" i="1"/>
  <c r="I26" i="53" s="1"/>
  <c r="AO82" i="1"/>
  <c r="AO98" i="1"/>
  <c r="AF66" i="1"/>
  <c r="AM49" i="53"/>
  <c r="AA41" i="53"/>
  <c r="V23" i="53"/>
  <c r="AH25" i="53"/>
  <c r="BA62" i="1"/>
  <c r="AM26" i="53" s="1"/>
  <c r="BD84" i="1"/>
  <c r="AP48" i="53" s="1"/>
  <c r="BD86" i="1"/>
  <c r="BD107" i="1" s="1"/>
  <c r="BD109" i="1" s="1"/>
  <c r="BD122" i="1" s="1"/>
  <c r="W62" i="53"/>
  <c r="AC66" i="1"/>
  <c r="AL62" i="53"/>
  <c r="Y62" i="53"/>
  <c r="BF89" i="1"/>
  <c r="BF351" i="1"/>
  <c r="J62" i="53"/>
  <c r="AO78" i="1"/>
  <c r="AK66" i="1"/>
  <c r="AC25" i="53"/>
  <c r="AQ62" i="1"/>
  <c r="AC26" i="53" s="1"/>
  <c r="AE62" i="53"/>
  <c r="E62" i="53"/>
  <c r="AZ62" i="1"/>
  <c r="AL26" i="53" s="1"/>
  <c r="AO66" i="1"/>
  <c r="AQ52" i="42"/>
  <c r="AQ54" i="42" s="1"/>
  <c r="AV52" i="42"/>
  <c r="AV54" i="42" s="1"/>
  <c r="BL10" i="42"/>
  <c r="BL252" i="42"/>
  <c r="AW14" i="53"/>
  <c r="AR14" i="53"/>
  <c r="R134" i="42"/>
  <c r="AV9" i="53"/>
  <c r="AQ23" i="1"/>
  <c r="AC36" i="53" s="1"/>
  <c r="AQ20" i="1"/>
  <c r="AQ12" i="1"/>
  <c r="AC13" i="53" s="1"/>
  <c r="AL22" i="1"/>
  <c r="X35" i="53" s="1"/>
  <c r="AL10" i="1"/>
  <c r="X9" i="53" s="1"/>
  <c r="D9" i="53"/>
  <c r="R14" i="1"/>
  <c r="BF254" i="42"/>
  <c r="BF204" i="42"/>
  <c r="BU458" i="42"/>
  <c r="BU459" i="42" s="1"/>
  <c r="BG169" i="42"/>
  <c r="BF268" i="42"/>
  <c r="Y13" i="53"/>
  <c r="AM14" i="1"/>
  <c r="T35" i="53"/>
  <c r="AH25" i="1"/>
  <c r="T9" i="53"/>
  <c r="AH14" i="1"/>
  <c r="AE25" i="1"/>
  <c r="BA16" i="1"/>
  <c r="AM20" i="53" s="1"/>
  <c r="BA15" i="1"/>
  <c r="AM18" i="53" s="1"/>
  <c r="BA12" i="1"/>
  <c r="AV26" i="1"/>
  <c r="AH39" i="53" s="1"/>
  <c r="AV11" i="1"/>
  <c r="AH11" i="53" s="1"/>
  <c r="AF7" i="53"/>
  <c r="AT14" i="1"/>
  <c r="AO176" i="42"/>
  <c r="AO169" i="42"/>
  <c r="AQ168" i="42"/>
  <c r="AQ16" i="1"/>
  <c r="AC20" i="53" s="1"/>
  <c r="AQ15" i="1"/>
  <c r="AC18" i="53" s="1"/>
  <c r="AQ13" i="1"/>
  <c r="AC15" i="53" s="1"/>
  <c r="AQ11" i="1"/>
  <c r="AC11" i="53" s="1"/>
  <c r="AL23" i="1"/>
  <c r="X36" i="53" s="1"/>
  <c r="AL20" i="1"/>
  <c r="AL15" i="1"/>
  <c r="X18" i="53" s="1"/>
  <c r="AL13" i="1"/>
  <c r="X15" i="53" s="1"/>
  <c r="AL9" i="1"/>
  <c r="AV556" i="42"/>
  <c r="AQ556" i="42"/>
  <c r="AG244" i="42"/>
  <c r="AL244" i="42"/>
  <c r="R170" i="42"/>
  <c r="V168" i="42"/>
  <c r="W169" i="42"/>
  <c r="V10" i="1"/>
  <c r="AR19" i="53"/>
  <c r="BA13" i="1"/>
  <c r="AM15" i="53" s="1"/>
  <c r="AY15" i="42"/>
  <c r="AY17" i="42" s="1"/>
  <c r="BA14" i="42"/>
  <c r="AY170" i="42"/>
  <c r="V7" i="53"/>
  <c r="AJ14" i="1"/>
  <c r="BI169" i="42"/>
  <c r="BD175" i="42"/>
  <c r="BD170" i="42"/>
  <c r="BD169" i="42"/>
  <c r="AP13" i="53"/>
  <c r="BN13" i="1"/>
  <c r="BP13" i="42"/>
  <c r="Y33" i="53"/>
  <c r="AM25" i="1"/>
  <c r="BE170" i="42"/>
  <c r="BE175" i="42"/>
  <c r="BJ176" i="42" s="1"/>
  <c r="AL26" i="1"/>
  <c r="X39" i="53" s="1"/>
  <c r="BB170" i="42"/>
  <c r="BF168" i="42"/>
  <c r="BB175" i="42"/>
  <c r="BB169" i="42"/>
  <c r="BA10" i="1"/>
  <c r="BA9" i="1"/>
  <c r="AV22" i="1"/>
  <c r="AH35" i="53" s="1"/>
  <c r="AV21" i="1"/>
  <c r="AH34" i="53" s="1"/>
  <c r="AF33" i="53"/>
  <c r="AT25" i="1"/>
  <c r="AV13" i="1"/>
  <c r="AH15" i="53" s="1"/>
  <c r="AV12" i="1"/>
  <c r="AH13" i="53" s="1"/>
  <c r="AV9" i="1"/>
  <c r="AQ27" i="1"/>
  <c r="AC40" i="53" s="1"/>
  <c r="AQ26" i="1"/>
  <c r="AC39" i="53" s="1"/>
  <c r="AQ24" i="1"/>
  <c r="AC37" i="53" s="1"/>
  <c r="AQ21" i="1"/>
  <c r="AC34" i="53" s="1"/>
  <c r="AA7" i="53"/>
  <c r="AL16" i="1"/>
  <c r="X20" i="53" s="1"/>
  <c r="AL14" i="42"/>
  <c r="AJ15" i="42"/>
  <c r="AR8" i="53"/>
  <c r="V27" i="1"/>
  <c r="H40" i="53" s="1"/>
  <c r="D35" i="53"/>
  <c r="R25" i="1"/>
  <c r="BO271" i="42"/>
  <c r="BO273" i="42" s="1"/>
  <c r="BE28" i="1"/>
  <c r="AQ38" i="53"/>
  <c r="BI15" i="42"/>
  <c r="BD20" i="42"/>
  <c r="BD15" i="42"/>
  <c r="BD17" i="42" s="1"/>
  <c r="BF14" i="42"/>
  <c r="AV27" i="1"/>
  <c r="AH40" i="53" s="1"/>
  <c r="AY169" i="42"/>
  <c r="AV168" i="42"/>
  <c r="AT169" i="42"/>
  <c r="AT170" i="42"/>
  <c r="AV16" i="1"/>
  <c r="AH20" i="53" s="1"/>
  <c r="AV10" i="1"/>
  <c r="AH9" i="53" s="1"/>
  <c r="AQ22" i="1"/>
  <c r="AC35" i="53" s="1"/>
  <c r="V33" i="53"/>
  <c r="AJ25" i="1"/>
  <c r="AV451" i="42"/>
  <c r="AQ451" i="42"/>
  <c r="AG382" i="42"/>
  <c r="AL382" i="42"/>
  <c r="BK182" i="42"/>
  <c r="BD10" i="53"/>
  <c r="BF273" i="42"/>
  <c r="BG175" i="42"/>
  <c r="AR12" i="53"/>
  <c r="Q20" i="53"/>
  <c r="AQ37" i="53"/>
  <c r="AF28" i="1"/>
  <c r="R38" i="53"/>
  <c r="AL11" i="1"/>
  <c r="X11" i="53" s="1"/>
  <c r="BA11" i="1"/>
  <c r="AK7" i="53"/>
  <c r="AY14" i="1"/>
  <c r="AT175" i="42"/>
  <c r="AV24" i="1"/>
  <c r="AH37" i="53" s="1"/>
  <c r="AV23" i="1"/>
  <c r="AH36" i="53" s="1"/>
  <c r="AV20" i="1"/>
  <c r="AV15" i="1"/>
  <c r="AH18" i="53" s="1"/>
  <c r="AV14" i="42"/>
  <c r="AA33" i="53"/>
  <c r="AO25" i="1"/>
  <c r="AQ9" i="1"/>
  <c r="AL27" i="1"/>
  <c r="X40" i="53" s="1"/>
  <c r="AL24" i="1"/>
  <c r="X37" i="53" s="1"/>
  <c r="AL21" i="1"/>
  <c r="X34" i="53" s="1"/>
  <c r="AL168" i="42"/>
  <c r="AJ169" i="42"/>
  <c r="AJ170" i="42"/>
  <c r="AL12" i="1"/>
  <c r="X13" i="53" s="1"/>
  <c r="AL474" i="42"/>
  <c r="R175" i="42"/>
  <c r="V22" i="1"/>
  <c r="V15" i="1"/>
  <c r="H18" i="53" s="1"/>
  <c r="V14" i="42"/>
  <c r="BR402" i="42"/>
  <c r="BR406" i="42" s="1"/>
  <c r="BK554" i="42"/>
  <c r="BK173" i="42"/>
  <c r="BK15" i="1"/>
  <c r="AW18" i="53" s="1"/>
  <c r="BM321" i="42"/>
  <c r="BM11" i="42"/>
  <c r="AV17" i="53"/>
  <c r="AV22" i="53"/>
  <c r="BL321" i="42"/>
  <c r="BL11" i="42"/>
  <c r="BA14" i="53"/>
  <c r="BO402" i="42"/>
  <c r="BO406" i="42" s="1"/>
  <c r="BP325" i="42"/>
  <c r="BN326" i="42"/>
  <c r="BN330" i="42" s="1"/>
  <c r="BO257" i="42"/>
  <c r="BO261" i="42" s="1"/>
  <c r="R23" i="53"/>
  <c r="AB41" i="53"/>
  <c r="AP78" i="1"/>
  <c r="AP82" i="1"/>
  <c r="AP98" i="1"/>
  <c r="AU77" i="1"/>
  <c r="AG42" i="53" s="1"/>
  <c r="AP77" i="1"/>
  <c r="AB42" i="53" s="1"/>
  <c r="BG84" i="1"/>
  <c r="AS48" i="53" s="1"/>
  <c r="BG86" i="1"/>
  <c r="AS46" i="53"/>
  <c r="BK355" i="1"/>
  <c r="BK358" i="1"/>
  <c r="W23" i="53"/>
  <c r="R24" i="53"/>
  <c r="AF133" i="42"/>
  <c r="AF61" i="1"/>
  <c r="AF76" i="1"/>
  <c r="AA23" i="53"/>
  <c r="Q23" i="53"/>
  <c r="L135" i="42"/>
  <c r="K135" i="42"/>
  <c r="AG99" i="1"/>
  <c r="AG243" i="1" s="1"/>
  <c r="AA99" i="1"/>
  <c r="AA243" i="1" s="1"/>
  <c r="BG77" i="1"/>
  <c r="AN41" i="53"/>
  <c r="BB98" i="1"/>
  <c r="BB77" i="1"/>
  <c r="AN42" i="53" s="1"/>
  <c r="BB78" i="1"/>
  <c r="BB82" i="1"/>
  <c r="BF76" i="1"/>
  <c r="E92" i="1"/>
  <c r="S25" i="53"/>
  <c r="AL62" i="1"/>
  <c r="X26" i="53" s="1"/>
  <c r="AG62" i="1"/>
  <c r="S26" i="53" s="1"/>
  <c r="H25" i="53"/>
  <c r="V62" i="1"/>
  <c r="H26" i="53" s="1"/>
  <c r="AA62" i="1"/>
  <c r="M26" i="53" s="1"/>
  <c r="AT92" i="1"/>
  <c r="AF49" i="53"/>
  <c r="AY62" i="1"/>
  <c r="AK26" i="53" s="1"/>
  <c r="AK25" i="53"/>
  <c r="BD62" i="1"/>
  <c r="AP26" i="53" s="1"/>
  <c r="BC77" i="1"/>
  <c r="AO42" i="53" s="1"/>
  <c r="BC82" i="1"/>
  <c r="AO41" i="53"/>
  <c r="BC98" i="1"/>
  <c r="BC78" i="1"/>
  <c r="AE46" i="53"/>
  <c r="AS84" i="1"/>
  <c r="AE48" i="53" s="1"/>
  <c r="AS86" i="1"/>
  <c r="AS107" i="1" s="1"/>
  <c r="AS109" i="1" s="1"/>
  <c r="AS122" i="1" s="1"/>
  <c r="AK74" i="1"/>
  <c r="AF74" i="1"/>
  <c r="AE66" i="1"/>
  <c r="AJ66" i="1"/>
  <c r="G135" i="42"/>
  <c r="H135" i="42"/>
  <c r="N135" i="42"/>
  <c r="AY99" i="1"/>
  <c r="Q24" i="53"/>
  <c r="AE61" i="1"/>
  <c r="AE133" i="42"/>
  <c r="AE76" i="1"/>
  <c r="AK70" i="1"/>
  <c r="Y62" i="1"/>
  <c r="K26" i="53" s="1"/>
  <c r="K25" i="53"/>
  <c r="Z46" i="53"/>
  <c r="AN86" i="1"/>
  <c r="AN107" i="1" s="1"/>
  <c r="AN109" i="1" s="1"/>
  <c r="AN122" i="1" s="1"/>
  <c r="AN84" i="1"/>
  <c r="Z48" i="53" s="1"/>
  <c r="V24" i="53"/>
  <c r="AJ133" i="42"/>
  <c r="AJ76" i="1"/>
  <c r="AJ61" i="1"/>
  <c r="BH77" i="1"/>
  <c r="BN26" i="1"/>
  <c r="BN15" i="1"/>
  <c r="BP339" i="42"/>
  <c r="BK10" i="42"/>
  <c r="BO395" i="42"/>
  <c r="BO399" i="42" s="1"/>
  <c r="BG20" i="42"/>
  <c r="BG15" i="42"/>
  <c r="AW8" i="53"/>
  <c r="BE17" i="1"/>
  <c r="AQ16" i="53"/>
  <c r="BA474" i="42"/>
  <c r="AV474" i="42"/>
  <c r="AN37" i="53"/>
  <c r="BB25" i="1"/>
  <c r="BK389" i="42"/>
  <c r="BO326" i="42"/>
  <c r="BO330" i="42" s="1"/>
  <c r="BP483" i="42"/>
  <c r="BO484" i="42"/>
  <c r="BO18" i="42"/>
  <c r="AA474" i="42"/>
  <c r="AG474" i="42"/>
  <c r="AU7" i="53"/>
  <c r="BP341" i="42"/>
  <c r="BL390" i="42"/>
  <c r="BL12" i="42"/>
  <c r="BQ333" i="42"/>
  <c r="BQ337" i="42" s="1"/>
  <c r="BB19" i="53"/>
  <c r="AU22" i="53"/>
  <c r="AW12" i="53"/>
  <c r="BK320" i="42"/>
  <c r="AU17" i="53"/>
  <c r="BK310" i="42"/>
  <c r="BK288" i="42" s="1"/>
  <c r="BK241" i="42"/>
  <c r="BD14" i="53"/>
  <c r="BC14" i="53"/>
  <c r="BN402" i="42"/>
  <c r="BN406" i="42" s="1"/>
  <c r="BP401" i="42"/>
  <c r="BN395" i="42"/>
  <c r="BN399" i="42" s="1"/>
  <c r="BP394" i="42"/>
  <c r="BK402" i="42"/>
  <c r="BK406" i="42" s="1"/>
  <c r="BP403" i="42"/>
  <c r="BN409" i="42"/>
  <c r="BN411" i="42" s="1"/>
  <c r="BP408" i="42"/>
  <c r="BK395" i="42"/>
  <c r="BK399" i="42" s="1"/>
  <c r="BP396" i="42"/>
  <c r="BP410" i="42"/>
  <c r="BK409" i="42"/>
  <c r="BK411" i="42" s="1"/>
  <c r="AZ14" i="53"/>
  <c r="BR340" i="42"/>
  <c r="BR342" i="42" s="1"/>
  <c r="BD12" i="53"/>
  <c r="BC12" i="53"/>
  <c r="BA12" i="53"/>
  <c r="BO333" i="42"/>
  <c r="BO337" i="42" s="1"/>
  <c r="BP332" i="42"/>
  <c r="BN333" i="42"/>
  <c r="BN337" i="42" s="1"/>
  <c r="BP327" i="42"/>
  <c r="BK326" i="42"/>
  <c r="BK330" i="42" s="1"/>
  <c r="AZ12" i="53"/>
  <c r="BK333" i="42"/>
  <c r="BK337" i="42" s="1"/>
  <c r="BP334" i="42"/>
  <c r="BC10" i="53"/>
  <c r="BO264" i="42"/>
  <c r="BO268" i="42" s="1"/>
  <c r="BA10" i="53"/>
  <c r="BN271" i="42"/>
  <c r="BN273" i="42" s="1"/>
  <c r="BP270" i="42"/>
  <c r="BN257" i="42"/>
  <c r="BN261" i="42" s="1"/>
  <c r="BP256" i="42"/>
  <c r="BK271" i="42"/>
  <c r="BK273" i="42" s="1"/>
  <c r="BP272" i="42"/>
  <c r="BK257" i="42"/>
  <c r="BK261" i="42" s="1"/>
  <c r="BP258" i="42"/>
  <c r="AV7" i="53"/>
  <c r="BK9" i="1"/>
  <c r="BP189" i="42"/>
  <c r="BK188" i="42"/>
  <c r="BK192" i="42" s="1"/>
  <c r="BK202" i="42"/>
  <c r="BK204" i="42" s="1"/>
  <c r="BP203" i="42"/>
  <c r="BA8" i="53"/>
  <c r="BP196" i="42"/>
  <c r="BK195" i="42"/>
  <c r="BK199" i="42" s="1"/>
  <c r="AZ8" i="53"/>
  <c r="BK40" i="42"/>
  <c r="BK33" i="42"/>
  <c r="BK26" i="42"/>
  <c r="O336" i="1" l="1"/>
  <c r="BA107" i="1"/>
  <c r="BA109" i="1" s="1"/>
  <c r="BA122" i="1" s="1"/>
  <c r="BA317" i="1" s="1"/>
  <c r="Q79" i="1"/>
  <c r="M84" i="1"/>
  <c r="M300" i="1" s="1"/>
  <c r="M319" i="1" s="1"/>
  <c r="Y86" i="1"/>
  <c r="Y107" i="1" s="1"/>
  <c r="Y109" i="1" s="1"/>
  <c r="Y122" i="1" s="1"/>
  <c r="DF18" i="42"/>
  <c r="DF15" i="1" s="1"/>
  <c r="CR18" i="53" s="1"/>
  <c r="DF484" i="42"/>
  <c r="BP184" i="42"/>
  <c r="BB8" i="53" s="1"/>
  <c r="AG84" i="1"/>
  <c r="AG301" i="1" s="1"/>
  <c r="AG320" i="1" s="1"/>
  <c r="O317" i="1"/>
  <c r="O138" i="1"/>
  <c r="O142" i="1"/>
  <c r="BA92" i="1"/>
  <c r="BA94" i="1" s="1"/>
  <c r="AM53" i="53" s="1"/>
  <c r="V79" i="1"/>
  <c r="BA138" i="1"/>
  <c r="O92" i="1"/>
  <c r="O299" i="1"/>
  <c r="O303" i="1" s="1"/>
  <c r="BC224" i="1"/>
  <c r="BC240" i="1" s="1"/>
  <c r="AO61" i="53" s="1"/>
  <c r="BA336" i="1"/>
  <c r="N86" i="1"/>
  <c r="N299" i="1" s="1"/>
  <c r="P322" i="1"/>
  <c r="P324" i="1" s="1"/>
  <c r="P303" i="1"/>
  <c r="P312" i="1" s="1"/>
  <c r="R107" i="1"/>
  <c r="R109" i="1" s="1"/>
  <c r="R122" i="1" s="1"/>
  <c r="BH224" i="1"/>
  <c r="BH240" i="1" s="1"/>
  <c r="AT61" i="53" s="1"/>
  <c r="BD224" i="1"/>
  <c r="BD240" i="1" s="1"/>
  <c r="AP61" i="53" s="1"/>
  <c r="S84" i="1"/>
  <c r="E48" i="53" s="1"/>
  <c r="BA300" i="1"/>
  <c r="BA319" i="1" s="1"/>
  <c r="BA322" i="1" s="1"/>
  <c r="BA324" i="1" s="1"/>
  <c r="R145" i="1"/>
  <c r="BB224" i="1"/>
  <c r="BB240" i="1" s="1"/>
  <c r="AN61" i="53" s="1"/>
  <c r="AM48" i="53"/>
  <c r="R92" i="1"/>
  <c r="R103" i="1" s="1"/>
  <c r="W224" i="1"/>
  <c r="W240" i="1" s="1"/>
  <c r="F86" i="1"/>
  <c r="F107" i="1" s="1"/>
  <c r="F109" i="1" s="1"/>
  <c r="F122" i="1" s="1"/>
  <c r="AA86" i="1"/>
  <c r="AA299" i="1" s="1"/>
  <c r="H43" i="53"/>
  <c r="H44" i="53" s="1"/>
  <c r="BA79" i="1"/>
  <c r="AX224" i="1"/>
  <c r="AX240" i="1" s="1"/>
  <c r="AJ61" i="53" s="1"/>
  <c r="AS79" i="1"/>
  <c r="AG86" i="1"/>
  <c r="AG299" i="1" s="1"/>
  <c r="F79" i="1"/>
  <c r="BG224" i="1"/>
  <c r="BG240" i="1" s="1"/>
  <c r="AS61" i="53" s="1"/>
  <c r="O99" i="1"/>
  <c r="O224" i="1"/>
  <c r="O240" i="1" s="1"/>
  <c r="X224" i="1"/>
  <c r="X240" i="1" s="1"/>
  <c r="J61" i="53" s="1"/>
  <c r="AU79" i="1"/>
  <c r="AT79" i="1"/>
  <c r="H107" i="1"/>
  <c r="H109" i="1" s="1"/>
  <c r="H122" i="1" s="1"/>
  <c r="H317" i="1" s="1"/>
  <c r="H322" i="1" s="1"/>
  <c r="H324" i="1" s="1"/>
  <c r="H299" i="1"/>
  <c r="H303" i="1" s="1"/>
  <c r="H336" i="1"/>
  <c r="AV107" i="1"/>
  <c r="AV109" i="1" s="1"/>
  <c r="AV122" i="1" s="1"/>
  <c r="AV317" i="1" s="1"/>
  <c r="AV299" i="1"/>
  <c r="AV336" i="1"/>
  <c r="I299" i="1"/>
  <c r="I303" i="1" s="1"/>
  <c r="I336" i="1"/>
  <c r="AW224" i="1"/>
  <c r="AW240" i="1" s="1"/>
  <c r="AI61" i="53" s="1"/>
  <c r="M301" i="1"/>
  <c r="M320" i="1" s="1"/>
  <c r="Y99" i="1"/>
  <c r="Y224" i="1"/>
  <c r="Y240" i="1" s="1"/>
  <c r="K61" i="53" s="1"/>
  <c r="Z224" i="1"/>
  <c r="Z240" i="1" s="1"/>
  <c r="L61" i="53" s="1"/>
  <c r="F336" i="1"/>
  <c r="BP307" i="1"/>
  <c r="BP309" i="1" s="1"/>
  <c r="BP314" i="1"/>
  <c r="M99" i="1"/>
  <c r="U99" i="1"/>
  <c r="V224" i="1"/>
  <c r="V240" i="1" s="1"/>
  <c r="H61" i="53" s="1"/>
  <c r="U224" i="1"/>
  <c r="U240" i="1" s="1"/>
  <c r="G61" i="53" s="1"/>
  <c r="BA142" i="1"/>
  <c r="O322" i="1"/>
  <c r="O324" i="1" s="1"/>
  <c r="L99" i="1"/>
  <c r="L224" i="1"/>
  <c r="L240" i="1" s="1"/>
  <c r="AG300" i="1"/>
  <c r="AG319" i="1" s="1"/>
  <c r="E299" i="1"/>
  <c r="E303" i="1" s="1"/>
  <c r="E336" i="1"/>
  <c r="BE224" i="1"/>
  <c r="BE240" i="1" s="1"/>
  <c r="AQ61" i="53" s="1"/>
  <c r="BF224" i="1"/>
  <c r="BF240" i="1" s="1"/>
  <c r="AR61" i="53" s="1"/>
  <c r="J107" i="1"/>
  <c r="J109" i="1" s="1"/>
  <c r="J122" i="1" s="1"/>
  <c r="J317" i="1" s="1"/>
  <c r="J299" i="1"/>
  <c r="J336" i="1"/>
  <c r="AA224" i="1"/>
  <c r="AA240" i="1" s="1"/>
  <c r="M61" i="53" s="1"/>
  <c r="N300" i="1"/>
  <c r="N319" i="1" s="1"/>
  <c r="N301" i="1"/>
  <c r="N320" i="1" s="1"/>
  <c r="AZ224" i="1"/>
  <c r="AZ240" i="1" s="1"/>
  <c r="AL61" i="53" s="1"/>
  <c r="BA224" i="1"/>
  <c r="BA240" i="1" s="1"/>
  <c r="AM61" i="53" s="1"/>
  <c r="M107" i="1"/>
  <c r="M109" i="1" s="1"/>
  <c r="M122" i="1" s="1"/>
  <c r="M317" i="1" s="1"/>
  <c r="M299" i="1"/>
  <c r="M336" i="1"/>
  <c r="S86" i="1"/>
  <c r="S107" i="1" s="1"/>
  <c r="S109" i="1" s="1"/>
  <c r="S122" i="1" s="1"/>
  <c r="S138" i="1" s="1"/>
  <c r="AT99" i="1"/>
  <c r="AY79" i="1"/>
  <c r="L301" i="1"/>
  <c r="L320" i="1" s="1"/>
  <c r="L300" i="1"/>
  <c r="L319" i="1" s="1"/>
  <c r="Q301" i="1"/>
  <c r="Q320" i="1" s="1"/>
  <c r="Q300" i="1"/>
  <c r="Q319" i="1" s="1"/>
  <c r="BD138" i="1"/>
  <c r="BD142" i="1"/>
  <c r="AI138" i="1"/>
  <c r="AI142" i="1"/>
  <c r="BG145" i="1"/>
  <c r="BG107" i="1"/>
  <c r="BG109" i="1" s="1"/>
  <c r="Z138" i="1"/>
  <c r="Z142" i="1"/>
  <c r="E107" i="1"/>
  <c r="E109" i="1" s="1"/>
  <c r="E122" i="1" s="1"/>
  <c r="E317" i="1" s="1"/>
  <c r="E322" i="1" s="1"/>
  <c r="E324" i="1" s="1"/>
  <c r="R148" i="1"/>
  <c r="R161" i="1" s="1"/>
  <c r="L138" i="1"/>
  <c r="L142" i="1"/>
  <c r="AS138" i="1"/>
  <c r="AS142" i="1"/>
  <c r="AY138" i="1"/>
  <c r="AY142" i="1"/>
  <c r="R142" i="1"/>
  <c r="R138" i="1"/>
  <c r="AN138" i="1"/>
  <c r="AN142" i="1"/>
  <c r="M142" i="1"/>
  <c r="BH142" i="1"/>
  <c r="BH138" i="1"/>
  <c r="AA107" i="1"/>
  <c r="AA109" i="1" s="1"/>
  <c r="AA122" i="1" s="1"/>
  <c r="AA317" i="1" s="1"/>
  <c r="P138" i="1"/>
  <c r="P142" i="1"/>
  <c r="BE138" i="1"/>
  <c r="BE142" i="1"/>
  <c r="I107" i="1"/>
  <c r="I109" i="1" s="1"/>
  <c r="I122" i="1" s="1"/>
  <c r="I317" i="1" s="1"/>
  <c r="I322" i="1" s="1"/>
  <c r="I324" i="1" s="1"/>
  <c r="AQ313" i="42"/>
  <c r="DA18" i="42"/>
  <c r="DA15" i="1" s="1"/>
  <c r="CM18" i="53" s="1"/>
  <c r="DA484" i="42"/>
  <c r="AA84" i="1"/>
  <c r="AK46" i="53"/>
  <c r="AG79" i="1"/>
  <c r="AW84" i="1"/>
  <c r="AI48" i="53" s="1"/>
  <c r="AW86" i="1"/>
  <c r="Q99" i="1"/>
  <c r="Q86" i="1"/>
  <c r="L46" i="53"/>
  <c r="CK13" i="1"/>
  <c r="AV79" i="1"/>
  <c r="U86" i="1"/>
  <c r="U107" i="1" s="1"/>
  <c r="U109" i="1" s="1"/>
  <c r="U122" i="1" s="1"/>
  <c r="AM43" i="53"/>
  <c r="AM44" i="53" s="1"/>
  <c r="P79" i="1"/>
  <c r="AO74" i="1"/>
  <c r="U84" i="1"/>
  <c r="G48" i="53" s="1"/>
  <c r="L79" i="1"/>
  <c r="AD21" i="42"/>
  <c r="P96" i="1"/>
  <c r="AK43" i="53"/>
  <c r="AK44" i="53" s="1"/>
  <c r="J84" i="1"/>
  <c r="J300" i="1" s="1"/>
  <c r="J319" i="1" s="1"/>
  <c r="F46" i="53"/>
  <c r="CP13" i="1"/>
  <c r="CZ458" i="42"/>
  <c r="AA12" i="1"/>
  <c r="AA14" i="1" s="1"/>
  <c r="CV18" i="42"/>
  <c r="CV484" i="42"/>
  <c r="Z171" i="42"/>
  <c r="AI84" i="1"/>
  <c r="U48" i="53" s="1"/>
  <c r="U46" i="53"/>
  <c r="P99" i="1"/>
  <c r="AD135" i="42"/>
  <c r="N99" i="1"/>
  <c r="AQ10" i="1"/>
  <c r="AC9" i="53" s="1"/>
  <c r="BK10" i="1"/>
  <c r="AW9" i="53" s="1"/>
  <c r="BM15" i="53"/>
  <c r="AA451" i="42"/>
  <c r="W134" i="42"/>
  <c r="W135" i="42" s="1"/>
  <c r="AP134" i="42"/>
  <c r="AP135" i="42" s="1"/>
  <c r="BE21" i="42"/>
  <c r="BE23" i="42" s="1"/>
  <c r="BA49" i="42"/>
  <c r="AP21" i="42"/>
  <c r="AP23" i="42" s="1"/>
  <c r="AR21" i="42"/>
  <c r="AR23" i="42" s="1"/>
  <c r="AV49" i="42"/>
  <c r="AL49" i="42"/>
  <c r="BE134" i="42"/>
  <c r="AN20" i="42"/>
  <c r="AO49" i="42"/>
  <c r="Z176" i="42"/>
  <c r="AR177" i="42"/>
  <c r="AR171" i="42"/>
  <c r="AC171" i="42"/>
  <c r="AP176" i="42"/>
  <c r="X135" i="42"/>
  <c r="AF134" i="42"/>
  <c r="AK135" i="42" s="1"/>
  <c r="AC21" i="42"/>
  <c r="W21" i="42"/>
  <c r="BQ26" i="1"/>
  <c r="BC39" i="53" s="1"/>
  <c r="AQ175" i="42"/>
  <c r="AP177" i="42"/>
  <c r="BC176" i="42"/>
  <c r="AW176" i="42"/>
  <c r="BM451" i="42"/>
  <c r="BM556" i="42"/>
  <c r="AR176" i="42"/>
  <c r="AK21" i="42"/>
  <c r="AE134" i="42"/>
  <c r="AE135" i="42" s="1"/>
  <c r="AO15" i="42"/>
  <c r="AH171" i="42"/>
  <c r="AB9" i="1"/>
  <c r="N7" i="53" s="1"/>
  <c r="AX177" i="42"/>
  <c r="AO20" i="42"/>
  <c r="AO177" i="42" s="1"/>
  <c r="AT15" i="42"/>
  <c r="AT17" i="42" s="1"/>
  <c r="W171" i="42"/>
  <c r="AZ176" i="42"/>
  <c r="BA99" i="1"/>
  <c r="BA243" i="1" s="1"/>
  <c r="AS15" i="42"/>
  <c r="AS17" i="42" s="1"/>
  <c r="T177" i="42"/>
  <c r="AN15" i="42"/>
  <c r="AU171" i="42"/>
  <c r="AZ171" i="42"/>
  <c r="AQ14" i="42"/>
  <c r="Z134" i="42"/>
  <c r="Z135" i="42" s="1"/>
  <c r="T134" i="42"/>
  <c r="Y135" i="42" s="1"/>
  <c r="AN49" i="42"/>
  <c r="AP171" i="42"/>
  <c r="AL20" i="42"/>
  <c r="AN170" i="42"/>
  <c r="AN171" i="42" s="1"/>
  <c r="AO170" i="42"/>
  <c r="AO171" i="42" s="1"/>
  <c r="BB134" i="42"/>
  <c r="AS177" i="42"/>
  <c r="AE176" i="42"/>
  <c r="AY177" i="42"/>
  <c r="BA175" i="42"/>
  <c r="X21" i="42"/>
  <c r="AU134" i="42"/>
  <c r="X171" i="42"/>
  <c r="AH176" i="42"/>
  <c r="AU21" i="42"/>
  <c r="AU23" i="42" s="1"/>
  <c r="Y176" i="42"/>
  <c r="BM23" i="1"/>
  <c r="AY36" i="53" s="1"/>
  <c r="AK171" i="42"/>
  <c r="AY21" i="42"/>
  <c r="AY23" i="42" s="1"/>
  <c r="AJ177" i="42"/>
  <c r="AF21" i="42"/>
  <c r="Y14" i="1"/>
  <c r="Y17" i="1" s="1"/>
  <c r="Z177" i="42"/>
  <c r="AU28" i="1"/>
  <c r="AJ134" i="42"/>
  <c r="AL175" i="42"/>
  <c r="AT134" i="42"/>
  <c r="AY135" i="42" s="1"/>
  <c r="AX176" i="42"/>
  <c r="AC134" i="42"/>
  <c r="AD171" i="42"/>
  <c r="BJ57" i="42"/>
  <c r="AG20" i="42"/>
  <c r="D86" i="1"/>
  <c r="AQ86" i="1"/>
  <c r="AB38" i="53"/>
  <c r="T86" i="1"/>
  <c r="T107" i="1" s="1"/>
  <c r="T109" i="1" s="1"/>
  <c r="T122" i="1" s="1"/>
  <c r="J79" i="1"/>
  <c r="AY84" i="1"/>
  <c r="AK48" i="53" s="1"/>
  <c r="Q134" i="42"/>
  <c r="Q135" i="42" s="1"/>
  <c r="AQ84" i="1"/>
  <c r="AU86" i="1"/>
  <c r="AU107" i="1" s="1"/>
  <c r="AU109" i="1" s="1"/>
  <c r="AU122" i="1" s="1"/>
  <c r="V84" i="1"/>
  <c r="X44" i="53"/>
  <c r="AL16" i="53"/>
  <c r="AG46" i="53"/>
  <c r="V86" i="1"/>
  <c r="L44" i="53"/>
  <c r="AH46" i="53"/>
  <c r="M49" i="53"/>
  <c r="Z79" i="1"/>
  <c r="Y79" i="1"/>
  <c r="AA92" i="1"/>
  <c r="AA94" i="1" s="1"/>
  <c r="M53" i="53" s="1"/>
  <c r="AQ79" i="1"/>
  <c r="AL38" i="53"/>
  <c r="AL79" i="1"/>
  <c r="AV84" i="1"/>
  <c r="K44" i="53"/>
  <c r="X79" i="1"/>
  <c r="AO14" i="1"/>
  <c r="AA16" i="53" s="1"/>
  <c r="Y84" i="1"/>
  <c r="K48" i="53" s="1"/>
  <c r="C86" i="1"/>
  <c r="C107" i="1" s="1"/>
  <c r="C109" i="1" s="1"/>
  <c r="C122" i="1" s="1"/>
  <c r="C84" i="1"/>
  <c r="AG16" i="53"/>
  <c r="J44" i="53"/>
  <c r="K46" i="53"/>
  <c r="Z84" i="1"/>
  <c r="L48" i="53" s="1"/>
  <c r="AC82" i="1"/>
  <c r="AC84" i="1" s="1"/>
  <c r="O48" i="53" s="1"/>
  <c r="AW177" i="42"/>
  <c r="Y21" i="42"/>
  <c r="AZ21" i="42"/>
  <c r="AZ23" i="42" s="1"/>
  <c r="AZ134" i="42"/>
  <c r="BC21" i="42"/>
  <c r="BC23" i="42" s="1"/>
  <c r="BH171" i="42"/>
  <c r="AW171" i="42"/>
  <c r="BC134" i="42"/>
  <c r="BH21" i="42"/>
  <c r="BH23" i="42" s="1"/>
  <c r="Y177" i="42"/>
  <c r="AV20" i="42"/>
  <c r="AA20" i="42"/>
  <c r="AA134" i="42" s="1"/>
  <c r="Y171" i="42"/>
  <c r="AZ177" i="42"/>
  <c r="AX134" i="42"/>
  <c r="AL84" i="1"/>
  <c r="AL86" i="1"/>
  <c r="X46" i="53"/>
  <c r="AC53" i="1"/>
  <c r="AC54" i="1" s="1"/>
  <c r="AC98" i="1"/>
  <c r="AC224" i="1" s="1"/>
  <c r="AC240" i="1" s="1"/>
  <c r="AL99" i="1"/>
  <c r="AL243" i="1" s="1"/>
  <c r="O41" i="53"/>
  <c r="AC78" i="1"/>
  <c r="O43" i="53" s="1"/>
  <c r="X84" i="1"/>
  <c r="J48" i="53" s="1"/>
  <c r="X86" i="1"/>
  <c r="X107" i="1" s="1"/>
  <c r="X109" i="1" s="1"/>
  <c r="X122" i="1" s="1"/>
  <c r="AI176" i="42"/>
  <c r="AU176" i="42"/>
  <c r="AU177" i="42"/>
  <c r="AB16" i="1"/>
  <c r="N20" i="53" s="1"/>
  <c r="AA170" i="42"/>
  <c r="AC177" i="42"/>
  <c r="AC178" i="42" s="1"/>
  <c r="AD176" i="42"/>
  <c r="BA20" i="42"/>
  <c r="BF22" i="42" s="1"/>
  <c r="AW21" i="42"/>
  <c r="AW23" i="42" s="1"/>
  <c r="BU258" i="42"/>
  <c r="BU257" i="42"/>
  <c r="BU403" i="42"/>
  <c r="BU402" i="42"/>
  <c r="BU334" i="42"/>
  <c r="BU333" i="42"/>
  <c r="BU410" i="42"/>
  <c r="BU409" i="42"/>
  <c r="BU327" i="42"/>
  <c r="BU326" i="42"/>
  <c r="AJ21" i="42"/>
  <c r="AK176" i="42"/>
  <c r="BU272" i="42"/>
  <c r="BU271" i="42"/>
  <c r="BU396" i="42"/>
  <c r="BU395" i="42"/>
  <c r="BK219" i="42"/>
  <c r="X177" i="42"/>
  <c r="AD178" i="42" s="1"/>
  <c r="X176" i="42"/>
  <c r="S177" i="42"/>
  <c r="BN556" i="42"/>
  <c r="BS556" i="42"/>
  <c r="BP340" i="42"/>
  <c r="BP342" i="42" s="1"/>
  <c r="BU341" i="42"/>
  <c r="BU340" i="42"/>
  <c r="AG15" i="42"/>
  <c r="AK177" i="42"/>
  <c r="AE21" i="42"/>
  <c r="BX18" i="53"/>
  <c r="H11" i="53"/>
  <c r="AR62" i="53"/>
  <c r="AO99" i="1"/>
  <c r="AS99" i="1"/>
  <c r="BG99" i="1"/>
  <c r="AZ99" i="1"/>
  <c r="AN99" i="1"/>
  <c r="I61" i="53"/>
  <c r="AI99" i="1"/>
  <c r="AK61" i="53"/>
  <c r="BH99" i="1"/>
  <c r="BD99" i="1"/>
  <c r="AT49" i="53"/>
  <c r="CG18" i="42"/>
  <c r="CB13" i="42"/>
  <c r="CF13" i="1"/>
  <c r="CB340" i="42"/>
  <c r="CB342" i="42" s="1"/>
  <c r="CB402" i="42"/>
  <c r="CB406" i="42" s="1"/>
  <c r="W16" i="53"/>
  <c r="BS100" i="1"/>
  <c r="BS99" i="1" s="1"/>
  <c r="AG341" i="1"/>
  <c r="BH92" i="1"/>
  <c r="BH94" i="1" s="1"/>
  <c r="AQ46" i="53"/>
  <c r="BE84" i="1"/>
  <c r="AQ48" i="53" s="1"/>
  <c r="G79" i="1"/>
  <c r="H79" i="1"/>
  <c r="K86" i="1"/>
  <c r="K84" i="1"/>
  <c r="G86" i="1"/>
  <c r="G84" i="1"/>
  <c r="G300" i="1" s="1"/>
  <c r="G319" i="1" s="1"/>
  <c r="K99" i="1"/>
  <c r="BE18" i="53"/>
  <c r="BK16" i="42"/>
  <c r="AW17" i="53" s="1"/>
  <c r="BF49" i="42"/>
  <c r="AM177" i="42"/>
  <c r="BE48" i="42"/>
  <c r="BX13" i="42"/>
  <c r="BE14" i="53"/>
  <c r="BR486" i="42"/>
  <c r="BR13" i="1"/>
  <c r="BX18" i="42"/>
  <c r="CW483" i="42"/>
  <c r="DB483" i="42" s="1"/>
  <c r="DG483" i="42" s="1"/>
  <c r="BX173" i="42"/>
  <c r="BX484" i="42"/>
  <c r="AS26" i="53"/>
  <c r="AK84" i="1"/>
  <c r="W48" i="53" s="1"/>
  <c r="AF17" i="1"/>
  <c r="H92" i="1"/>
  <c r="I96" i="1" s="1"/>
  <c r="BQ554" i="42"/>
  <c r="BC15" i="53"/>
  <c r="BE12" i="53"/>
  <c r="BQ555" i="42"/>
  <c r="BH19" i="53"/>
  <c r="BR15" i="1"/>
  <c r="CB484" i="42"/>
  <c r="CB18" i="42"/>
  <c r="CE18" i="42" s="1"/>
  <c r="BQ15" i="1"/>
  <c r="BW395" i="42"/>
  <c r="BW399" i="42" s="1"/>
  <c r="BW409" i="42"/>
  <c r="BW411" i="42" s="1"/>
  <c r="BX402" i="42"/>
  <c r="BX406" i="42" s="1"/>
  <c r="BH14" i="53"/>
  <c r="BX409" i="42"/>
  <c r="BX411" i="42" s="1"/>
  <c r="BI14" i="53"/>
  <c r="BX340" i="42"/>
  <c r="BX342" i="42" s="1"/>
  <c r="BV340" i="42"/>
  <c r="BV342" i="42" s="1"/>
  <c r="BW333" i="42"/>
  <c r="BW337" i="42" s="1"/>
  <c r="BX333" i="42"/>
  <c r="BX337" i="42" s="1"/>
  <c r="BW326" i="42"/>
  <c r="BW330" i="42" s="1"/>
  <c r="BH12" i="53"/>
  <c r="BX257" i="42"/>
  <c r="BX261" i="42" s="1"/>
  <c r="BX271" i="42"/>
  <c r="BX273" i="42" s="1"/>
  <c r="BH10" i="53"/>
  <c r="BW264" i="42"/>
  <c r="BW268" i="42" s="1"/>
  <c r="BW271" i="42"/>
  <c r="BW273" i="42" s="1"/>
  <c r="BO486" i="42"/>
  <c r="BP486" i="42" s="1"/>
  <c r="BY13" i="42"/>
  <c r="BT13" i="1"/>
  <c r="BY409" i="42"/>
  <c r="BY411" i="42" s="1"/>
  <c r="BF14" i="53"/>
  <c r="BF12" i="53"/>
  <c r="BF10" i="53"/>
  <c r="S44" i="53"/>
  <c r="AR17" i="1"/>
  <c r="AR57" i="1" s="1"/>
  <c r="BJ17" i="42"/>
  <c r="W38" i="53"/>
  <c r="L16" i="53"/>
  <c r="BR252" i="42"/>
  <c r="O38" i="53"/>
  <c r="Z28" i="1"/>
  <c r="AW17" i="1"/>
  <c r="AB16" i="53"/>
  <c r="O16" i="53"/>
  <c r="BB17" i="1"/>
  <c r="AI38" i="53"/>
  <c r="AD38" i="53"/>
  <c r="BI17" i="42"/>
  <c r="AZ18" i="53"/>
  <c r="AZ39" i="53"/>
  <c r="AZ15" i="53"/>
  <c r="BT340" i="42"/>
  <c r="BT342" i="42" s="1"/>
  <c r="AX171" i="42"/>
  <c r="AH177" i="42"/>
  <c r="AE171" i="42"/>
  <c r="AT38" i="53"/>
  <c r="AT42" i="53"/>
  <c r="T28" i="1"/>
  <c r="AI171" i="42"/>
  <c r="BU13" i="42"/>
  <c r="BM323" i="42"/>
  <c r="BM254" i="42"/>
  <c r="AY39" i="53"/>
  <c r="AY18" i="53"/>
  <c r="AY15" i="53"/>
  <c r="AY13" i="53"/>
  <c r="AY9" i="53"/>
  <c r="AN43" i="53"/>
  <c r="AN44" i="53" s="1"/>
  <c r="BB79" i="1"/>
  <c r="AK86" i="1"/>
  <c r="AK107" i="1" s="1"/>
  <c r="AK109" i="1" s="1"/>
  <c r="AK122" i="1" s="1"/>
  <c r="AL43" i="53"/>
  <c r="AL44" i="53" s="1"/>
  <c r="AZ79" i="1"/>
  <c r="BE79" i="1"/>
  <c r="BF25" i="1"/>
  <c r="BF28" i="1" s="1"/>
  <c r="AO43" i="53"/>
  <c r="AT44" i="53" s="1"/>
  <c r="BC79" i="1"/>
  <c r="AJ171" i="42"/>
  <c r="AS16" i="53"/>
  <c r="AJ176" i="42"/>
  <c r="AA43" i="53"/>
  <c r="AF44" i="53" s="1"/>
  <c r="Z43" i="53"/>
  <c r="AE44" i="53" s="1"/>
  <c r="AN79" i="1"/>
  <c r="I43" i="53"/>
  <c r="I44" i="53" s="1"/>
  <c r="W79" i="1"/>
  <c r="BB21" i="42"/>
  <c r="BB23" i="42" s="1"/>
  <c r="AI177" i="42"/>
  <c r="BH176" i="42"/>
  <c r="AS43" i="53"/>
  <c r="BG79" i="1"/>
  <c r="Z16" i="53"/>
  <c r="BH177" i="42"/>
  <c r="AG175" i="42"/>
  <c r="AW134" i="42"/>
  <c r="AA175" i="42"/>
  <c r="AH44" i="53"/>
  <c r="AC44" i="53"/>
  <c r="BH79" i="1"/>
  <c r="AM176" i="42"/>
  <c r="W43" i="53"/>
  <c r="AB43" i="53"/>
  <c r="AG44" i="53" s="1"/>
  <c r="AP79" i="1"/>
  <c r="AP43" i="53"/>
  <c r="BD79" i="1"/>
  <c r="BI79" i="1"/>
  <c r="I94" i="1"/>
  <c r="BB171" i="42"/>
  <c r="AF171" i="42"/>
  <c r="BG17" i="1"/>
  <c r="AC62" i="1"/>
  <c r="O26" i="53" s="1"/>
  <c r="AJ43" i="53"/>
  <c r="AJ44" i="53" s="1"/>
  <c r="AX79" i="1"/>
  <c r="U43" i="53"/>
  <c r="AM171" i="42"/>
  <c r="I38" i="53"/>
  <c r="BC171" i="42"/>
  <c r="BC177" i="42"/>
  <c r="AH21" i="42"/>
  <c r="AM21" i="42"/>
  <c r="AM23" i="42" s="1"/>
  <c r="BW484" i="42"/>
  <c r="BW18" i="42"/>
  <c r="BM449" i="42"/>
  <c r="AG169" i="42"/>
  <c r="AG170" i="42"/>
  <c r="BR173" i="42"/>
  <c r="BR554" i="42"/>
  <c r="BR555" i="42"/>
  <c r="AF176" i="42"/>
  <c r="AF177" i="42"/>
  <c r="V20" i="42"/>
  <c r="AI21" i="42"/>
  <c r="AI134" i="42"/>
  <c r="AD28" i="1"/>
  <c r="AD17" i="1"/>
  <c r="AI17" i="1"/>
  <c r="G16" i="53"/>
  <c r="AP16" i="53"/>
  <c r="E16" i="53"/>
  <c r="X17" i="1"/>
  <c r="AY28" i="1"/>
  <c r="F16" i="53"/>
  <c r="X28" i="1"/>
  <c r="E38" i="53"/>
  <c r="AE17" i="1"/>
  <c r="U28" i="1"/>
  <c r="AJ38" i="53"/>
  <c r="AS28" i="1"/>
  <c r="AI28" i="1"/>
  <c r="AO16" i="53"/>
  <c r="BF14" i="1"/>
  <c r="BF17" i="1" s="1"/>
  <c r="BF57" i="1" s="1"/>
  <c r="AO38" i="53"/>
  <c r="Z38" i="53"/>
  <c r="AN28" i="1"/>
  <c r="AJ16" i="53"/>
  <c r="BA25" i="1"/>
  <c r="AE16" i="53"/>
  <c r="AS17" i="1"/>
  <c r="U177" i="42"/>
  <c r="AS176" i="42"/>
  <c r="AN176" i="42"/>
  <c r="AE177" i="42"/>
  <c r="AX21" i="42"/>
  <c r="AX23" i="42" s="1"/>
  <c r="AS134" i="42"/>
  <c r="K38" i="53"/>
  <c r="O94" i="1"/>
  <c r="BR312" i="42"/>
  <c r="BG28" i="1"/>
  <c r="BL392" i="42"/>
  <c r="BG17" i="42"/>
  <c r="BL254" i="42"/>
  <c r="AS42" i="53"/>
  <c r="BL323" i="42"/>
  <c r="AY25" i="53"/>
  <c r="BR10" i="42"/>
  <c r="BW12" i="42"/>
  <c r="Z21" i="42"/>
  <c r="M36" i="53"/>
  <c r="AA25" i="1"/>
  <c r="AA344" i="1"/>
  <c r="AB343" i="1"/>
  <c r="AB344" i="1" s="1"/>
  <c r="AX25" i="53"/>
  <c r="M18" i="53"/>
  <c r="AB15" i="1"/>
  <c r="N18" i="53" s="1"/>
  <c r="BH17" i="1"/>
  <c r="AT16" i="53"/>
  <c r="AP38" i="53"/>
  <c r="BK183" i="42"/>
  <c r="S9" i="53"/>
  <c r="AG14" i="1"/>
  <c r="Z92" i="1"/>
  <c r="L49" i="53"/>
  <c r="M92" i="1"/>
  <c r="BK321" i="42"/>
  <c r="BP391" i="42"/>
  <c r="W84" i="1"/>
  <c r="I48" i="53" s="1"/>
  <c r="W86" i="1"/>
  <c r="I46" i="53"/>
  <c r="BT333" i="42"/>
  <c r="BT337" i="42" s="1"/>
  <c r="BT326" i="42"/>
  <c r="BT330" i="42" s="1"/>
  <c r="BE171" i="42"/>
  <c r="BJ171" i="42"/>
  <c r="BE17" i="42"/>
  <c r="BM312" i="42"/>
  <c r="BM164" i="42"/>
  <c r="BM311" i="42"/>
  <c r="AV26" i="53"/>
  <c r="BI12" i="53"/>
  <c r="BT257" i="42"/>
  <c r="BT261" i="42" s="1"/>
  <c r="W99" i="1"/>
  <c r="AY22" i="53"/>
  <c r="BW13" i="42"/>
  <c r="BZ458" i="42"/>
  <c r="CE459" i="42" s="1"/>
  <c r="BY18" i="42"/>
  <c r="BY484" i="42"/>
  <c r="BT395" i="42"/>
  <c r="BT399" i="42" s="1"/>
  <c r="BT402" i="42"/>
  <c r="BT406" i="42" s="1"/>
  <c r="BV100" i="1"/>
  <c r="P41" i="53"/>
  <c r="AD53" i="1"/>
  <c r="AD54" i="1" s="1"/>
  <c r="AD82" i="1"/>
  <c r="AD78" i="1"/>
  <c r="AI79" i="1" s="1"/>
  <c r="AD98" i="1"/>
  <c r="AD77" i="1"/>
  <c r="P42" i="53" s="1"/>
  <c r="BE99" i="1"/>
  <c r="AN74" i="1"/>
  <c r="AI74" i="1"/>
  <c r="BV257" i="42"/>
  <c r="BV261" i="42" s="1"/>
  <c r="BV264" i="42"/>
  <c r="BV268" i="42" s="1"/>
  <c r="BV271" i="42"/>
  <c r="BV273" i="42" s="1"/>
  <c r="BV326" i="42"/>
  <c r="BV330" i="42" s="1"/>
  <c r="BV333" i="42"/>
  <c r="BV337" i="42" s="1"/>
  <c r="BZ408" i="42"/>
  <c r="BV402" i="42"/>
  <c r="BV406" i="42" s="1"/>
  <c r="BV395" i="42"/>
  <c r="BV399" i="42" s="1"/>
  <c r="AX86" i="1"/>
  <c r="AX107" i="1" s="1"/>
  <c r="AX109" i="1" s="1"/>
  <c r="AX122" i="1" s="1"/>
  <c r="AX84" i="1"/>
  <c r="AJ48" i="53" s="1"/>
  <c r="AJ46" i="53"/>
  <c r="AT26" i="53"/>
  <c r="AX99" i="1"/>
  <c r="AQ42" i="53"/>
  <c r="AZ86" i="1"/>
  <c r="AZ107" i="1" s="1"/>
  <c r="AZ109" i="1" s="1"/>
  <c r="AZ122" i="1" s="1"/>
  <c r="AL46" i="53"/>
  <c r="AZ84" i="1"/>
  <c r="AL48" i="53" s="1"/>
  <c r="Y92" i="1"/>
  <c r="K49" i="53"/>
  <c r="BR100" i="1"/>
  <c r="BT100" i="1"/>
  <c r="BU101" i="1"/>
  <c r="BQ100" i="1"/>
  <c r="BD92" i="1"/>
  <c r="AP49" i="53"/>
  <c r="AO86" i="1"/>
  <c r="AO107" i="1" s="1"/>
  <c r="AO109" i="1" s="1"/>
  <c r="AO122" i="1" s="1"/>
  <c r="AA46" i="53"/>
  <c r="AO84" i="1"/>
  <c r="AA48" i="53" s="1"/>
  <c r="BE92" i="1"/>
  <c r="AQ49" i="53"/>
  <c r="AU26" i="53"/>
  <c r="BL10" i="1"/>
  <c r="BL312" i="42"/>
  <c r="BL164" i="42"/>
  <c r="BL311" i="42"/>
  <c r="BB176" i="42"/>
  <c r="BB177" i="42"/>
  <c r="BF175" i="42"/>
  <c r="T16" i="53"/>
  <c r="AH17" i="1"/>
  <c r="AH57" i="1" s="1"/>
  <c r="Y16" i="53"/>
  <c r="AM17" i="1"/>
  <c r="AM57" i="1" s="1"/>
  <c r="AV39" i="53"/>
  <c r="H35" i="53"/>
  <c r="V25" i="1"/>
  <c r="AC7" i="53"/>
  <c r="AJ28" i="1"/>
  <c r="V38" i="53"/>
  <c r="AT28" i="1"/>
  <c r="AF38" i="53"/>
  <c r="AM7" i="53"/>
  <c r="BA14" i="1"/>
  <c r="BF170" i="42"/>
  <c r="BF169" i="42"/>
  <c r="AM28" i="1"/>
  <c r="Y38" i="53"/>
  <c r="BA170" i="42"/>
  <c r="BA15" i="42"/>
  <c r="BA17" i="42" s="1"/>
  <c r="BF16" i="42"/>
  <c r="AA169" i="42"/>
  <c r="V170" i="42"/>
  <c r="X33" i="53"/>
  <c r="AL25" i="1"/>
  <c r="AQ169" i="42"/>
  <c r="AL14" i="1"/>
  <c r="X7" i="53"/>
  <c r="V175" i="42"/>
  <c r="R177" i="42"/>
  <c r="W178" i="42" s="1"/>
  <c r="W176" i="42"/>
  <c r="AA38" i="53"/>
  <c r="AO28" i="1"/>
  <c r="AH33" i="53"/>
  <c r="AV25" i="1"/>
  <c r="AM11" i="53"/>
  <c r="BG176" i="42"/>
  <c r="AV169" i="42"/>
  <c r="BA169" i="42"/>
  <c r="AV170" i="42"/>
  <c r="R28" i="1"/>
  <c r="D38" i="53"/>
  <c r="AL15" i="42"/>
  <c r="BI171" i="42"/>
  <c r="BD171" i="42"/>
  <c r="AM13" i="53"/>
  <c r="AH28" i="1"/>
  <c r="T38" i="53"/>
  <c r="BG171" i="42"/>
  <c r="R17" i="1"/>
  <c r="D16" i="53"/>
  <c r="AK16" i="53"/>
  <c r="AY17" i="1"/>
  <c r="AH7" i="53"/>
  <c r="AV14" i="1"/>
  <c r="BP13" i="1"/>
  <c r="BB15" i="53" s="1"/>
  <c r="AY171" i="42"/>
  <c r="AF16" i="53"/>
  <c r="AT17" i="1"/>
  <c r="AL169" i="42"/>
  <c r="AL170" i="42"/>
  <c r="AV175" i="42"/>
  <c r="AT176" i="42"/>
  <c r="AT177" i="42"/>
  <c r="AY176" i="42"/>
  <c r="BF15" i="42"/>
  <c r="BI21" i="42"/>
  <c r="BI23" i="42" s="1"/>
  <c r="BD134" i="42"/>
  <c r="BD135" i="42" s="1"/>
  <c r="BD21" i="42"/>
  <c r="BD23" i="42" s="1"/>
  <c r="BF20" i="42"/>
  <c r="AM9" i="53"/>
  <c r="BE177" i="42"/>
  <c r="BE176" i="42"/>
  <c r="BI176" i="42"/>
  <c r="BD177" i="42"/>
  <c r="BD176" i="42"/>
  <c r="AJ17" i="1"/>
  <c r="V16" i="53"/>
  <c r="H9" i="53"/>
  <c r="V14" i="1"/>
  <c r="AE28" i="1"/>
  <c r="Q38" i="53"/>
  <c r="AC33" i="53"/>
  <c r="AQ25" i="1"/>
  <c r="AA15" i="42"/>
  <c r="BK26" i="1"/>
  <c r="AW39" i="53" s="1"/>
  <c r="BP326" i="42"/>
  <c r="BP330" i="42" s="1"/>
  <c r="BM11" i="1"/>
  <c r="BM165" i="42"/>
  <c r="BM380" i="42"/>
  <c r="BM381" i="42"/>
  <c r="BO390" i="42"/>
  <c r="BO12" i="42"/>
  <c r="BO449" i="42"/>
  <c r="BK14" i="42"/>
  <c r="BL381" i="42"/>
  <c r="BL380" i="42"/>
  <c r="BL165" i="42"/>
  <c r="BL11" i="1"/>
  <c r="BP322" i="42"/>
  <c r="S49" i="53"/>
  <c r="AG92" i="1"/>
  <c r="R41" i="53"/>
  <c r="AF77" i="1"/>
  <c r="R42" i="53" s="1"/>
  <c r="AF53" i="1"/>
  <c r="AF54" i="1" s="1"/>
  <c r="AF82" i="1"/>
  <c r="AK77" i="1"/>
  <c r="W42" i="53" s="1"/>
  <c r="AF98" i="1"/>
  <c r="AF78" i="1"/>
  <c r="Z49" i="53"/>
  <c r="AN92" i="1"/>
  <c r="AV92" i="1"/>
  <c r="AH49" i="53"/>
  <c r="S48" i="53"/>
  <c r="AE49" i="53"/>
  <c r="AS92" i="1"/>
  <c r="BC99" i="1"/>
  <c r="AR41" i="53"/>
  <c r="BF98" i="1"/>
  <c r="BF82" i="1"/>
  <c r="BF77" i="1"/>
  <c r="AR42" i="53" s="1"/>
  <c r="BB99" i="1"/>
  <c r="AK62" i="1"/>
  <c r="W26" i="53" s="1"/>
  <c r="R25" i="53"/>
  <c r="AF62" i="1"/>
  <c r="R26" i="53" s="1"/>
  <c r="AP99" i="1"/>
  <c r="AJ77" i="1"/>
  <c r="V42" i="53" s="1"/>
  <c r="AJ82" i="1"/>
  <c r="AJ78" i="1"/>
  <c r="AO79" i="1" s="1"/>
  <c r="V41" i="53"/>
  <c r="AO77" i="1"/>
  <c r="AA42" i="53" s="1"/>
  <c r="AJ98" i="1"/>
  <c r="AU45" i="53"/>
  <c r="BK81" i="1"/>
  <c r="BK295" i="1" s="1"/>
  <c r="BK296" i="1" s="1"/>
  <c r="AK49" i="53"/>
  <c r="AY92" i="1"/>
  <c r="AE62" i="1"/>
  <c r="Q26" i="53" s="1"/>
  <c r="Q25" i="53"/>
  <c r="BK348" i="1"/>
  <c r="E94" i="1"/>
  <c r="J92" i="1"/>
  <c r="BB86" i="1"/>
  <c r="AN46" i="53"/>
  <c r="BB84" i="1"/>
  <c r="AN48" i="53" s="1"/>
  <c r="BG92" i="1"/>
  <c r="AS49" i="53"/>
  <c r="AP84" i="1"/>
  <c r="AB48" i="53" s="1"/>
  <c r="AB46" i="53"/>
  <c r="AP86" i="1"/>
  <c r="AP107" i="1" s="1"/>
  <c r="AP109" i="1" s="1"/>
  <c r="AP122" i="1" s="1"/>
  <c r="V25" i="53"/>
  <c r="AJ62" i="1"/>
  <c r="V26" i="53" s="1"/>
  <c r="AO62" i="1"/>
  <c r="AA26" i="53" s="1"/>
  <c r="AE77" i="1"/>
  <c r="Q42" i="53" s="1"/>
  <c r="AE53" i="1"/>
  <c r="AE82" i="1"/>
  <c r="Q41" i="53"/>
  <c r="AE98" i="1"/>
  <c r="AE78" i="1"/>
  <c r="AI92" i="1"/>
  <c r="U49" i="53"/>
  <c r="BC84" i="1"/>
  <c r="AO48" i="53" s="1"/>
  <c r="BC86" i="1"/>
  <c r="BC107" i="1" s="1"/>
  <c r="BC109" i="1" s="1"/>
  <c r="BC122" i="1" s="1"/>
  <c r="AO46" i="53"/>
  <c r="AF51" i="53"/>
  <c r="AT103" i="1"/>
  <c r="AT94" i="1"/>
  <c r="AF53" i="53" s="1"/>
  <c r="BP359" i="1"/>
  <c r="BO555" i="42"/>
  <c r="BO556" i="42" s="1"/>
  <c r="BO554" i="42"/>
  <c r="BO173" i="42"/>
  <c r="BP553" i="42"/>
  <c r="BK12" i="42"/>
  <c r="BG177" i="42"/>
  <c r="BG21" i="42"/>
  <c r="BG23" i="42" s="1"/>
  <c r="BG134" i="42"/>
  <c r="BU485" i="42"/>
  <c r="BP484" i="42"/>
  <c r="BK448" i="42"/>
  <c r="BK426" i="42" s="1"/>
  <c r="BL12" i="1"/>
  <c r="BO15" i="1"/>
  <c r="BP18" i="42"/>
  <c r="BT484" i="42"/>
  <c r="BT18" i="42"/>
  <c r="BU483" i="42"/>
  <c r="BK390" i="42"/>
  <c r="BL450" i="42"/>
  <c r="BL166" i="42"/>
  <c r="BL449" i="42"/>
  <c r="BB28" i="1"/>
  <c r="AN38" i="53"/>
  <c r="AX17" i="53"/>
  <c r="BK379" i="42"/>
  <c r="BK357" i="42" s="1"/>
  <c r="BK11" i="42"/>
  <c r="AU9" i="53"/>
  <c r="BK311" i="42"/>
  <c r="BK312" i="42"/>
  <c r="BK313" i="42" s="1"/>
  <c r="BK164" i="42"/>
  <c r="BK243" i="42"/>
  <c r="BK244" i="42" s="1"/>
  <c r="BK242" i="42"/>
  <c r="BK163" i="42"/>
  <c r="BR12" i="42"/>
  <c r="BR390" i="42"/>
  <c r="BQ12" i="42"/>
  <c r="BQ390" i="42"/>
  <c r="BP409" i="42"/>
  <c r="BP411" i="42" s="1"/>
  <c r="BP395" i="42"/>
  <c r="BP399" i="42" s="1"/>
  <c r="BP402" i="42"/>
  <c r="BP406" i="42" s="1"/>
  <c r="BP389" i="42"/>
  <c r="BN12" i="42"/>
  <c r="BN390" i="42"/>
  <c r="BR11" i="42"/>
  <c r="BR321" i="42"/>
  <c r="BQ11" i="42"/>
  <c r="BQ321" i="42"/>
  <c r="BO11" i="42"/>
  <c r="BO321" i="42"/>
  <c r="BP333" i="42"/>
  <c r="BP337" i="42" s="1"/>
  <c r="BN11" i="42"/>
  <c r="BN321" i="42"/>
  <c r="BP320" i="42"/>
  <c r="BQ252" i="42"/>
  <c r="BQ10" i="42"/>
  <c r="BT264" i="42"/>
  <c r="BT268" i="42" s="1"/>
  <c r="BO252" i="42"/>
  <c r="BO10" i="42"/>
  <c r="BP257" i="42"/>
  <c r="BP261" i="42" s="1"/>
  <c r="BP271" i="42"/>
  <c r="BP273" i="42" s="1"/>
  <c r="AW7" i="53"/>
  <c r="BK41" i="42"/>
  <c r="BK43" i="42" s="1"/>
  <c r="BP42" i="42"/>
  <c r="BK27" i="42"/>
  <c r="BK31" i="42" s="1"/>
  <c r="BP28" i="42"/>
  <c r="BK34" i="42"/>
  <c r="BK38" i="42" s="1"/>
  <c r="P331" i="1" l="1"/>
  <c r="P335" i="1"/>
  <c r="P338" i="1"/>
  <c r="AG107" i="1"/>
  <c r="AX225" i="1"/>
  <c r="AW225" i="1"/>
  <c r="P334" i="1"/>
  <c r="AA336" i="1"/>
  <c r="AV142" i="1"/>
  <c r="BA103" i="1"/>
  <c r="AM51" i="53"/>
  <c r="P326" i="1"/>
  <c r="P329" i="1" s="1"/>
  <c r="F317" i="1"/>
  <c r="F322" i="1" s="1"/>
  <c r="F324" i="1" s="1"/>
  <c r="F138" i="1"/>
  <c r="F142" i="1"/>
  <c r="F92" i="1"/>
  <c r="F94" i="1" s="1"/>
  <c r="BA303" i="1"/>
  <c r="F299" i="1"/>
  <c r="F303" i="1" s="1"/>
  <c r="F326" i="1" s="1"/>
  <c r="F329" i="1" s="1"/>
  <c r="AD224" i="1"/>
  <c r="AD240" i="1" s="1"/>
  <c r="W225" i="1"/>
  <c r="AG336" i="1"/>
  <c r="J138" i="1"/>
  <c r="Y142" i="1"/>
  <c r="Y138" i="1"/>
  <c r="CZ13" i="42"/>
  <c r="CZ13" i="1" s="1"/>
  <c r="CL15" i="53" s="1"/>
  <c r="DE458" i="42"/>
  <c r="DE13" i="42" s="1"/>
  <c r="DE13" i="1" s="1"/>
  <c r="CQ15" i="53" s="1"/>
  <c r="DG484" i="42"/>
  <c r="DG18" i="42"/>
  <c r="DG15" i="1" s="1"/>
  <c r="CS18" i="53" s="1"/>
  <c r="M44" i="53"/>
  <c r="P337" i="1"/>
  <c r="M138" i="1"/>
  <c r="BB225" i="1"/>
  <c r="N92" i="1"/>
  <c r="L322" i="1"/>
  <c r="L324" i="1" s="1"/>
  <c r="N107" i="1"/>
  <c r="N109" i="1" s="1"/>
  <c r="N122" i="1" s="1"/>
  <c r="N317" i="1" s="1"/>
  <c r="N322" i="1" s="1"/>
  <c r="N324" i="1" s="1"/>
  <c r="BW15" i="53"/>
  <c r="CB15" i="53"/>
  <c r="N336" i="1"/>
  <c r="BD225" i="1"/>
  <c r="BG225" i="1"/>
  <c r="E49" i="53"/>
  <c r="D51" i="53"/>
  <c r="R94" i="1"/>
  <c r="D53" i="53" s="1"/>
  <c r="AY225" i="1"/>
  <c r="J322" i="1"/>
  <c r="J324" i="1" s="1"/>
  <c r="AV301" i="1"/>
  <c r="AV320" i="1" s="1"/>
  <c r="AV300" i="1"/>
  <c r="AV319" i="1" s="1"/>
  <c r="BP310" i="1"/>
  <c r="K225" i="1"/>
  <c r="K243" i="1"/>
  <c r="AQ301" i="1"/>
  <c r="AQ320" i="1" s="1"/>
  <c r="AQ300" i="1"/>
  <c r="AQ319" i="1" s="1"/>
  <c r="N225" i="1"/>
  <c r="N243" i="1"/>
  <c r="Y225" i="1"/>
  <c r="I312" i="1"/>
  <c r="I331" i="1"/>
  <c r="I335" i="1"/>
  <c r="I337" i="1"/>
  <c r="I326" i="1"/>
  <c r="I329" i="1" s="1"/>
  <c r="I334" i="1"/>
  <c r="I338" i="1"/>
  <c r="AF224" i="1"/>
  <c r="AF240" i="1" s="1"/>
  <c r="R61" i="53" s="1"/>
  <c r="AG224" i="1"/>
  <c r="AG240" i="1" s="1"/>
  <c r="S61" i="53" s="1"/>
  <c r="V336" i="1"/>
  <c r="V299" i="1"/>
  <c r="L303" i="1"/>
  <c r="N303" i="1"/>
  <c r="BC225" i="1"/>
  <c r="AM222" i="1"/>
  <c r="AN222" i="1"/>
  <c r="AP222" i="1"/>
  <c r="AQ222" i="1"/>
  <c r="AM274" i="1"/>
  <c r="AM253" i="1"/>
  <c r="AM255" i="1" s="1"/>
  <c r="AM256" i="1" s="1"/>
  <c r="AM268" i="1" s="1"/>
  <c r="AO222" i="1"/>
  <c r="AM231" i="1"/>
  <c r="BA225" i="1"/>
  <c r="AZ225" i="1"/>
  <c r="M303" i="1"/>
  <c r="AE224" i="1"/>
  <c r="AE240" i="1" s="1"/>
  <c r="Q61" i="53" s="1"/>
  <c r="BE225" i="1"/>
  <c r="BF225" i="1"/>
  <c r="G107" i="1"/>
  <c r="G109" i="1" s="1"/>
  <c r="G122" i="1" s="1"/>
  <c r="G317" i="1" s="1"/>
  <c r="G322" i="1" s="1"/>
  <c r="G324" i="1" s="1"/>
  <c r="G299" i="1"/>
  <c r="G303" i="1" s="1"/>
  <c r="G336" i="1"/>
  <c r="AL107" i="1"/>
  <c r="AL109" i="1" s="1"/>
  <c r="AL122" i="1" s="1"/>
  <c r="AL317" i="1" s="1"/>
  <c r="AL299" i="1"/>
  <c r="AL336" i="1"/>
  <c r="D299" i="1"/>
  <c r="D303" i="1" s="1"/>
  <c r="D336" i="1"/>
  <c r="S142" i="1"/>
  <c r="E58" i="53" s="1"/>
  <c r="S145" i="1"/>
  <c r="S148" i="1" s="1"/>
  <c r="S161" i="1" s="1"/>
  <c r="H138" i="1"/>
  <c r="H141" i="1" s="1"/>
  <c r="I140" i="1" s="1"/>
  <c r="M322" i="1"/>
  <c r="M324" i="1" s="1"/>
  <c r="E326" i="1"/>
  <c r="E329" i="1" s="1"/>
  <c r="E334" i="1"/>
  <c r="E338" i="1"/>
  <c r="E312" i="1"/>
  <c r="E335" i="1"/>
  <c r="E331" i="1"/>
  <c r="E337" i="1"/>
  <c r="U225" i="1"/>
  <c r="V225" i="1"/>
  <c r="BP315" i="1"/>
  <c r="AA225" i="1"/>
  <c r="O312" i="1"/>
  <c r="O331" i="1"/>
  <c r="O335" i="1"/>
  <c r="O337" i="1"/>
  <c r="O338" i="1"/>
  <c r="O326" i="1"/>
  <c r="O329" i="1" s="1"/>
  <c r="O334" i="1"/>
  <c r="BF231" i="1"/>
  <c r="BF253" i="1"/>
  <c r="BF255" i="1" s="1"/>
  <c r="BF256" i="1" s="1"/>
  <c r="BF268" i="1" s="1"/>
  <c r="BF242" i="1"/>
  <c r="BF274" i="1"/>
  <c r="BF327" i="1"/>
  <c r="BF333" i="1"/>
  <c r="K107" i="1"/>
  <c r="K109" i="1" s="1"/>
  <c r="K122" i="1" s="1"/>
  <c r="K317" i="1" s="1"/>
  <c r="K299" i="1"/>
  <c r="K336" i="1"/>
  <c r="H312" i="1"/>
  <c r="H331" i="1"/>
  <c r="H335" i="1"/>
  <c r="H337" i="1"/>
  <c r="H334" i="1"/>
  <c r="H338" i="1"/>
  <c r="H326" i="1"/>
  <c r="H329" i="1" s="1"/>
  <c r="AS222" i="1"/>
  <c r="AT222" i="1"/>
  <c r="AU222" i="1"/>
  <c r="AV222" i="1"/>
  <c r="AW274" i="1"/>
  <c r="AR222" i="1"/>
  <c r="AR253" i="1"/>
  <c r="AR255" i="1" s="1"/>
  <c r="AR256" i="1" s="1"/>
  <c r="AR268" i="1" s="1"/>
  <c r="AR274" i="1"/>
  <c r="AR231" i="1"/>
  <c r="Q299" i="1"/>
  <c r="Q303" i="1" s="1"/>
  <c r="Q336" i="1"/>
  <c r="J142" i="1"/>
  <c r="X225" i="1"/>
  <c r="Q225" i="1"/>
  <c r="Q243" i="1"/>
  <c r="AA301" i="1"/>
  <c r="AA320" i="1" s="1"/>
  <c r="AA300" i="1"/>
  <c r="AA319" i="1" s="1"/>
  <c r="BH225" i="1"/>
  <c r="AQ299" i="1"/>
  <c r="AQ336" i="1"/>
  <c r="P225" i="1"/>
  <c r="P243" i="1"/>
  <c r="H142" i="1"/>
  <c r="AG303" i="1"/>
  <c r="O225" i="1"/>
  <c r="O243" i="1"/>
  <c r="AH222" i="1"/>
  <c r="AI222" i="1"/>
  <c r="AH253" i="1"/>
  <c r="AH255" i="1" s="1"/>
  <c r="AH256" i="1" s="1"/>
  <c r="AH268" i="1" s="1"/>
  <c r="AH274" i="1"/>
  <c r="AH231" i="1"/>
  <c r="AK222" i="1"/>
  <c r="AL222" i="1"/>
  <c r="AJ222" i="1"/>
  <c r="BU307" i="1"/>
  <c r="BU309" i="1" s="1"/>
  <c r="BU310" i="1" s="1"/>
  <c r="BU314" i="1"/>
  <c r="K301" i="1"/>
  <c r="K320" i="1" s="1"/>
  <c r="K300" i="1"/>
  <c r="K319" i="1" s="1"/>
  <c r="AL301" i="1"/>
  <c r="AL320" i="1" s="1"/>
  <c r="AL300" i="1"/>
  <c r="AL319" i="1" s="1"/>
  <c r="S92" i="1"/>
  <c r="E51" i="53" s="1"/>
  <c r="V301" i="1"/>
  <c r="V320" i="1" s="1"/>
  <c r="V300" i="1"/>
  <c r="V319" i="1" s="1"/>
  <c r="AV138" i="1"/>
  <c r="J303" i="1"/>
  <c r="L225" i="1"/>
  <c r="L243" i="1"/>
  <c r="BA326" i="1"/>
  <c r="BA329" i="1" s="1"/>
  <c r="BA334" i="1"/>
  <c r="BA338" i="1"/>
  <c r="BA337" i="1"/>
  <c r="BA331" i="1"/>
  <c r="BA335" i="1"/>
  <c r="BA312" i="1"/>
  <c r="M225" i="1"/>
  <c r="M243" i="1"/>
  <c r="Z225" i="1"/>
  <c r="AZ138" i="1"/>
  <c r="AZ142" i="1"/>
  <c r="W107" i="1"/>
  <c r="W109" i="1" s="1"/>
  <c r="W122" i="1" s="1"/>
  <c r="W145" i="1"/>
  <c r="G142" i="1"/>
  <c r="AQ107" i="1"/>
  <c r="AQ109" i="1" s="1"/>
  <c r="AQ122" i="1" s="1"/>
  <c r="AQ317" i="1" s="1"/>
  <c r="AW107" i="1"/>
  <c r="AW109" i="1" s="1"/>
  <c r="AW122" i="1" s="1"/>
  <c r="AW145" i="1"/>
  <c r="BB107" i="1"/>
  <c r="BB109" i="1" s="1"/>
  <c r="BB145" i="1"/>
  <c r="D107" i="1"/>
  <c r="D109" i="1" s="1"/>
  <c r="D122" i="1" s="1"/>
  <c r="D317" i="1" s="1"/>
  <c r="D322" i="1" s="1"/>
  <c r="D324" i="1" s="1"/>
  <c r="R168" i="1"/>
  <c r="R179" i="1"/>
  <c r="R181" i="1" s="1"/>
  <c r="BC142" i="1"/>
  <c r="BC138" i="1"/>
  <c r="X142" i="1"/>
  <c r="X138" i="1"/>
  <c r="C138" i="1"/>
  <c r="C141" i="1" s="1"/>
  <c r="C142" i="1"/>
  <c r="AU138" i="1"/>
  <c r="AU142" i="1"/>
  <c r="E138" i="1"/>
  <c r="E141" i="1" s="1"/>
  <c r="E142" i="1"/>
  <c r="BK109" i="1"/>
  <c r="BK122" i="1" s="1"/>
  <c r="BK317" i="1" s="1"/>
  <c r="BG122" i="1"/>
  <c r="AO142" i="1"/>
  <c r="AO138" i="1"/>
  <c r="V107" i="1"/>
  <c r="V109" i="1" s="1"/>
  <c r="V122" i="1" s="1"/>
  <c r="V317" i="1" s="1"/>
  <c r="U138" i="1"/>
  <c r="U142" i="1"/>
  <c r="I142" i="1"/>
  <c r="I138" i="1"/>
  <c r="BG148" i="1"/>
  <c r="BG161" i="1" s="1"/>
  <c r="BH145" i="1"/>
  <c r="AX138" i="1"/>
  <c r="AX142" i="1"/>
  <c r="T138" i="1"/>
  <c r="T142" i="1"/>
  <c r="Q107" i="1"/>
  <c r="Q109" i="1" s="1"/>
  <c r="Q122" i="1" s="1"/>
  <c r="Q317" i="1" s="1"/>
  <c r="Q322" i="1" s="1"/>
  <c r="Q324" i="1" s="1"/>
  <c r="AP138" i="1"/>
  <c r="AP142" i="1"/>
  <c r="AK142" i="1"/>
  <c r="AK138" i="1"/>
  <c r="AA138" i="1"/>
  <c r="AA142" i="1"/>
  <c r="M58" i="53" s="1"/>
  <c r="AQ14" i="1"/>
  <c r="AC16" i="53" s="1"/>
  <c r="DB484" i="42"/>
  <c r="DB18" i="42"/>
  <c r="DB15" i="1" s="1"/>
  <c r="CN18" i="53" s="1"/>
  <c r="Q92" i="1"/>
  <c r="Q96" i="1" s="1"/>
  <c r="M48" i="53"/>
  <c r="AW92" i="1"/>
  <c r="AI51" i="53" s="1"/>
  <c r="AI49" i="53"/>
  <c r="U92" i="1"/>
  <c r="U103" i="1" s="1"/>
  <c r="AP44" i="53"/>
  <c r="G49" i="53"/>
  <c r="AC135" i="42"/>
  <c r="AB12" i="1"/>
  <c r="N13" i="53" s="1"/>
  <c r="M13" i="53"/>
  <c r="D92" i="1"/>
  <c r="D94" i="1" s="1"/>
  <c r="H48" i="53"/>
  <c r="AQ92" i="1"/>
  <c r="AQ103" i="1" s="1"/>
  <c r="AH48" i="53"/>
  <c r="CV15" i="1"/>
  <c r="CH18" i="53" s="1"/>
  <c r="CW484" i="42"/>
  <c r="CW18" i="42"/>
  <c r="CU13" i="42"/>
  <c r="M51" i="53"/>
  <c r="AA103" i="1"/>
  <c r="AU92" i="1"/>
  <c r="AG51" i="53" s="1"/>
  <c r="T92" i="1"/>
  <c r="T94" i="1" s="1"/>
  <c r="F53" i="53" s="1"/>
  <c r="AG49" i="53"/>
  <c r="O46" i="53"/>
  <c r="AC49" i="53"/>
  <c r="F49" i="53"/>
  <c r="CG486" i="42"/>
  <c r="AS171" i="42"/>
  <c r="CB486" i="42"/>
  <c r="AX178" i="42"/>
  <c r="AQ170" i="42"/>
  <c r="AQ171" i="42" s="1"/>
  <c r="AV15" i="42"/>
  <c r="AV17" i="42" s="1"/>
  <c r="BD141" i="42"/>
  <c r="AK141" i="42"/>
  <c r="AY141" i="42"/>
  <c r="AQ15" i="42"/>
  <c r="AQ17" i="42" s="1"/>
  <c r="BC178" i="42"/>
  <c r="AP141" i="42"/>
  <c r="AN177" i="42"/>
  <c r="AS178" i="42" s="1"/>
  <c r="AN134" i="42"/>
  <c r="AS135" i="42" s="1"/>
  <c r="AN21" i="42"/>
  <c r="AN23" i="42" s="1"/>
  <c r="CG15" i="1"/>
  <c r="CF46" i="42"/>
  <c r="AS21" i="42"/>
  <c r="AS23" i="42" s="1"/>
  <c r="BR15" i="53"/>
  <c r="AU135" i="42"/>
  <c r="AQ176" i="42"/>
  <c r="AJ135" i="42"/>
  <c r="AW178" i="42"/>
  <c r="AR178" i="42"/>
  <c r="BK49" i="42"/>
  <c r="K16" i="53"/>
  <c r="Y178" i="42"/>
  <c r="AZ135" i="42"/>
  <c r="AQ49" i="42"/>
  <c r="AO21" i="42"/>
  <c r="AO23" i="42" s="1"/>
  <c r="AQ20" i="42"/>
  <c r="AV21" i="42" s="1"/>
  <c r="AT21" i="42"/>
  <c r="AT23" i="42" s="1"/>
  <c r="AT171" i="42"/>
  <c r="AP178" i="42"/>
  <c r="AA177" i="42"/>
  <c r="AO17" i="1"/>
  <c r="AL177" i="42"/>
  <c r="AV134" i="42"/>
  <c r="BL451" i="42"/>
  <c r="AO178" i="42"/>
  <c r="BX100" i="1"/>
  <c r="BY100" i="1"/>
  <c r="BX15" i="53"/>
  <c r="AO134" i="42"/>
  <c r="AO135" i="42" s="1"/>
  <c r="BG135" i="42"/>
  <c r="BY486" i="42"/>
  <c r="CR18" i="42"/>
  <c r="CE13" i="42"/>
  <c r="CE410" i="42"/>
  <c r="CE409" i="42"/>
  <c r="CC18" i="53"/>
  <c r="AQ22" i="42"/>
  <c r="AC22" i="53" s="1"/>
  <c r="AL134" i="42"/>
  <c r="BA177" i="42"/>
  <c r="AL21" i="42"/>
  <c r="BB135" i="42"/>
  <c r="AF135" i="42"/>
  <c r="BB178" i="42"/>
  <c r="BA21" i="42"/>
  <c r="BA22" i="42"/>
  <c r="BA134" i="42"/>
  <c r="BL313" i="42"/>
  <c r="BZ459" i="42"/>
  <c r="BM313" i="42"/>
  <c r="BM382" i="42"/>
  <c r="Z178" i="42"/>
  <c r="AG134" i="42"/>
  <c r="AG135" i="42" s="1"/>
  <c r="AF178" i="42"/>
  <c r="AG21" i="42"/>
  <c r="BL382" i="42"/>
  <c r="AA21" i="42"/>
  <c r="AJ178" i="42"/>
  <c r="H49" i="53"/>
  <c r="AC48" i="53"/>
  <c r="V92" i="1"/>
  <c r="AA96" i="1" s="1"/>
  <c r="AC86" i="1"/>
  <c r="BE135" i="42"/>
  <c r="BC135" i="42"/>
  <c r="C92" i="1"/>
  <c r="AZ178" i="42"/>
  <c r="BX486" i="42"/>
  <c r="AU178" i="42"/>
  <c r="BH135" i="42"/>
  <c r="BW100" i="1"/>
  <c r="O61" i="53"/>
  <c r="AC99" i="1"/>
  <c r="AC225" i="1" s="1"/>
  <c r="BZ101" i="1"/>
  <c r="P61" i="53"/>
  <c r="AC79" i="1"/>
  <c r="X49" i="53"/>
  <c r="AL92" i="1"/>
  <c r="X92" i="1"/>
  <c r="J49" i="53"/>
  <c r="X48" i="53"/>
  <c r="CB13" i="1"/>
  <c r="AT51" i="53"/>
  <c r="BU261" i="42"/>
  <c r="AG171" i="42"/>
  <c r="AA171" i="42"/>
  <c r="X178" i="42"/>
  <c r="BU406" i="42"/>
  <c r="BB14" i="53"/>
  <c r="V134" i="42"/>
  <c r="V135" i="42" s="1"/>
  <c r="BR556" i="42"/>
  <c r="BW556" i="42"/>
  <c r="BU399" i="42"/>
  <c r="BU330" i="42"/>
  <c r="BU337" i="42"/>
  <c r="CM18" i="42"/>
  <c r="BQ556" i="42"/>
  <c r="BV556" i="42"/>
  <c r="BU391" i="42"/>
  <c r="BU390" i="42"/>
  <c r="BU322" i="42"/>
  <c r="BU321" i="42"/>
  <c r="BU342" i="42"/>
  <c r="BU273" i="42"/>
  <c r="BU411" i="42"/>
  <c r="CI484" i="42"/>
  <c r="CI18" i="42"/>
  <c r="CX458" i="42"/>
  <c r="CI13" i="42"/>
  <c r="CI409" i="42"/>
  <c r="CI411" i="42" s="1"/>
  <c r="CX408" i="42"/>
  <c r="AI178" i="42"/>
  <c r="AD21" i="53"/>
  <c r="CC100" i="1"/>
  <c r="CC99" i="1" s="1"/>
  <c r="BF78" i="1"/>
  <c r="BF79" i="1" s="1"/>
  <c r="AT58" i="53"/>
  <c r="BW486" i="42"/>
  <c r="CG13" i="42"/>
  <c r="CA409" i="42"/>
  <c r="CA411" i="42" s="1"/>
  <c r="CA402" i="42"/>
  <c r="CA406" i="42" s="1"/>
  <c r="CA395" i="42"/>
  <c r="CA399" i="42" s="1"/>
  <c r="BR14" i="53"/>
  <c r="CA340" i="42"/>
  <c r="CA342" i="42" s="1"/>
  <c r="CA333" i="42"/>
  <c r="CA337" i="42" s="1"/>
  <c r="CA271" i="42"/>
  <c r="CA273" i="42" s="1"/>
  <c r="CA264" i="42"/>
  <c r="CA268" i="42" s="1"/>
  <c r="CA257" i="42"/>
  <c r="CA261" i="42" s="1"/>
  <c r="BR10" i="53"/>
  <c r="CB271" i="42"/>
  <c r="CB273" i="42" s="1"/>
  <c r="CB264" i="42"/>
  <c r="CB268" i="42" s="1"/>
  <c r="CB326" i="42"/>
  <c r="CB330" i="42" s="1"/>
  <c r="CG340" i="42"/>
  <c r="CG342" i="42" s="1"/>
  <c r="CB333" i="42"/>
  <c r="CB337" i="42" s="1"/>
  <c r="CG402" i="42"/>
  <c r="CG406" i="42" s="1"/>
  <c r="CB409" i="42"/>
  <c r="CB411" i="42" s="1"/>
  <c r="CB395" i="42"/>
  <c r="CB399" i="42" s="1"/>
  <c r="BH103" i="1"/>
  <c r="AW58" i="1"/>
  <c r="W49" i="53"/>
  <c r="AR73" i="1"/>
  <c r="AW74" i="1" s="1"/>
  <c r="AK92" i="1"/>
  <c r="W51" i="53" s="1"/>
  <c r="AR69" i="1"/>
  <c r="AW70" i="1" s="1"/>
  <c r="AR65" i="1"/>
  <c r="AW66" i="1" s="1"/>
  <c r="AS44" i="53"/>
  <c r="G92" i="1"/>
  <c r="H96" i="1" s="1"/>
  <c r="K92" i="1"/>
  <c r="K96" i="1" s="1"/>
  <c r="BT486" i="42"/>
  <c r="BU486" i="42" s="1"/>
  <c r="BF15" i="53"/>
  <c r="O44" i="53"/>
  <c r="BE15" i="53"/>
  <c r="BE47" i="42"/>
  <c r="BO15" i="53"/>
  <c r="BH178" i="42"/>
  <c r="BX13" i="1"/>
  <c r="BR313" i="42"/>
  <c r="BR392" i="42"/>
  <c r="BR323" i="42"/>
  <c r="BR254" i="42"/>
  <c r="BD18" i="53"/>
  <c r="BD15" i="53"/>
  <c r="BX15" i="1"/>
  <c r="BX26" i="1"/>
  <c r="BQ392" i="42"/>
  <c r="BQ323" i="42"/>
  <c r="BQ254" i="42"/>
  <c r="AB44" i="53"/>
  <c r="H94" i="1"/>
  <c r="AI135" i="42"/>
  <c r="BC18" i="53"/>
  <c r="BZ483" i="42"/>
  <c r="BV18" i="42"/>
  <c r="BW173" i="42"/>
  <c r="BR26" i="1"/>
  <c r="CB15" i="1"/>
  <c r="BW15" i="1"/>
  <c r="BQ12" i="1"/>
  <c r="BW12" i="1"/>
  <c r="BN14" i="53"/>
  <c r="BX395" i="42"/>
  <c r="BX399" i="42" s="1"/>
  <c r="BR12" i="1"/>
  <c r="BJ14" i="53"/>
  <c r="BX326" i="42"/>
  <c r="BX330" i="42" s="1"/>
  <c r="BR11" i="1"/>
  <c r="BQ11" i="1"/>
  <c r="BJ12" i="53"/>
  <c r="BN12" i="53"/>
  <c r="BR10" i="1"/>
  <c r="BQ10" i="1"/>
  <c r="BY15" i="1"/>
  <c r="BG19" i="53"/>
  <c r="BU13" i="1"/>
  <c r="BG15" i="53" s="1"/>
  <c r="BY13" i="1"/>
  <c r="BY402" i="42"/>
  <c r="BY406" i="42" s="1"/>
  <c r="BY395" i="42"/>
  <c r="BY399" i="42" s="1"/>
  <c r="BK14" i="53"/>
  <c r="BY340" i="42"/>
  <c r="BY342" i="42" s="1"/>
  <c r="BY333" i="42"/>
  <c r="BY337" i="42" s="1"/>
  <c r="BY326" i="42"/>
  <c r="BY330" i="42" s="1"/>
  <c r="BK12" i="53"/>
  <c r="BY257" i="42"/>
  <c r="BY261" i="42" s="1"/>
  <c r="BO254" i="42"/>
  <c r="BO323" i="42"/>
  <c r="BO392" i="42"/>
  <c r="AR60" i="1"/>
  <c r="BA18" i="53"/>
  <c r="BR164" i="42"/>
  <c r="BZ339" i="42"/>
  <c r="BN392" i="42"/>
  <c r="BN323" i="42"/>
  <c r="BZ401" i="42"/>
  <c r="BZ341" i="42"/>
  <c r="AR38" i="53"/>
  <c r="BW390" i="42"/>
  <c r="AG176" i="42"/>
  <c r="AT53" i="53"/>
  <c r="AH178" i="42"/>
  <c r="AM178" i="42"/>
  <c r="AO44" i="53"/>
  <c r="Q43" i="53"/>
  <c r="Q44" i="53" s="1"/>
  <c r="AE79" i="1"/>
  <c r="R43" i="53"/>
  <c r="W44" i="53" s="1"/>
  <c r="AF79" i="1"/>
  <c r="AQ44" i="53"/>
  <c r="Z44" i="53"/>
  <c r="AG177" i="42"/>
  <c r="V43" i="53"/>
  <c r="AA44" i="53" s="1"/>
  <c r="AJ79" i="1"/>
  <c r="AL171" i="42"/>
  <c r="AL176" i="42"/>
  <c r="AK79" i="1"/>
  <c r="BG178" i="42"/>
  <c r="P43" i="53"/>
  <c r="P44" i="53" s="1"/>
  <c r="AD79" i="1"/>
  <c r="BR311" i="42"/>
  <c r="AK178" i="42"/>
  <c r="AR16" i="53"/>
  <c r="AM38" i="53"/>
  <c r="BA28" i="1"/>
  <c r="AE178" i="42"/>
  <c r="AX135" i="42"/>
  <c r="BF73" i="1"/>
  <c r="BF74" i="1" s="1"/>
  <c r="BF65" i="1"/>
  <c r="BF69" i="1"/>
  <c r="BF70" i="1" s="1"/>
  <c r="BF58" i="1"/>
  <c r="BF60" i="1"/>
  <c r="AR21" i="53"/>
  <c r="BO450" i="42"/>
  <c r="BZ256" i="42"/>
  <c r="AX11" i="53"/>
  <c r="AX9" i="53"/>
  <c r="BZ332" i="42"/>
  <c r="CE334" i="42" s="1"/>
  <c r="BZ394" i="42"/>
  <c r="AA17" i="1"/>
  <c r="M16" i="53"/>
  <c r="BC25" i="53"/>
  <c r="BZ325" i="42"/>
  <c r="M94" i="1"/>
  <c r="M96" i="1"/>
  <c r="AG17" i="1"/>
  <c r="S16" i="53"/>
  <c r="BD25" i="53"/>
  <c r="Z103" i="1"/>
  <c r="Z94" i="1"/>
  <c r="L53" i="53" s="1"/>
  <c r="L51" i="53"/>
  <c r="M38" i="53"/>
  <c r="AA28" i="1"/>
  <c r="BW11" i="42"/>
  <c r="BW321" i="42"/>
  <c r="BM21" i="1"/>
  <c r="I49" i="53"/>
  <c r="W92" i="1"/>
  <c r="P46" i="53"/>
  <c r="AD84" i="1"/>
  <c r="P48" i="53" s="1"/>
  <c r="AD86" i="1"/>
  <c r="AD107" i="1" s="1"/>
  <c r="AD109" i="1" s="1"/>
  <c r="AD122" i="1" s="1"/>
  <c r="BW13" i="1"/>
  <c r="BZ13" i="42"/>
  <c r="AT178" i="42"/>
  <c r="BT12" i="42"/>
  <c r="BE178" i="42"/>
  <c r="BJ178" i="42"/>
  <c r="AD99" i="1"/>
  <c r="AD225" i="1" s="1"/>
  <c r="BY264" i="42"/>
  <c r="BY268" i="42" s="1"/>
  <c r="BU484" i="42"/>
  <c r="BZ485" i="42"/>
  <c r="BV10" i="42"/>
  <c r="BZ258" i="42"/>
  <c r="BZ327" i="42"/>
  <c r="BV321" i="42"/>
  <c r="BV323" i="42" s="1"/>
  <c r="BV11" i="42"/>
  <c r="BZ334" i="42"/>
  <c r="BZ396" i="42"/>
  <c r="BZ410" i="42"/>
  <c r="BV12" i="42"/>
  <c r="BZ403" i="42"/>
  <c r="BZ409" i="42"/>
  <c r="BO166" i="42"/>
  <c r="BO23" i="1" s="1"/>
  <c r="D58" i="53"/>
  <c r="D55" i="53"/>
  <c r="E55" i="53"/>
  <c r="Y103" i="1"/>
  <c r="Y94" i="1"/>
  <c r="K53" i="53" s="1"/>
  <c r="K51" i="53"/>
  <c r="AL49" i="53"/>
  <c r="AZ92" i="1"/>
  <c r="BE96" i="1" s="1"/>
  <c r="AJ49" i="53"/>
  <c r="AX92" i="1"/>
  <c r="AX96" i="1" s="1"/>
  <c r="AO92" i="1"/>
  <c r="AA49" i="53"/>
  <c r="AM55" i="53"/>
  <c r="AM58" i="53"/>
  <c r="BI96" i="1"/>
  <c r="AP51" i="53"/>
  <c r="BD94" i="1"/>
  <c r="AP53" i="53" s="1"/>
  <c r="BD103" i="1"/>
  <c r="AQ51" i="53"/>
  <c r="BE94" i="1"/>
  <c r="BE103" i="1"/>
  <c r="BO12" i="1"/>
  <c r="BT390" i="42"/>
  <c r="BL21" i="1"/>
  <c r="BF171" i="42"/>
  <c r="AV11" i="53"/>
  <c r="BA17" i="1"/>
  <c r="AM16" i="53"/>
  <c r="BI178" i="42"/>
  <c r="BD178" i="42"/>
  <c r="BF21" i="42"/>
  <c r="BF23" i="42" s="1"/>
  <c r="BK22" i="42"/>
  <c r="AL17" i="1"/>
  <c r="X16" i="53"/>
  <c r="V28" i="1"/>
  <c r="H38" i="53"/>
  <c r="T21" i="53"/>
  <c r="AH69" i="1"/>
  <c r="AH70" i="1" s="1"/>
  <c r="AH58" i="1"/>
  <c r="AH73" i="1"/>
  <c r="AH74" i="1" s="1"/>
  <c r="AH65" i="1"/>
  <c r="AH60" i="1"/>
  <c r="AV34" i="53"/>
  <c r="AR17" i="53"/>
  <c r="AV33" i="53"/>
  <c r="V17" i="1"/>
  <c r="H16" i="53"/>
  <c r="AV177" i="42"/>
  <c r="AV176" i="42"/>
  <c r="BA176" i="42"/>
  <c r="AL28" i="1"/>
  <c r="X38" i="53"/>
  <c r="BF177" i="42"/>
  <c r="BF176" i="42"/>
  <c r="AV17" i="1"/>
  <c r="AH16" i="53"/>
  <c r="AC38" i="53"/>
  <c r="AQ28" i="1"/>
  <c r="BF17" i="42"/>
  <c r="AR22" i="53"/>
  <c r="AY178" i="42"/>
  <c r="AV28" i="1"/>
  <c r="AH38" i="53"/>
  <c r="V177" i="42"/>
  <c r="AA176" i="42"/>
  <c r="BA171" i="42"/>
  <c r="AM73" i="1"/>
  <c r="Y21" i="53"/>
  <c r="AM60" i="1"/>
  <c r="AM65" i="1"/>
  <c r="AM69" i="1"/>
  <c r="AM58" i="1"/>
  <c r="AR58" i="1"/>
  <c r="BM22" i="1"/>
  <c r="AY11" i="53"/>
  <c r="AV13" i="53"/>
  <c r="BK20" i="42"/>
  <c r="BL22" i="1"/>
  <c r="BB12" i="53"/>
  <c r="BK15" i="42"/>
  <c r="BK17" i="42" s="1"/>
  <c r="AE86" i="1"/>
  <c r="AE107" i="1" s="1"/>
  <c r="AE109" i="1" s="1"/>
  <c r="AE122" i="1" s="1"/>
  <c r="AE84" i="1"/>
  <c r="Q48" i="53" s="1"/>
  <c r="Q46" i="53"/>
  <c r="AS51" i="53"/>
  <c r="BG103" i="1"/>
  <c r="BG94" i="1"/>
  <c r="AY96" i="1"/>
  <c r="AY94" i="1"/>
  <c r="AK53" i="53" s="1"/>
  <c r="AY103" i="1"/>
  <c r="AK51" i="53"/>
  <c r="BD96" i="1"/>
  <c r="AS96" i="1"/>
  <c r="AS103" i="1"/>
  <c r="AS94" i="1"/>
  <c r="AE53" i="53" s="1"/>
  <c r="AE51" i="53"/>
  <c r="AN96" i="1"/>
  <c r="AN94" i="1"/>
  <c r="Z53" i="53" s="1"/>
  <c r="Z51" i="53"/>
  <c r="AN103" i="1"/>
  <c r="BC92" i="1"/>
  <c r="AO49" i="53"/>
  <c r="AG53" i="1"/>
  <c r="AG27" i="1" s="1"/>
  <c r="AE54" i="1"/>
  <c r="AG54" i="1" s="1"/>
  <c r="J96" i="1"/>
  <c r="J94" i="1"/>
  <c r="BK88" i="1"/>
  <c r="AW45" i="53"/>
  <c r="AV45" i="53"/>
  <c r="AV103" i="1"/>
  <c r="AH51" i="53"/>
  <c r="AV94" i="1"/>
  <c r="AH53" i="53" s="1"/>
  <c r="BA96" i="1"/>
  <c r="AF99" i="1"/>
  <c r="AT55" i="53"/>
  <c r="AE99" i="1"/>
  <c r="AP92" i="1"/>
  <c r="AB49" i="53"/>
  <c r="AJ99" i="1"/>
  <c r="AJ84" i="1"/>
  <c r="V48" i="53" s="1"/>
  <c r="V46" i="53"/>
  <c r="AJ86" i="1"/>
  <c r="AJ107" i="1" s="1"/>
  <c r="AJ109" i="1" s="1"/>
  <c r="AJ122" i="1" s="1"/>
  <c r="BF99" i="1"/>
  <c r="BF243" i="1" s="1"/>
  <c r="M55" i="53"/>
  <c r="AG96" i="1"/>
  <c r="S51" i="53"/>
  <c r="AG103" i="1"/>
  <c r="N96" i="1"/>
  <c r="N94" i="1"/>
  <c r="O96" i="1"/>
  <c r="U51" i="53"/>
  <c r="AI94" i="1"/>
  <c r="U53" i="53" s="1"/>
  <c r="AI103" i="1"/>
  <c r="AN49" i="53"/>
  <c r="BB92" i="1"/>
  <c r="BG96" i="1" s="1"/>
  <c r="BF84" i="1"/>
  <c r="BF86" i="1"/>
  <c r="AR46" i="53"/>
  <c r="AF55" i="53"/>
  <c r="AF58" i="53"/>
  <c r="R46" i="53"/>
  <c r="AF84" i="1"/>
  <c r="R48" i="53" s="1"/>
  <c r="AF86" i="1"/>
  <c r="AF107" i="1" s="1"/>
  <c r="AF109" i="1" s="1"/>
  <c r="AF122" i="1" s="1"/>
  <c r="BK349" i="1"/>
  <c r="BK89" i="1" s="1"/>
  <c r="AU33" i="53"/>
  <c r="BL23" i="1"/>
  <c r="AX13" i="53"/>
  <c r="BP555" i="42"/>
  <c r="BP554" i="42"/>
  <c r="BT15" i="1"/>
  <c r="BU18" i="42"/>
  <c r="BK12" i="1"/>
  <c r="AW13" i="53" s="1"/>
  <c r="BO26" i="1"/>
  <c r="BP173" i="42"/>
  <c r="AU34" i="53"/>
  <c r="BK450" i="42"/>
  <c r="BK451" i="42" s="1"/>
  <c r="BK449" i="42"/>
  <c r="AU11" i="53"/>
  <c r="BP15" i="1"/>
  <c r="BB18" i="53" s="1"/>
  <c r="BK166" i="42"/>
  <c r="AX22" i="53"/>
  <c r="AU13" i="53"/>
  <c r="BK11" i="1"/>
  <c r="BK165" i="42"/>
  <c r="BK381" i="42"/>
  <c r="BK382" i="42" s="1"/>
  <c r="BK380" i="42"/>
  <c r="AU16" i="53"/>
  <c r="BK21" i="1"/>
  <c r="AW34" i="53" s="1"/>
  <c r="BK20" i="1"/>
  <c r="AW33" i="53" s="1"/>
  <c r="BR449" i="42"/>
  <c r="BR450" i="42"/>
  <c r="BR451" i="42" s="1"/>
  <c r="BR166" i="42"/>
  <c r="BQ450" i="42"/>
  <c r="BQ449" i="42"/>
  <c r="BQ166" i="42"/>
  <c r="BP390" i="42"/>
  <c r="BN12" i="1"/>
  <c r="BP12" i="42"/>
  <c r="BN449" i="42"/>
  <c r="BP448" i="42"/>
  <c r="BN166" i="42"/>
  <c r="BN450" i="42"/>
  <c r="BR380" i="42"/>
  <c r="BR165" i="42"/>
  <c r="BR381" i="42"/>
  <c r="BR382" i="42" s="1"/>
  <c r="BQ165" i="42"/>
  <c r="BQ380" i="42"/>
  <c r="BQ381" i="42"/>
  <c r="BT11" i="42"/>
  <c r="BT321" i="42"/>
  <c r="BO165" i="42"/>
  <c r="BO380" i="42"/>
  <c r="BO381" i="42"/>
  <c r="BO11" i="1"/>
  <c r="BP11" i="42"/>
  <c r="BN11" i="1"/>
  <c r="BN380" i="42"/>
  <c r="BP379" i="42"/>
  <c r="BN381" i="42"/>
  <c r="BN165" i="42"/>
  <c r="BP321" i="42"/>
  <c r="BQ311" i="42"/>
  <c r="BQ164" i="42"/>
  <c r="BQ312" i="42"/>
  <c r="BO10" i="1"/>
  <c r="BO312" i="42"/>
  <c r="BO313" i="42" s="1"/>
  <c r="BO164" i="42"/>
  <c r="BO311" i="42"/>
  <c r="BT252" i="42"/>
  <c r="BT10" i="42"/>
  <c r="G138" i="1" l="1"/>
  <c r="F96" i="1"/>
  <c r="H143" i="1"/>
  <c r="F312" i="1"/>
  <c r="F331" i="1"/>
  <c r="AV96" i="1"/>
  <c r="F335" i="1"/>
  <c r="AW94" i="1"/>
  <c r="AI53" i="53" s="1"/>
  <c r="F338" i="1"/>
  <c r="AW103" i="1"/>
  <c r="F334" i="1"/>
  <c r="F337" i="1"/>
  <c r="AQ17" i="1"/>
  <c r="AQ303" i="1"/>
  <c r="AQ326" i="1" s="1"/>
  <c r="AQ329" i="1" s="1"/>
  <c r="N138" i="1"/>
  <c r="N141" i="1" s="1"/>
  <c r="O140" i="1" s="1"/>
  <c r="O141" i="1" s="1"/>
  <c r="N142" i="1"/>
  <c r="AV322" i="1"/>
  <c r="AV324" i="1" s="1"/>
  <c r="V322" i="1"/>
  <c r="V324" i="1" s="1"/>
  <c r="S103" i="1"/>
  <c r="AQ322" i="1"/>
  <c r="AQ324" i="1" s="1"/>
  <c r="AA322" i="1"/>
  <c r="AA324" i="1" s="1"/>
  <c r="S94" i="1"/>
  <c r="E53" i="53" s="1"/>
  <c r="AV303" i="1"/>
  <c r="AV335" i="1" s="1"/>
  <c r="U94" i="1"/>
  <c r="G53" i="53" s="1"/>
  <c r="Q103" i="1"/>
  <c r="Q94" i="1"/>
  <c r="K138" i="1"/>
  <c r="K141" i="1" s="1"/>
  <c r="L140" i="1" s="1"/>
  <c r="L141" i="1" s="1"/>
  <c r="AL322" i="1"/>
  <c r="AL324" i="1" s="1"/>
  <c r="AL142" i="1"/>
  <c r="K142" i="1"/>
  <c r="AH228" i="1"/>
  <c r="AH242" i="1"/>
  <c r="AH270" i="1"/>
  <c r="AH271" i="1" s="1"/>
  <c r="AK242" i="1"/>
  <c r="AK228" i="1"/>
  <c r="AK270" i="1"/>
  <c r="AK271" i="1" s="1"/>
  <c r="AO228" i="1"/>
  <c r="AO242" i="1"/>
  <c r="AO270" i="1"/>
  <c r="AM270" i="1"/>
  <c r="AM242" i="1"/>
  <c r="AM228" i="1"/>
  <c r="Z96" i="1"/>
  <c r="T145" i="1"/>
  <c r="T148" i="1" s="1"/>
  <c r="T161" i="1" s="1"/>
  <c r="AA303" i="1"/>
  <c r="J326" i="1"/>
  <c r="J329" i="1" s="1"/>
  <c r="J334" i="1"/>
  <c r="J338" i="1"/>
  <c r="J335" i="1"/>
  <c r="J337" i="1"/>
  <c r="J331" i="1"/>
  <c r="J312" i="1"/>
  <c r="AG312" i="1"/>
  <c r="AG331" i="1"/>
  <c r="AG335" i="1"/>
  <c r="AG337" i="1"/>
  <c r="AG334" i="1"/>
  <c r="AG338" i="1"/>
  <c r="AG326" i="1"/>
  <c r="AG329" i="1" s="1"/>
  <c r="AT228" i="1"/>
  <c r="AT270" i="1"/>
  <c r="AT242" i="1"/>
  <c r="K303" i="1"/>
  <c r="D326" i="1"/>
  <c r="D329" i="1" s="1"/>
  <c r="D334" i="1"/>
  <c r="D338" i="1"/>
  <c r="D331" i="1"/>
  <c r="D337" i="1"/>
  <c r="D335" i="1"/>
  <c r="D312" i="1"/>
  <c r="G312" i="1"/>
  <c r="G331" i="1"/>
  <c r="G335" i="1"/>
  <c r="G337" i="1"/>
  <c r="G334" i="1"/>
  <c r="G338" i="1"/>
  <c r="G326" i="1"/>
  <c r="G329" i="1" s="1"/>
  <c r="M312" i="1"/>
  <c r="M331" i="1"/>
  <c r="M335" i="1"/>
  <c r="M337" i="1"/>
  <c r="M334" i="1"/>
  <c r="M338" i="1"/>
  <c r="M326" i="1"/>
  <c r="M329" i="1" s="1"/>
  <c r="N312" i="1"/>
  <c r="N331" i="1"/>
  <c r="N335" i="1"/>
  <c r="N337" i="1"/>
  <c r="N326" i="1"/>
  <c r="N329" i="1" s="1"/>
  <c r="N338" i="1"/>
  <c r="N334" i="1"/>
  <c r="BF107" i="1"/>
  <c r="BF299" i="1"/>
  <c r="BF336" i="1"/>
  <c r="AL270" i="1"/>
  <c r="AL271" i="1" s="1"/>
  <c r="AL228" i="1"/>
  <c r="Q326" i="1"/>
  <c r="Q329" i="1" s="1"/>
  <c r="Q334" i="1"/>
  <c r="Q338" i="1"/>
  <c r="Q312" i="1"/>
  <c r="Q337" i="1"/>
  <c r="Q335" i="1"/>
  <c r="Q331" i="1"/>
  <c r="AN228" i="1"/>
  <c r="AN270" i="1"/>
  <c r="AN242" i="1"/>
  <c r="BF301" i="1"/>
  <c r="BF320" i="1" s="1"/>
  <c r="BF300" i="1"/>
  <c r="BF319" i="1" s="1"/>
  <c r="AV270" i="1"/>
  <c r="AV228" i="1"/>
  <c r="AU228" i="1"/>
  <c r="AU242" i="1"/>
  <c r="AU270" i="1"/>
  <c r="AF225" i="1"/>
  <c r="AG225" i="1"/>
  <c r="G51" i="53"/>
  <c r="L52" i="53" s="1"/>
  <c r="AS228" i="1"/>
  <c r="AS270" i="1"/>
  <c r="AS242" i="1"/>
  <c r="K322" i="1"/>
  <c r="K324" i="1" s="1"/>
  <c r="AQ228" i="1"/>
  <c r="AQ270" i="1"/>
  <c r="L334" i="1"/>
  <c r="L338" i="1"/>
  <c r="L326" i="1"/>
  <c r="L329" i="1" s="1"/>
  <c r="L337" i="1"/>
  <c r="L335" i="1"/>
  <c r="L312" i="1"/>
  <c r="L331" i="1"/>
  <c r="AV331" i="1"/>
  <c r="AE225" i="1"/>
  <c r="BZ307" i="1"/>
  <c r="BZ309" i="1" s="1"/>
  <c r="BZ310" i="1" s="1"/>
  <c r="BZ314" i="1"/>
  <c r="AL138" i="1"/>
  <c r="AJ242" i="1"/>
  <c r="AJ228" i="1"/>
  <c r="AJ270" i="1"/>
  <c r="AJ271" i="1" s="1"/>
  <c r="AI228" i="1"/>
  <c r="AI242" i="1"/>
  <c r="AI270" i="1"/>
  <c r="AI271" i="1" s="1"/>
  <c r="AR228" i="1"/>
  <c r="AR270" i="1"/>
  <c r="AR242" i="1"/>
  <c r="BU315" i="1"/>
  <c r="AL303" i="1"/>
  <c r="AP242" i="1"/>
  <c r="AP228" i="1"/>
  <c r="AP270" i="1"/>
  <c r="V303" i="1"/>
  <c r="BG179" i="1"/>
  <c r="BG168" i="1"/>
  <c r="BK138" i="1"/>
  <c r="BK142" i="1"/>
  <c r="C143" i="1"/>
  <c r="D140" i="1"/>
  <c r="V138" i="1"/>
  <c r="V142" i="1"/>
  <c r="H58" i="53" s="1"/>
  <c r="S179" i="1"/>
  <c r="S181" i="1" s="1"/>
  <c r="S168" i="1"/>
  <c r="O143" i="1"/>
  <c r="P140" i="1"/>
  <c r="P141" i="1" s="1"/>
  <c r="F140" i="1"/>
  <c r="F141" i="1" s="1"/>
  <c r="E143" i="1"/>
  <c r="D142" i="1"/>
  <c r="D138" i="1"/>
  <c r="AX145" i="1"/>
  <c r="AW148" i="1"/>
  <c r="AW161" i="1" s="1"/>
  <c r="X145" i="1"/>
  <c r="W148" i="1"/>
  <c r="W161" i="1" s="1"/>
  <c r="AF142" i="1"/>
  <c r="AF138" i="1"/>
  <c r="I141" i="1"/>
  <c r="AW138" i="1"/>
  <c r="AW142" i="1"/>
  <c r="AI58" i="53" s="1"/>
  <c r="W142" i="1"/>
  <c r="W138" i="1"/>
  <c r="AJ142" i="1"/>
  <c r="AJ138" i="1"/>
  <c r="AE142" i="1"/>
  <c r="AE138" i="1"/>
  <c r="AD142" i="1"/>
  <c r="AD138" i="1"/>
  <c r="AC93" i="1"/>
  <c r="AG93" i="1" s="1"/>
  <c r="AC107" i="1"/>
  <c r="AC145" i="1"/>
  <c r="BC145" i="1"/>
  <c r="BB148" i="1"/>
  <c r="BB161" i="1" s="1"/>
  <c r="AQ138" i="1"/>
  <c r="AQ141" i="1" s="1"/>
  <c r="AQ142" i="1"/>
  <c r="AC58" i="53" s="1"/>
  <c r="Q142" i="1"/>
  <c r="Q138" i="1"/>
  <c r="BI145" i="1"/>
  <c r="BH148" i="1"/>
  <c r="BH161" i="1" s="1"/>
  <c r="BG138" i="1"/>
  <c r="BG142" i="1"/>
  <c r="AS58" i="53" s="1"/>
  <c r="BB122" i="1"/>
  <c r="BF109" i="1"/>
  <c r="BF122" i="1" s="1"/>
  <c r="BF317" i="1" s="1"/>
  <c r="CX13" i="42"/>
  <c r="CX13" i="1" s="1"/>
  <c r="CJ15" i="53" s="1"/>
  <c r="DC458" i="42"/>
  <c r="DH458" i="42" s="1"/>
  <c r="CX409" i="42"/>
  <c r="DC408" i="42"/>
  <c r="DH408" i="42" s="1"/>
  <c r="AU94" i="1"/>
  <c r="AG53" i="53" s="1"/>
  <c r="D96" i="1"/>
  <c r="E96" i="1"/>
  <c r="AB14" i="1"/>
  <c r="N16" i="53" s="1"/>
  <c r="CI486" i="42"/>
  <c r="CM15" i="1"/>
  <c r="CL173" i="42"/>
  <c r="AL178" i="42"/>
  <c r="AQ94" i="1"/>
  <c r="AC53" i="53" s="1"/>
  <c r="AQ96" i="1"/>
  <c r="AL96" i="1"/>
  <c r="Y96" i="1"/>
  <c r="AC51" i="53"/>
  <c r="AH52" i="53" s="1"/>
  <c r="H51" i="53"/>
  <c r="M52" i="53" s="1"/>
  <c r="AU103" i="1"/>
  <c r="O49" i="53"/>
  <c r="V94" i="1"/>
  <c r="H53" i="53" s="1"/>
  <c r="CV65" i="1"/>
  <c r="DA65" i="1" s="1"/>
  <c r="DF65" i="1" s="1"/>
  <c r="CY353" i="1"/>
  <c r="DD353" i="1" s="1"/>
  <c r="DI353" i="1" s="1"/>
  <c r="CV458" i="42"/>
  <c r="DA458" i="42" s="1"/>
  <c r="AN178" i="42"/>
  <c r="CV339" i="42"/>
  <c r="CQ402" i="42"/>
  <c r="CV401" i="42"/>
  <c r="CW15" i="1"/>
  <c r="CI18" i="53" s="1"/>
  <c r="CU13" i="1"/>
  <c r="AV171" i="42"/>
  <c r="F51" i="53"/>
  <c r="K52" i="53" s="1"/>
  <c r="T103" i="1"/>
  <c r="V103" i="1"/>
  <c r="V96" i="1"/>
  <c r="BN18" i="53"/>
  <c r="BS18" i="53"/>
  <c r="BN15" i="53"/>
  <c r="AN135" i="42"/>
  <c r="AN141" i="42" s="1"/>
  <c r="AJ141" i="42"/>
  <c r="AS141" i="42"/>
  <c r="AX141" i="42"/>
  <c r="AU141" i="42"/>
  <c r="BE141" i="42"/>
  <c r="AI141" i="42"/>
  <c r="BB141" i="42"/>
  <c r="AO141" i="42"/>
  <c r="BC141" i="42"/>
  <c r="AZ141" i="42"/>
  <c r="BS14" i="53"/>
  <c r="CI13" i="1"/>
  <c r="CF48" i="42"/>
  <c r="CH15" i="1"/>
  <c r="CI15" i="1"/>
  <c r="AT135" i="42"/>
  <c r="AQ134" i="42"/>
  <c r="AV135" i="42" s="1"/>
  <c r="AQ21" i="42"/>
  <c r="AQ23" i="42" s="1"/>
  <c r="BH141" i="42"/>
  <c r="AA178" i="42"/>
  <c r="AQ177" i="42"/>
  <c r="AQ178" i="42" s="1"/>
  <c r="AV22" i="42"/>
  <c r="BG141" i="42"/>
  <c r="BA135" i="42"/>
  <c r="BF178" i="42"/>
  <c r="BA23" i="42"/>
  <c r="AM22" i="53"/>
  <c r="AL135" i="42"/>
  <c r="CE411" i="42"/>
  <c r="CD100" i="1"/>
  <c r="CD99" i="1" s="1"/>
  <c r="CE101" i="1"/>
  <c r="BZ257" i="42"/>
  <c r="BZ261" i="42" s="1"/>
  <c r="CE258" i="42"/>
  <c r="CE257" i="42"/>
  <c r="BK15" i="53"/>
  <c r="CE327" i="42"/>
  <c r="CE326" i="42"/>
  <c r="BZ395" i="42"/>
  <c r="BZ399" i="42" s="1"/>
  <c r="CE396" i="42"/>
  <c r="CE395" i="42"/>
  <c r="CE485" i="42"/>
  <c r="BQ19" i="53" s="1"/>
  <c r="CE484" i="42"/>
  <c r="BK18" i="53"/>
  <c r="CR15" i="1"/>
  <c r="BZ402" i="42"/>
  <c r="BZ406" i="42" s="1"/>
  <c r="CE403" i="42"/>
  <c r="CE402" i="42"/>
  <c r="CE341" i="42"/>
  <c r="CE340" i="42"/>
  <c r="CS13" i="42"/>
  <c r="CS409" i="42"/>
  <c r="CS411" i="42" s="1"/>
  <c r="BZ486" i="42"/>
  <c r="BZ333" i="42"/>
  <c r="BZ337" i="42" s="1"/>
  <c r="BZ340" i="42"/>
  <c r="BZ342" i="42" s="1"/>
  <c r="BS382" i="42"/>
  <c r="BZ326" i="42"/>
  <c r="BZ330" i="42" s="1"/>
  <c r="AR43" i="53"/>
  <c r="AR44" i="53" s="1"/>
  <c r="AC92" i="1"/>
  <c r="AC96" i="1" s="1"/>
  <c r="C94" i="1"/>
  <c r="BJ18" i="53"/>
  <c r="BJ15" i="53"/>
  <c r="BJ39" i="53"/>
  <c r="CM554" i="42"/>
  <c r="CC173" i="42"/>
  <c r="CC26" i="1" s="1"/>
  <c r="X96" i="1"/>
  <c r="J51" i="53"/>
  <c r="J52" i="53" s="1"/>
  <c r="X94" i="1"/>
  <c r="J53" i="53" s="1"/>
  <c r="X103" i="1"/>
  <c r="AA135" i="42"/>
  <c r="AL94" i="1"/>
  <c r="X53" i="53" s="1"/>
  <c r="X51" i="53"/>
  <c r="AL103" i="1"/>
  <c r="AK103" i="1"/>
  <c r="AK94" i="1"/>
  <c r="W53" i="53" s="1"/>
  <c r="BZ411" i="42"/>
  <c r="CJ458" i="42"/>
  <c r="CI340" i="42"/>
  <c r="CI342" i="42" s="1"/>
  <c r="CF395" i="42"/>
  <c r="CF399" i="42" s="1"/>
  <c r="BW14" i="53"/>
  <c r="CF409" i="42"/>
  <c r="CF411" i="42" s="1"/>
  <c r="CF402" i="42"/>
  <c r="CF406" i="42" s="1"/>
  <c r="BX14" i="53"/>
  <c r="BX12" i="53"/>
  <c r="CF333" i="42"/>
  <c r="CF337" i="42" s="1"/>
  <c r="CF340" i="42"/>
  <c r="CF342" i="42" s="1"/>
  <c r="CF264" i="42"/>
  <c r="CF268" i="42" s="1"/>
  <c r="CF257" i="42"/>
  <c r="CF261" i="42" s="1"/>
  <c r="BW10" i="53"/>
  <c r="CK257" i="42"/>
  <c r="CK261" i="42" s="1"/>
  <c r="CF271" i="42"/>
  <c r="CF273" i="42" s="1"/>
  <c r="CN484" i="42"/>
  <c r="CN18" i="42"/>
  <c r="CN13" i="42"/>
  <c r="CN409" i="42"/>
  <c r="CN411" i="42" s="1"/>
  <c r="CI402" i="42"/>
  <c r="CI406" i="42" s="1"/>
  <c r="CX401" i="42"/>
  <c r="CI264" i="42"/>
  <c r="CI268" i="42" s="1"/>
  <c r="CX263" i="42"/>
  <c r="BQ451" i="42"/>
  <c r="BV451" i="42"/>
  <c r="AG178" i="42"/>
  <c r="BQ382" i="42"/>
  <c r="BV382" i="42"/>
  <c r="BQ313" i="42"/>
  <c r="BV313" i="42"/>
  <c r="BS12" i="53"/>
  <c r="CA100" i="1"/>
  <c r="CB100" i="1"/>
  <c r="BD13" i="53"/>
  <c r="BX12" i="42"/>
  <c r="BX321" i="42"/>
  <c r="BW392" i="42"/>
  <c r="BW323" i="42"/>
  <c r="BI18" i="53"/>
  <c r="CG555" i="42"/>
  <c r="CL556" i="42" s="1"/>
  <c r="CG554" i="42"/>
  <c r="CG173" i="42"/>
  <c r="BI15" i="53"/>
  <c r="CG13" i="1"/>
  <c r="BI13" i="53"/>
  <c r="BV15" i="1"/>
  <c r="BH18" i="53" s="1"/>
  <c r="BZ18" i="42"/>
  <c r="CJ401" i="42"/>
  <c r="CO403" i="42" s="1"/>
  <c r="CF12" i="42"/>
  <c r="CA326" i="42"/>
  <c r="CA330" i="42" s="1"/>
  <c r="CG271" i="42"/>
  <c r="CG273" i="42" s="1"/>
  <c r="CG264" i="42"/>
  <c r="CG268" i="42" s="1"/>
  <c r="CG333" i="42"/>
  <c r="CG337" i="42" s="1"/>
  <c r="CG326" i="42"/>
  <c r="CG330" i="42" s="1"/>
  <c r="CG409" i="42"/>
  <c r="CG411" i="42" s="1"/>
  <c r="CG395" i="42"/>
  <c r="CG399" i="42" s="1"/>
  <c r="BP323" i="42"/>
  <c r="BO451" i="42"/>
  <c r="BT451" i="42"/>
  <c r="BO382" i="42"/>
  <c r="BT382" i="42"/>
  <c r="BN451" i="42"/>
  <c r="BS451" i="42"/>
  <c r="R44" i="53"/>
  <c r="AI23" i="53"/>
  <c r="L96" i="1"/>
  <c r="K94" i="1"/>
  <c r="G94" i="1"/>
  <c r="G96" i="1"/>
  <c r="BT392" i="42"/>
  <c r="BU392" i="42" s="1"/>
  <c r="BT323" i="42"/>
  <c r="BU323" i="42" s="1"/>
  <c r="BT254" i="42"/>
  <c r="BF18" i="53"/>
  <c r="BP392" i="42"/>
  <c r="BE39" i="53"/>
  <c r="BZ484" i="42"/>
  <c r="BD39" i="53"/>
  <c r="BD11" i="53"/>
  <c r="BD9" i="53"/>
  <c r="BO18" i="53"/>
  <c r="BI10" i="53"/>
  <c r="BW257" i="42"/>
  <c r="BW261" i="42" s="1"/>
  <c r="BV173" i="42"/>
  <c r="BC13" i="53"/>
  <c r="BC11" i="53"/>
  <c r="BC9" i="53"/>
  <c r="CB173" i="42"/>
  <c r="BW26" i="1"/>
  <c r="CA484" i="42"/>
  <c r="BM19" i="53"/>
  <c r="BM12" i="53"/>
  <c r="BQ23" i="1"/>
  <c r="BV166" i="42"/>
  <c r="BO14" i="53"/>
  <c r="BR23" i="1"/>
  <c r="BW449" i="42"/>
  <c r="CB12" i="42"/>
  <c r="CB390" i="42"/>
  <c r="CA390" i="42"/>
  <c r="CA12" i="42"/>
  <c r="BM14" i="53"/>
  <c r="BR22" i="1"/>
  <c r="BW11" i="1"/>
  <c r="BW381" i="42"/>
  <c r="CB321" i="42"/>
  <c r="CB11" i="42"/>
  <c r="BQ22" i="1"/>
  <c r="BO12" i="53"/>
  <c r="BM10" i="53"/>
  <c r="BQ21" i="1"/>
  <c r="BR21" i="1"/>
  <c r="BU15" i="1"/>
  <c r="BG18" i="53" s="1"/>
  <c r="BL19" i="53"/>
  <c r="CD15" i="1"/>
  <c r="BZ13" i="1"/>
  <c r="BL15" i="53" s="1"/>
  <c r="CD13" i="1"/>
  <c r="BP14" i="53"/>
  <c r="BG14" i="53"/>
  <c r="BT12" i="1"/>
  <c r="BP12" i="53"/>
  <c r="BG12" i="53"/>
  <c r="BT11" i="1"/>
  <c r="BY11" i="42"/>
  <c r="CD264" i="42"/>
  <c r="CD268" i="42" s="1"/>
  <c r="BT10" i="1"/>
  <c r="V44" i="53"/>
  <c r="U44" i="53"/>
  <c r="AD24" i="53"/>
  <c r="AR61" i="1"/>
  <c r="AR76" i="1"/>
  <c r="AR133" i="42"/>
  <c r="AR134" i="42" s="1"/>
  <c r="AW135" i="42" s="1"/>
  <c r="BA39" i="53"/>
  <c r="BA13" i="53"/>
  <c r="BA36" i="53"/>
  <c r="BA11" i="53"/>
  <c r="BA9" i="53"/>
  <c r="BN382" i="42"/>
  <c r="AZ13" i="53"/>
  <c r="AZ11" i="53"/>
  <c r="BY321" i="42"/>
  <c r="BW450" i="42"/>
  <c r="BW166" i="42"/>
  <c r="AY35" i="53"/>
  <c r="AY34" i="53"/>
  <c r="BZ320" i="42"/>
  <c r="BX11" i="42"/>
  <c r="AR24" i="53"/>
  <c r="BF133" i="42"/>
  <c r="BF134" i="42" s="1"/>
  <c r="BF135" i="42" s="1"/>
  <c r="BF61" i="1"/>
  <c r="AR23" i="53"/>
  <c r="BF66" i="1"/>
  <c r="BW380" i="42"/>
  <c r="BZ389" i="42"/>
  <c r="BX390" i="42"/>
  <c r="BT166" i="42"/>
  <c r="BV165" i="42"/>
  <c r="AS53" i="53"/>
  <c r="AX36" i="53"/>
  <c r="AX35" i="53"/>
  <c r="AX34" i="53"/>
  <c r="BW165" i="42"/>
  <c r="BV164" i="42"/>
  <c r="L58" i="53"/>
  <c r="L55" i="53"/>
  <c r="F58" i="53"/>
  <c r="F55" i="53"/>
  <c r="H55" i="53"/>
  <c r="AG58" i="53"/>
  <c r="AG55" i="53"/>
  <c r="AC55" i="53"/>
  <c r="W103" i="1"/>
  <c r="W94" i="1"/>
  <c r="I53" i="53" s="1"/>
  <c r="I51" i="53"/>
  <c r="I52" i="53" s="1"/>
  <c r="W96" i="1"/>
  <c r="P49" i="53"/>
  <c r="AD92" i="1"/>
  <c r="BY12" i="42"/>
  <c r="BY390" i="42"/>
  <c r="BV10" i="1"/>
  <c r="BH9" i="53" s="1"/>
  <c r="BZ322" i="42"/>
  <c r="BV11" i="1"/>
  <c r="BH11" i="53" s="1"/>
  <c r="BZ391" i="42"/>
  <c r="BV12" i="1"/>
  <c r="BH13" i="53" s="1"/>
  <c r="AZ96" i="1"/>
  <c r="AZ94" i="1"/>
  <c r="AL53" i="53" s="1"/>
  <c r="AZ103" i="1"/>
  <c r="AL51" i="53"/>
  <c r="AL52" i="53" s="1"/>
  <c r="AI55" i="53"/>
  <c r="AJ51" i="53"/>
  <c r="AJ52" i="53" s="1"/>
  <c r="AX103" i="1"/>
  <c r="AX94" i="1"/>
  <c r="AJ53" i="53" s="1"/>
  <c r="K55" i="53"/>
  <c r="K58" i="53"/>
  <c r="G55" i="53"/>
  <c r="G58" i="53"/>
  <c r="AQ58" i="53"/>
  <c r="AQ55" i="53"/>
  <c r="AP55" i="53"/>
  <c r="AP58" i="53"/>
  <c r="AQ53" i="53"/>
  <c r="AO94" i="1"/>
  <c r="AA53" i="53" s="1"/>
  <c r="AT96" i="1"/>
  <c r="AA51" i="53"/>
  <c r="AF52" i="53" s="1"/>
  <c r="AO103" i="1"/>
  <c r="AD23" i="53"/>
  <c r="AM66" i="1"/>
  <c r="AR66" i="1"/>
  <c r="AV36" i="53"/>
  <c r="AV35" i="53"/>
  <c r="Y24" i="53"/>
  <c r="AM76" i="1"/>
  <c r="AM133" i="42"/>
  <c r="AM134" i="42" s="1"/>
  <c r="AM61" i="1"/>
  <c r="BA178" i="42"/>
  <c r="AH133" i="42"/>
  <c r="AH134" i="42" s="1"/>
  <c r="AH135" i="42" s="1"/>
  <c r="T24" i="53"/>
  <c r="AH76" i="1"/>
  <c r="AH61" i="1"/>
  <c r="AW22" i="53"/>
  <c r="Y23" i="53"/>
  <c r="AM74" i="1"/>
  <c r="AR74" i="1"/>
  <c r="AH66" i="1"/>
  <c r="AM70" i="1"/>
  <c r="AR70" i="1"/>
  <c r="T23" i="53"/>
  <c r="Z52" i="53"/>
  <c r="BK21" i="42"/>
  <c r="BK23" i="42" s="1"/>
  <c r="AV16" i="53"/>
  <c r="BA17" i="53"/>
  <c r="AR48" i="53"/>
  <c r="AH58" i="53"/>
  <c r="AH55" i="53"/>
  <c r="AS55" i="53"/>
  <c r="AV50" i="53"/>
  <c r="AE92" i="1"/>
  <c r="Q49" i="53"/>
  <c r="R49" i="53"/>
  <c r="AF92" i="1"/>
  <c r="AE55" i="53"/>
  <c r="AE58" i="53"/>
  <c r="AK55" i="53"/>
  <c r="AK58" i="53"/>
  <c r="BP358" i="1"/>
  <c r="BP355" i="1"/>
  <c r="AU50" i="53"/>
  <c r="V49" i="53"/>
  <c r="AJ92" i="1"/>
  <c r="AE52" i="53"/>
  <c r="BB96" i="1"/>
  <c r="BB103" i="1"/>
  <c r="AN51" i="53"/>
  <c r="AN52" i="53" s="1"/>
  <c r="BB94" i="1"/>
  <c r="AN53" i="53" s="1"/>
  <c r="S52" i="53"/>
  <c r="AP96" i="1"/>
  <c r="AB51" i="53"/>
  <c r="AP103" i="1"/>
  <c r="AP94" i="1"/>
  <c r="AB53" i="53" s="1"/>
  <c r="AU96" i="1"/>
  <c r="U58" i="53"/>
  <c r="U55" i="53"/>
  <c r="S40" i="53"/>
  <c r="AG28" i="1"/>
  <c r="BC96" i="1"/>
  <c r="AO51" i="53"/>
  <c r="BC103" i="1"/>
  <c r="BC94" i="1"/>
  <c r="AO53" i="53" s="1"/>
  <c r="BH96" i="1"/>
  <c r="BK350" i="1"/>
  <c r="AM52" i="53"/>
  <c r="Z58" i="53"/>
  <c r="Z55" i="53"/>
  <c r="BF92" i="1"/>
  <c r="AR49" i="53"/>
  <c r="W58" i="53"/>
  <c r="W55" i="53"/>
  <c r="AK52" i="53"/>
  <c r="AP52" i="53"/>
  <c r="AU36" i="53"/>
  <c r="BP26" i="1"/>
  <c r="BB39" i="53" s="1"/>
  <c r="BK23" i="1"/>
  <c r="AW36" i="53" s="1"/>
  <c r="AU35" i="53"/>
  <c r="BP556" i="42"/>
  <c r="AW11" i="53"/>
  <c r="BK14" i="1"/>
  <c r="BK22" i="1"/>
  <c r="AW35" i="53" s="1"/>
  <c r="BP166" i="42"/>
  <c r="BN23" i="1"/>
  <c r="BP450" i="42"/>
  <c r="BP451" i="42" s="1"/>
  <c r="BP449" i="42"/>
  <c r="BP12" i="1"/>
  <c r="BB13" i="53" s="1"/>
  <c r="BU448" i="42"/>
  <c r="BU12" i="42"/>
  <c r="BT165" i="42"/>
  <c r="BO22" i="1"/>
  <c r="BP165" i="42"/>
  <c r="BN22" i="1"/>
  <c r="BU11" i="42"/>
  <c r="BP381" i="42"/>
  <c r="BP382" i="42" s="1"/>
  <c r="BP380" i="42"/>
  <c r="BP11" i="1"/>
  <c r="BB11" i="53" s="1"/>
  <c r="BO21" i="1"/>
  <c r="AQ337" i="1" l="1"/>
  <c r="AQ312" i="1"/>
  <c r="AQ335" i="1"/>
  <c r="AQ338" i="1"/>
  <c r="AQ334" i="1"/>
  <c r="AQ331" i="1"/>
  <c r="AV337" i="1"/>
  <c r="DA13" i="42"/>
  <c r="DA13" i="1" s="1"/>
  <c r="CM15" i="53" s="1"/>
  <c r="DF458" i="42"/>
  <c r="DF13" i="42" s="1"/>
  <c r="DF13" i="1" s="1"/>
  <c r="CR15" i="53" s="1"/>
  <c r="CG15" i="53"/>
  <c r="DE353" i="1"/>
  <c r="DH353" i="1"/>
  <c r="DG353" i="1"/>
  <c r="DF353" i="1"/>
  <c r="DH409" i="42"/>
  <c r="DH13" i="42"/>
  <c r="N143" i="1"/>
  <c r="CD18" i="53"/>
  <c r="AV338" i="1"/>
  <c r="K143" i="1"/>
  <c r="AV334" i="1"/>
  <c r="AV312" i="1"/>
  <c r="AV326" i="1"/>
  <c r="AV329" i="1" s="1"/>
  <c r="CV553" i="42"/>
  <c r="CV554" i="42" s="1"/>
  <c r="CQ173" i="42"/>
  <c r="CQ26" i="1" s="1"/>
  <c r="CJ459" i="42"/>
  <c r="CC15" i="53"/>
  <c r="AB17" i="1"/>
  <c r="AQ271" i="1"/>
  <c r="AM271" i="1"/>
  <c r="V326" i="1"/>
  <c r="V329" i="1" s="1"/>
  <c r="V334" i="1"/>
  <c r="V338" i="1"/>
  <c r="V331" i="1"/>
  <c r="V312" i="1"/>
  <c r="V337" i="1"/>
  <c r="V335" i="1"/>
  <c r="AO271" i="1"/>
  <c r="AU271" i="1"/>
  <c r="AZ271" i="1"/>
  <c r="AV271" i="1"/>
  <c r="BA271" i="1"/>
  <c r="AP271" i="1"/>
  <c r="AR271" i="1"/>
  <c r="AW271" i="1"/>
  <c r="AX271" i="1"/>
  <c r="AS271" i="1"/>
  <c r="U145" i="1"/>
  <c r="U148" i="1" s="1"/>
  <c r="U161" i="1" s="1"/>
  <c r="U179" i="1" s="1"/>
  <c r="U181" i="1" s="1"/>
  <c r="AL337" i="1"/>
  <c r="AL312" i="1"/>
  <c r="AL331" i="1"/>
  <c r="AL335" i="1"/>
  <c r="AL338" i="1"/>
  <c r="AL334" i="1"/>
  <c r="AL326" i="1"/>
  <c r="AL329" i="1" s="1"/>
  <c r="AY271" i="1"/>
  <c r="AT271" i="1"/>
  <c r="CE307" i="1"/>
  <c r="CE309" i="1" s="1"/>
  <c r="CE310" i="1" s="1"/>
  <c r="CE314" i="1"/>
  <c r="BF322" i="1"/>
  <c r="BF324" i="1" s="1"/>
  <c r="AN271" i="1"/>
  <c r="BF303" i="1"/>
  <c r="K326" i="1"/>
  <c r="K329" i="1" s="1"/>
  <c r="K334" i="1"/>
  <c r="K338" i="1"/>
  <c r="K312" i="1"/>
  <c r="K335" i="1"/>
  <c r="K331" i="1"/>
  <c r="K337" i="1"/>
  <c r="AA312" i="1"/>
  <c r="AA331" i="1"/>
  <c r="AA335" i="1"/>
  <c r="AA337" i="1"/>
  <c r="AA326" i="1"/>
  <c r="AA329" i="1" s="1"/>
  <c r="AA338" i="1"/>
  <c r="AA334" i="1"/>
  <c r="BZ315" i="1"/>
  <c r="AG108" i="1"/>
  <c r="AG109" i="1" s="1"/>
  <c r="AG122" i="1" s="1"/>
  <c r="AG317" i="1" s="1"/>
  <c r="AG322" i="1" s="1"/>
  <c r="AG324" i="1" s="1"/>
  <c r="BF138" i="1"/>
  <c r="BF142" i="1"/>
  <c r="BH179" i="1"/>
  <c r="BH168" i="1"/>
  <c r="AQ143" i="1"/>
  <c r="AR140" i="1"/>
  <c r="AV140" i="1"/>
  <c r="AV141" i="1" s="1"/>
  <c r="BB142" i="1"/>
  <c r="AN58" i="53" s="1"/>
  <c r="BB138" i="1"/>
  <c r="BJ145" i="1"/>
  <c r="BJ148" i="1" s="1"/>
  <c r="BJ161" i="1" s="1"/>
  <c r="BI148" i="1"/>
  <c r="BI161" i="1" s="1"/>
  <c r="BB168" i="1"/>
  <c r="BB179" i="1"/>
  <c r="W179" i="1"/>
  <c r="W181" i="1" s="1"/>
  <c r="W168" i="1"/>
  <c r="BD145" i="1"/>
  <c r="BE145" i="1" s="1"/>
  <c r="BE148" i="1" s="1"/>
  <c r="BE161" i="1" s="1"/>
  <c r="BC148" i="1"/>
  <c r="BC161" i="1" s="1"/>
  <c r="Y145" i="1"/>
  <c r="X148" i="1"/>
  <c r="X161" i="1" s="1"/>
  <c r="F143" i="1"/>
  <c r="G140" i="1"/>
  <c r="G141" i="1" s="1"/>
  <c r="G143" i="1" s="1"/>
  <c r="M140" i="1"/>
  <c r="M141" i="1" s="1"/>
  <c r="M143" i="1" s="1"/>
  <c r="L143" i="1"/>
  <c r="AD145" i="1"/>
  <c r="AW168" i="1"/>
  <c r="AW179" i="1"/>
  <c r="Q140" i="1"/>
  <c r="Q141" i="1" s="1"/>
  <c r="P143" i="1"/>
  <c r="J140" i="1"/>
  <c r="J141" i="1" s="1"/>
  <c r="J143" i="1" s="1"/>
  <c r="I143" i="1"/>
  <c r="AX148" i="1"/>
  <c r="AX161" i="1" s="1"/>
  <c r="AY145" i="1"/>
  <c r="AC108" i="1"/>
  <c r="AC109" i="1" s="1"/>
  <c r="AC122" i="1" s="1"/>
  <c r="AC146" i="1"/>
  <c r="AD146" i="1" s="1"/>
  <c r="AE146" i="1" s="1"/>
  <c r="AF146" i="1" s="1"/>
  <c r="D141" i="1"/>
  <c r="D143" i="1" s="1"/>
  <c r="T179" i="1"/>
  <c r="T181" i="1" s="1"/>
  <c r="T168" i="1"/>
  <c r="CV340" i="42"/>
  <c r="DA339" i="42"/>
  <c r="CV402" i="42"/>
  <c r="DA401" i="42"/>
  <c r="CN486" i="42"/>
  <c r="CZ353" i="1"/>
  <c r="DC353" i="1"/>
  <c r="DB353" i="1"/>
  <c r="DA353" i="1"/>
  <c r="DC13" i="42"/>
  <c r="DC409" i="42"/>
  <c r="CX402" i="42"/>
  <c r="DC401" i="42"/>
  <c r="DH401" i="42" s="1"/>
  <c r="CX264" i="42"/>
  <c r="DC263" i="42"/>
  <c r="DH263" i="42" s="1"/>
  <c r="AC52" i="53"/>
  <c r="BY18" i="53"/>
  <c r="CL26" i="1"/>
  <c r="CK100" i="1"/>
  <c r="CK99" i="1" s="1"/>
  <c r="O51" i="53"/>
  <c r="O52" i="53" s="1"/>
  <c r="X52" i="53"/>
  <c r="CX353" i="1"/>
  <c r="CU353" i="1"/>
  <c r="CV353" i="1"/>
  <c r="CW353" i="1"/>
  <c r="CV332" i="42"/>
  <c r="CQ409" i="42"/>
  <c r="CV408" i="42"/>
  <c r="AH22" i="53"/>
  <c r="CZ483" i="42"/>
  <c r="DE483" i="42" s="1"/>
  <c r="CV13" i="42"/>
  <c r="CV263" i="42"/>
  <c r="CV270" i="42"/>
  <c r="CG556" i="42"/>
  <c r="BX12" i="1"/>
  <c r="BJ13" i="53" s="1"/>
  <c r="BS15" i="53"/>
  <c r="BU18" i="53"/>
  <c r="BU15" i="53"/>
  <c r="BT18" i="53"/>
  <c r="CG11" i="42"/>
  <c r="BA141" i="42"/>
  <c r="AL141" i="42"/>
  <c r="AT141" i="42"/>
  <c r="AV141" i="42"/>
  <c r="AW141" i="42"/>
  <c r="AH141" i="42"/>
  <c r="CA392" i="42"/>
  <c r="BT14" i="53"/>
  <c r="CA486" i="42"/>
  <c r="CE486" i="42" s="1"/>
  <c r="BU14" i="53"/>
  <c r="CG26" i="1"/>
  <c r="CH13" i="1"/>
  <c r="CH26" i="1"/>
  <c r="AV178" i="42"/>
  <c r="AV23" i="42"/>
  <c r="AQ135" i="42"/>
  <c r="BZ15" i="1"/>
  <c r="BL18" i="53" s="1"/>
  <c r="BF141" i="42"/>
  <c r="CE406" i="42"/>
  <c r="CE399" i="42"/>
  <c r="CE330" i="42"/>
  <c r="CE342" i="42"/>
  <c r="CH100" i="1"/>
  <c r="CJ101" i="1"/>
  <c r="CF100" i="1"/>
  <c r="CL100" i="1"/>
  <c r="CI100" i="1"/>
  <c r="CM100" i="1"/>
  <c r="CO101" i="1"/>
  <c r="CG100" i="1"/>
  <c r="CN100" i="1"/>
  <c r="CK271" i="42"/>
  <c r="CK273" i="42" s="1"/>
  <c r="CM13" i="42"/>
  <c r="CW458" i="42"/>
  <c r="CE261" i="42"/>
  <c r="CM173" i="42"/>
  <c r="CE322" i="42"/>
  <c r="CE321" i="42"/>
  <c r="CE12" i="42"/>
  <c r="CE391" i="42"/>
  <c r="CE390" i="42"/>
  <c r="CB10" i="53"/>
  <c r="CK333" i="42"/>
  <c r="CK337" i="42" s="1"/>
  <c r="CK409" i="42"/>
  <c r="CK411" i="42" s="1"/>
  <c r="CK340" i="42"/>
  <c r="CK342" i="42" s="1"/>
  <c r="CK402" i="42"/>
  <c r="CK406" i="42" s="1"/>
  <c r="CK395" i="42"/>
  <c r="CK399" i="42" s="1"/>
  <c r="CB14" i="53"/>
  <c r="BP15" i="53"/>
  <c r="CS13" i="1"/>
  <c r="BP18" i="53"/>
  <c r="CS402" i="42"/>
  <c r="CS406" i="42" s="1"/>
  <c r="CS264" i="42"/>
  <c r="CM555" i="42"/>
  <c r="CR556" i="42" s="1"/>
  <c r="AC94" i="1"/>
  <c r="O53" i="53" s="1"/>
  <c r="AC103" i="1"/>
  <c r="X58" i="53"/>
  <c r="X55" i="53"/>
  <c r="J58" i="53"/>
  <c r="J55" i="53"/>
  <c r="CB392" i="42"/>
  <c r="CB323" i="42"/>
  <c r="BW451" i="42"/>
  <c r="CB451" i="42"/>
  <c r="BW382" i="42"/>
  <c r="CB382" i="42"/>
  <c r="CO458" i="42"/>
  <c r="CJ339" i="42"/>
  <c r="CO341" i="42" s="1"/>
  <c r="CA321" i="42"/>
  <c r="CK15" i="1"/>
  <c r="CJ13" i="42"/>
  <c r="CO483" i="42"/>
  <c r="CA11" i="42"/>
  <c r="CO408" i="42"/>
  <c r="CF326" i="42"/>
  <c r="CF330" i="42" s="1"/>
  <c r="BW12" i="53"/>
  <c r="BY392" i="42"/>
  <c r="BY323" i="42"/>
  <c r="CN15" i="1"/>
  <c r="CN13" i="1"/>
  <c r="CO410" i="42"/>
  <c r="CN402" i="42"/>
  <c r="CN406" i="42" s="1"/>
  <c r="CO401" i="42"/>
  <c r="CI326" i="42"/>
  <c r="CI330" i="42" s="1"/>
  <c r="CN264" i="42"/>
  <c r="CN268" i="42" s="1"/>
  <c r="CI257" i="42"/>
  <c r="CI261" i="42" s="1"/>
  <c r="BT12" i="53"/>
  <c r="CF12" i="1"/>
  <c r="BX392" i="42"/>
  <c r="BX323" i="42"/>
  <c r="BZ390" i="42"/>
  <c r="BI39" i="53"/>
  <c r="BI11" i="53"/>
  <c r="BR12" i="53"/>
  <c r="CJ325" i="42"/>
  <c r="CJ326" i="42" s="1"/>
  <c r="CG321" i="42"/>
  <c r="BV26" i="1"/>
  <c r="BH39" i="53" s="1"/>
  <c r="CF555" i="42"/>
  <c r="CK556" i="42" s="1"/>
  <c r="CF484" i="42"/>
  <c r="CJ483" i="42"/>
  <c r="CF18" i="42"/>
  <c r="CJ485" i="42"/>
  <c r="CF390" i="42"/>
  <c r="CB257" i="42"/>
  <c r="CB261" i="42" s="1"/>
  <c r="CJ327" i="42"/>
  <c r="CJ341" i="42"/>
  <c r="CJ403" i="42"/>
  <c r="CJ402" i="42"/>
  <c r="CG390" i="42"/>
  <c r="CG12" i="42"/>
  <c r="CJ396" i="42"/>
  <c r="BF13" i="53"/>
  <c r="BF11" i="53"/>
  <c r="BF9" i="53"/>
  <c r="BE11" i="53"/>
  <c r="BE13" i="53"/>
  <c r="BV23" i="1"/>
  <c r="BH36" i="53" s="1"/>
  <c r="BD36" i="53"/>
  <c r="BD35" i="53"/>
  <c r="BD34" i="53"/>
  <c r="BO39" i="53"/>
  <c r="BW10" i="42"/>
  <c r="BW252" i="42"/>
  <c r="BW254" i="42" s="1"/>
  <c r="BN10" i="53"/>
  <c r="BC36" i="53"/>
  <c r="BC35" i="53"/>
  <c r="BC34" i="53"/>
  <c r="CB26" i="1"/>
  <c r="CA173" i="42"/>
  <c r="CE173" i="42" s="1"/>
  <c r="CA15" i="1"/>
  <c r="BW23" i="1"/>
  <c r="CA12" i="1"/>
  <c r="CB12" i="1"/>
  <c r="CA166" i="42"/>
  <c r="CC166" i="42"/>
  <c r="CC23" i="1" s="1"/>
  <c r="CB166" i="42"/>
  <c r="BX11" i="1"/>
  <c r="CA165" i="42"/>
  <c r="CB165" i="42"/>
  <c r="BW22" i="1"/>
  <c r="BV22" i="1"/>
  <c r="BH35" i="53" s="1"/>
  <c r="CB11" i="1"/>
  <c r="BV21" i="1"/>
  <c r="BH34" i="53" s="1"/>
  <c r="CA252" i="42"/>
  <c r="CA10" i="42"/>
  <c r="CE15" i="1"/>
  <c r="CE13" i="1"/>
  <c r="BU12" i="1"/>
  <c r="BG13" i="53" s="1"/>
  <c r="BL14" i="53"/>
  <c r="BT23" i="1"/>
  <c r="BY12" i="1"/>
  <c r="BY165" i="42"/>
  <c r="BL12" i="53"/>
  <c r="BU11" i="1"/>
  <c r="BG11" i="53" s="1"/>
  <c r="BT22" i="1"/>
  <c r="BY11" i="1"/>
  <c r="AD25" i="53"/>
  <c r="AW62" i="1"/>
  <c r="AI26" i="53" s="1"/>
  <c r="AR78" i="1"/>
  <c r="AD41" i="53"/>
  <c r="AR82" i="1"/>
  <c r="AW77" i="1"/>
  <c r="AI42" i="53" s="1"/>
  <c r="AR98" i="1"/>
  <c r="BA35" i="53"/>
  <c r="BA34" i="53"/>
  <c r="AZ36" i="53"/>
  <c r="AZ35" i="53"/>
  <c r="BZ379" i="42"/>
  <c r="CE380" i="42" s="1"/>
  <c r="BZ321" i="42"/>
  <c r="BZ11" i="42"/>
  <c r="BX166" i="42"/>
  <c r="BX165" i="42"/>
  <c r="BF62" i="1"/>
  <c r="AR26" i="53" s="1"/>
  <c r="AR25" i="53"/>
  <c r="BZ448" i="42"/>
  <c r="CE449" i="42" s="1"/>
  <c r="BZ12" i="42"/>
  <c r="I55" i="53"/>
  <c r="I58" i="53"/>
  <c r="BY166" i="42"/>
  <c r="BY450" i="42"/>
  <c r="CD451" i="42" s="1"/>
  <c r="BY449" i="42"/>
  <c r="AD96" i="1"/>
  <c r="AD103" i="1"/>
  <c r="AD94" i="1"/>
  <c r="P53" i="53" s="1"/>
  <c r="P51" i="53"/>
  <c r="AI96" i="1"/>
  <c r="AG94" i="1"/>
  <c r="S53" i="53" s="1"/>
  <c r="AQ52" i="53"/>
  <c r="AJ55" i="53"/>
  <c r="AJ58" i="53"/>
  <c r="AL55" i="53"/>
  <c r="AL58" i="53"/>
  <c r="AA58" i="53"/>
  <c r="AA55" i="53"/>
  <c r="AM135" i="42"/>
  <c r="AR135" i="42"/>
  <c r="Y41" i="53"/>
  <c r="AM98" i="1"/>
  <c r="AM78" i="1"/>
  <c r="AM82" i="1"/>
  <c r="AM77" i="1"/>
  <c r="Y42" i="53" s="1"/>
  <c r="AR77" i="1"/>
  <c r="AD42" i="53" s="1"/>
  <c r="AH62" i="1"/>
  <c r="T26" i="53" s="1"/>
  <c r="T25" i="53"/>
  <c r="AH78" i="1"/>
  <c r="AH82" i="1"/>
  <c r="T41" i="53"/>
  <c r="AH77" i="1"/>
  <c r="T42" i="53" s="1"/>
  <c r="AH98" i="1"/>
  <c r="Y25" i="53"/>
  <c r="AM62" i="1"/>
  <c r="Y26" i="53" s="1"/>
  <c r="AR62" i="1"/>
  <c r="AD26" i="53" s="1"/>
  <c r="BA22" i="53"/>
  <c r="BF96" i="1"/>
  <c r="AR51" i="53"/>
  <c r="AR52" i="53" s="1"/>
  <c r="BF103" i="1"/>
  <c r="BF94" i="1"/>
  <c r="AR53" i="53" s="1"/>
  <c r="AJ96" i="1"/>
  <c r="AJ103" i="1"/>
  <c r="AJ94" i="1"/>
  <c r="V53" i="53" s="1"/>
  <c r="V51" i="53"/>
  <c r="AO96" i="1"/>
  <c r="AO55" i="53"/>
  <c r="AO58" i="53"/>
  <c r="BI133" i="42"/>
  <c r="BI134" i="42" s="1"/>
  <c r="BI135" i="42" s="1"/>
  <c r="AU21" i="53"/>
  <c r="AN55" i="53"/>
  <c r="AS52" i="53"/>
  <c r="AB52" i="53"/>
  <c r="AG52" i="53"/>
  <c r="AB55" i="53"/>
  <c r="AB58" i="53"/>
  <c r="AF96" i="1"/>
  <c r="R51" i="53"/>
  <c r="AF103" i="1"/>
  <c r="AF94" i="1"/>
  <c r="R53" i="53" s="1"/>
  <c r="AK96" i="1"/>
  <c r="AE96" i="1"/>
  <c r="AE103" i="1"/>
  <c r="Q51" i="53"/>
  <c r="Q52" i="53" s="1"/>
  <c r="AE94" i="1"/>
  <c r="Q53" i="53" s="1"/>
  <c r="BK90" i="1"/>
  <c r="BK236" i="1" s="1"/>
  <c r="BK351" i="1"/>
  <c r="AO52" i="53"/>
  <c r="AT52" i="53"/>
  <c r="AW16" i="53"/>
  <c r="BK17" i="1"/>
  <c r="BK57" i="1" s="1"/>
  <c r="AU56" i="53"/>
  <c r="AU29" i="53"/>
  <c r="BI132" i="42"/>
  <c r="AU23" i="53"/>
  <c r="BU450" i="42"/>
  <c r="BU451" i="42" s="1"/>
  <c r="BU449" i="42"/>
  <c r="BU166" i="42"/>
  <c r="BP23" i="1"/>
  <c r="BB36" i="53" s="1"/>
  <c r="BU380" i="42"/>
  <c r="BU381" i="42"/>
  <c r="BU382" i="42" s="1"/>
  <c r="BP22" i="1"/>
  <c r="BB35" i="53" s="1"/>
  <c r="BU165" i="42"/>
  <c r="DE484" i="42" l="1"/>
  <c r="DE18" i="42"/>
  <c r="DE15" i="1" s="1"/>
  <c r="CQ18" i="53" s="1"/>
  <c r="DA402" i="42"/>
  <c r="DF401" i="42"/>
  <c r="DF402" i="42" s="1"/>
  <c r="DA340" i="42"/>
  <c r="DF339" i="42"/>
  <c r="DF340" i="42" s="1"/>
  <c r="DH402" i="42"/>
  <c r="DH264" i="42"/>
  <c r="DH13" i="1"/>
  <c r="CT15" i="53" s="1"/>
  <c r="CE15" i="53"/>
  <c r="DA553" i="42"/>
  <c r="CV173" i="42"/>
  <c r="CV26" i="1" s="1"/>
  <c r="CH39" i="53" s="1"/>
  <c r="CV555" i="42"/>
  <c r="CO459" i="42"/>
  <c r="CC12" i="53"/>
  <c r="CC14" i="53"/>
  <c r="CC39" i="53"/>
  <c r="U168" i="1"/>
  <c r="AR224" i="1"/>
  <c r="AR240" i="1" s="1"/>
  <c r="AD61" i="53" s="1"/>
  <c r="AV224" i="1"/>
  <c r="AV240" i="1" s="1"/>
  <c r="AH61" i="53" s="1"/>
  <c r="AU224" i="1"/>
  <c r="AU240" i="1" s="1"/>
  <c r="AG61" i="53" s="1"/>
  <c r="AT224" i="1"/>
  <c r="AT240" i="1" s="1"/>
  <c r="AF61" i="53" s="1"/>
  <c r="AS224" i="1"/>
  <c r="AS240" i="1" s="1"/>
  <c r="AE61" i="53" s="1"/>
  <c r="CJ307" i="1"/>
  <c r="CJ309" i="1" s="1"/>
  <c r="CJ310" i="1" s="1"/>
  <c r="CJ314" i="1"/>
  <c r="CJ315" i="1" s="1"/>
  <c r="CO307" i="1"/>
  <c r="CO309" i="1" s="1"/>
  <c r="CO314" i="1"/>
  <c r="CY100" i="1"/>
  <c r="DD100" i="1" s="1"/>
  <c r="DI100" i="1" s="1"/>
  <c r="AH224" i="1"/>
  <c r="AH240" i="1" s="1"/>
  <c r="T61" i="53" s="1"/>
  <c r="AI224" i="1"/>
  <c r="AI240" i="1" s="1"/>
  <c r="U61" i="53" s="1"/>
  <c r="AK224" i="1"/>
  <c r="AK240" i="1" s="1"/>
  <c r="W61" i="53" s="1"/>
  <c r="AJ224" i="1"/>
  <c r="AJ240" i="1" s="1"/>
  <c r="V61" i="53" s="1"/>
  <c r="AL224" i="1"/>
  <c r="AL240" i="1" s="1"/>
  <c r="X61" i="53" s="1"/>
  <c r="AM224" i="1"/>
  <c r="AM240" i="1" s="1"/>
  <c r="Y61" i="53" s="1"/>
  <c r="AO224" i="1"/>
  <c r="AO240" i="1" s="1"/>
  <c r="AA61" i="53" s="1"/>
  <c r="AN224" i="1"/>
  <c r="AN240" i="1" s="1"/>
  <c r="Z61" i="53" s="1"/>
  <c r="AQ224" i="1"/>
  <c r="AQ240" i="1" s="1"/>
  <c r="AC61" i="53" s="1"/>
  <c r="AP224" i="1"/>
  <c r="AP240" i="1" s="1"/>
  <c r="AB61" i="53" s="1"/>
  <c r="BK242" i="1"/>
  <c r="BK253" i="1"/>
  <c r="BK255" i="1" s="1"/>
  <c r="BK256" i="1" s="1"/>
  <c r="BK327" i="1"/>
  <c r="BK333" i="1"/>
  <c r="BK274" i="1"/>
  <c r="BK231" i="1"/>
  <c r="BF312" i="1"/>
  <c r="BF331" i="1"/>
  <c r="BF335" i="1"/>
  <c r="BF337" i="1"/>
  <c r="BF326" i="1"/>
  <c r="BF329" i="1" s="1"/>
  <c r="BF334" i="1"/>
  <c r="BF338" i="1"/>
  <c r="CE315" i="1"/>
  <c r="AX179" i="1"/>
  <c r="AX168" i="1"/>
  <c r="V140" i="1"/>
  <c r="V141" i="1" s="1"/>
  <c r="Q143" i="1"/>
  <c r="R140" i="1"/>
  <c r="R141" i="1" s="1"/>
  <c r="BE179" i="1"/>
  <c r="BE168" i="1"/>
  <c r="BJ168" i="1"/>
  <c r="BJ179" i="1"/>
  <c r="AC138" i="1"/>
  <c r="AC142" i="1"/>
  <c r="O58" i="53" s="1"/>
  <c r="AE145" i="1"/>
  <c r="AD148" i="1"/>
  <c r="AD161" i="1" s="1"/>
  <c r="X168" i="1"/>
  <c r="X179" i="1"/>
  <c r="X181" i="1" s="1"/>
  <c r="BA140" i="1"/>
  <c r="BA141" i="1" s="1"/>
  <c r="AV143" i="1"/>
  <c r="AW140" i="1"/>
  <c r="AW141" i="1" s="1"/>
  <c r="AC148" i="1"/>
  <c r="AC161" i="1" s="1"/>
  <c r="Y148" i="1"/>
  <c r="Y161" i="1" s="1"/>
  <c r="Z145" i="1"/>
  <c r="Z148" i="1" s="1"/>
  <c r="Z161" i="1" s="1"/>
  <c r="AG138" i="1"/>
  <c r="AG142" i="1"/>
  <c r="AY148" i="1"/>
  <c r="AY161" i="1" s="1"/>
  <c r="AZ145" i="1"/>
  <c r="AZ148" i="1" s="1"/>
  <c r="AZ161" i="1" s="1"/>
  <c r="BC168" i="1"/>
  <c r="BC179" i="1"/>
  <c r="BI179" i="1"/>
  <c r="BI168" i="1"/>
  <c r="CJ544" i="42"/>
  <c r="CJ545" i="42" s="1"/>
  <c r="CJ540" i="42"/>
  <c r="CJ541" i="42" s="1"/>
  <c r="CJ535" i="42"/>
  <c r="CJ536" i="42" s="1"/>
  <c r="CJ548" i="42"/>
  <c r="CJ549" i="42" s="1"/>
  <c r="CO544" i="42"/>
  <c r="CO540" i="42"/>
  <c r="CO535" i="42"/>
  <c r="CO548" i="42"/>
  <c r="CW13" i="42"/>
  <c r="CW13" i="1" s="1"/>
  <c r="CI15" i="53" s="1"/>
  <c r="DB458" i="42"/>
  <c r="DG458" i="42" s="1"/>
  <c r="CV271" i="42"/>
  <c r="DA270" i="42"/>
  <c r="CV409" i="42"/>
  <c r="DA408" i="42"/>
  <c r="CV264" i="42"/>
  <c r="DA263" i="42"/>
  <c r="CZ484" i="42"/>
  <c r="CZ18" i="42"/>
  <c r="CZ15" i="1" s="1"/>
  <c r="CL18" i="53" s="1"/>
  <c r="CV333" i="42"/>
  <c r="DA332" i="42"/>
  <c r="DC13" i="1"/>
  <c r="CO15" i="53" s="1"/>
  <c r="DC402" i="42"/>
  <c r="DC264" i="42"/>
  <c r="CS100" i="1"/>
  <c r="CR100" i="1"/>
  <c r="CQ100" i="1"/>
  <c r="CT101" i="1"/>
  <c r="CT307" i="1" s="1"/>
  <c r="CP100" i="1"/>
  <c r="BZ15" i="53"/>
  <c r="BZ18" i="53"/>
  <c r="CM556" i="42"/>
  <c r="CM26" i="1"/>
  <c r="BY14" i="53"/>
  <c r="BY12" i="53"/>
  <c r="BX39" i="53"/>
  <c r="BW18" i="53"/>
  <c r="CX65" i="1"/>
  <c r="DC65" i="1" s="1"/>
  <c r="DH65" i="1" s="1"/>
  <c r="CY458" i="42"/>
  <c r="CG14" i="53"/>
  <c r="CW401" i="42"/>
  <c r="CE392" i="42"/>
  <c r="CZ401" i="42"/>
  <c r="CQ395" i="42"/>
  <c r="CV391" i="42"/>
  <c r="CH14" i="53" s="1"/>
  <c r="CV394" i="42"/>
  <c r="CW270" i="42"/>
  <c r="CR333" i="42"/>
  <c r="CR337" i="42" s="1"/>
  <c r="CW332" i="42"/>
  <c r="CU484" i="42"/>
  <c r="CU18" i="42"/>
  <c r="CZ408" i="42"/>
  <c r="CZ263" i="42"/>
  <c r="CZ270" i="42"/>
  <c r="CW339" i="42"/>
  <c r="CV13" i="1"/>
  <c r="CH15" i="53" s="1"/>
  <c r="CX325" i="42"/>
  <c r="CR257" i="42"/>
  <c r="CR261" i="42" s="1"/>
  <c r="CW256" i="42"/>
  <c r="CP257" i="42"/>
  <c r="CP261" i="42" s="1"/>
  <c r="CZ339" i="42"/>
  <c r="CQ326" i="42"/>
  <c r="CQ330" i="42" s="1"/>
  <c r="CV322" i="42"/>
  <c r="CH12" i="53" s="1"/>
  <c r="CV325" i="42"/>
  <c r="CW408" i="42"/>
  <c r="BT39" i="53"/>
  <c r="BN39" i="53"/>
  <c r="BS39" i="53"/>
  <c r="CG392" i="42"/>
  <c r="CG323" i="42"/>
  <c r="CG11" i="1"/>
  <c r="CM13" i="1"/>
  <c r="BQ15" i="53"/>
  <c r="BQ18" i="53"/>
  <c r="BN11" i="53"/>
  <c r="BN13" i="53"/>
  <c r="BT15" i="53"/>
  <c r="AQ141" i="42"/>
  <c r="AR141" i="42"/>
  <c r="AM141" i="42"/>
  <c r="BS10" i="53"/>
  <c r="CA254" i="42"/>
  <c r="CA323" i="42"/>
  <c r="CE323" i="42" s="1"/>
  <c r="BM13" i="53"/>
  <c r="BM18" i="53"/>
  <c r="BV19" i="53"/>
  <c r="CF486" i="42"/>
  <c r="CJ486" i="42" s="1"/>
  <c r="CF556" i="42"/>
  <c r="CJ13" i="1"/>
  <c r="CF392" i="42"/>
  <c r="BR13" i="53"/>
  <c r="BI141" i="42"/>
  <c r="BK13" i="53"/>
  <c r="BK11" i="53"/>
  <c r="CE166" i="42"/>
  <c r="CO13" i="42"/>
  <c r="CA11" i="1"/>
  <c r="CE11" i="42"/>
  <c r="CT401" i="42"/>
  <c r="CT402" i="42" s="1"/>
  <c r="CT408" i="42"/>
  <c r="CT409" i="42" s="1"/>
  <c r="CP15" i="1"/>
  <c r="CB12" i="53"/>
  <c r="BZ323" i="42"/>
  <c r="CM326" i="42"/>
  <c r="CM330" i="42" s="1"/>
  <c r="CR13" i="42"/>
  <c r="CT458" i="42"/>
  <c r="CT485" i="42"/>
  <c r="CO409" i="42"/>
  <c r="CO411" i="42" s="1"/>
  <c r="CT410" i="42"/>
  <c r="CO402" i="42"/>
  <c r="CO406" i="42" s="1"/>
  <c r="CT403" i="42"/>
  <c r="CN340" i="42"/>
  <c r="CN342" i="42" s="1"/>
  <c r="CX339" i="42"/>
  <c r="BY451" i="42"/>
  <c r="BZ381" i="42"/>
  <c r="BZ450" i="42"/>
  <c r="BJ11" i="53"/>
  <c r="CC165" i="42"/>
  <c r="CC22" i="1" s="1"/>
  <c r="CJ340" i="42"/>
  <c r="CJ342" i="42" s="1"/>
  <c r="CF380" i="42"/>
  <c r="BZ392" i="42"/>
  <c r="CO339" i="42"/>
  <c r="CO18" i="42"/>
  <c r="CF10" i="42"/>
  <c r="CF252" i="42"/>
  <c r="CF554" i="42"/>
  <c r="CF173" i="42"/>
  <c r="CG449" i="42"/>
  <c r="CL166" i="42"/>
  <c r="CF449" i="42"/>
  <c r="CK166" i="42"/>
  <c r="CK12" i="42"/>
  <c r="CG381" i="42"/>
  <c r="CL382" i="42" s="1"/>
  <c r="CL165" i="42"/>
  <c r="BX10" i="53"/>
  <c r="CJ484" i="42"/>
  <c r="CO486" i="42"/>
  <c r="CO485" i="42"/>
  <c r="CO484" i="42"/>
  <c r="CO327" i="42"/>
  <c r="CN326" i="42"/>
  <c r="CN330" i="42" s="1"/>
  <c r="CO325" i="42"/>
  <c r="CN257" i="42"/>
  <c r="CN261" i="42" s="1"/>
  <c r="CF321" i="42"/>
  <c r="CI12" i="42"/>
  <c r="CF11" i="42"/>
  <c r="CI390" i="42"/>
  <c r="CJ389" i="42"/>
  <c r="BI36" i="53"/>
  <c r="BI35" i="53"/>
  <c r="CF166" i="42"/>
  <c r="CF450" i="42"/>
  <c r="CK451" i="42" s="1"/>
  <c r="CG165" i="42"/>
  <c r="CG380" i="42"/>
  <c r="CF15" i="1"/>
  <c r="CJ18" i="42"/>
  <c r="CJ406" i="42"/>
  <c r="CJ330" i="42"/>
  <c r="CJ258" i="42"/>
  <c r="CG257" i="42"/>
  <c r="CG261" i="42" s="1"/>
  <c r="CJ256" i="42"/>
  <c r="CG166" i="42"/>
  <c r="CG450" i="42"/>
  <c r="CL451" i="42" s="1"/>
  <c r="CG12" i="1"/>
  <c r="CJ391" i="42"/>
  <c r="BF36" i="53"/>
  <c r="BF35" i="53"/>
  <c r="BE36" i="53"/>
  <c r="BE35" i="53"/>
  <c r="CB252" i="42"/>
  <c r="CB10" i="42"/>
  <c r="CE10" i="42" s="1"/>
  <c r="BW164" i="42"/>
  <c r="BW311" i="42"/>
  <c r="BW312" i="42"/>
  <c r="BW10" i="1"/>
  <c r="CA26" i="1"/>
  <c r="BO13" i="53"/>
  <c r="CB23" i="1"/>
  <c r="BX23" i="1"/>
  <c r="CA23" i="1"/>
  <c r="BX22" i="1"/>
  <c r="CB22" i="1"/>
  <c r="CA22" i="1"/>
  <c r="BO11" i="53"/>
  <c r="CA10" i="1"/>
  <c r="CA164" i="42"/>
  <c r="CD23" i="1"/>
  <c r="BZ12" i="1"/>
  <c r="BL13" i="53" s="1"/>
  <c r="BQ14" i="53"/>
  <c r="CD12" i="1"/>
  <c r="BU23" i="1"/>
  <c r="BG36" i="53" s="1"/>
  <c r="BZ11" i="1"/>
  <c r="BL11" i="53" s="1"/>
  <c r="CD11" i="1"/>
  <c r="BQ12" i="53"/>
  <c r="BU22" i="1"/>
  <c r="BG35" i="53" s="1"/>
  <c r="BY22" i="1"/>
  <c r="AR99" i="1"/>
  <c r="AD43" i="53"/>
  <c r="AI44" i="53" s="1"/>
  <c r="AW79" i="1"/>
  <c r="AR84" i="1"/>
  <c r="AD48" i="53" s="1"/>
  <c r="AR86" i="1"/>
  <c r="AD46" i="53"/>
  <c r="BZ380" i="42"/>
  <c r="BZ165" i="42"/>
  <c r="Y43" i="53"/>
  <c r="AM79" i="1"/>
  <c r="AR79" i="1"/>
  <c r="T43" i="53"/>
  <c r="T44" i="53" s="1"/>
  <c r="AH79" i="1"/>
  <c r="BZ449" i="42"/>
  <c r="P52" i="53"/>
  <c r="U52" i="53"/>
  <c r="BY23" i="1"/>
  <c r="BZ166" i="42"/>
  <c r="P55" i="53"/>
  <c r="P58" i="53"/>
  <c r="O55" i="53"/>
  <c r="BJ133" i="42"/>
  <c r="BJ134" i="42" s="1"/>
  <c r="BJ135" i="42" s="1"/>
  <c r="AV21" i="53"/>
  <c r="AM99" i="1"/>
  <c r="AH84" i="1"/>
  <c r="T48" i="53" s="1"/>
  <c r="AH86" i="1"/>
  <c r="T46" i="53"/>
  <c r="AH99" i="1"/>
  <c r="Y46" i="53"/>
  <c r="AM84" i="1"/>
  <c r="Y48" i="53" s="1"/>
  <c r="AM86" i="1"/>
  <c r="AV29" i="53"/>
  <c r="AV27" i="53"/>
  <c r="BK67" i="1"/>
  <c r="BK69" i="1" s="1"/>
  <c r="BK70" i="1" s="1"/>
  <c r="AV24" i="53"/>
  <c r="AU24" i="53"/>
  <c r="AW50" i="53"/>
  <c r="BK93" i="1"/>
  <c r="BK108" i="1" s="1"/>
  <c r="AX45" i="53"/>
  <c r="V52" i="53"/>
  <c r="AA52" i="53"/>
  <c r="Q58" i="53"/>
  <c r="Q55" i="53"/>
  <c r="AY45" i="53"/>
  <c r="W52" i="53"/>
  <c r="R52" i="53"/>
  <c r="AR58" i="53"/>
  <c r="AR55" i="53"/>
  <c r="V58" i="53"/>
  <c r="V55" i="53"/>
  <c r="R58" i="53"/>
  <c r="R55" i="53"/>
  <c r="BK63" i="1"/>
  <c r="BK64" i="1" s="1"/>
  <c r="AU27" i="53"/>
  <c r="AU30" i="53"/>
  <c r="AW21" i="53"/>
  <c r="BK58" i="1"/>
  <c r="BI98" i="1"/>
  <c r="BI224" i="1" s="1"/>
  <c r="BI240" i="1" s="1"/>
  <c r="DG13" i="42" l="1"/>
  <c r="DI458" i="42"/>
  <c r="CU486" i="42"/>
  <c r="CG10" i="53"/>
  <c r="DE100" i="1"/>
  <c r="DI101" i="1"/>
  <c r="DI307" i="1" s="1"/>
  <c r="DG100" i="1"/>
  <c r="DH100" i="1"/>
  <c r="DF100" i="1"/>
  <c r="DA173" i="42"/>
  <c r="DA26" i="1" s="1"/>
  <c r="CM39" i="53" s="1"/>
  <c r="DF553" i="42"/>
  <c r="DA409" i="42"/>
  <c r="DF408" i="42"/>
  <c r="DF409" i="42" s="1"/>
  <c r="DA271" i="42"/>
  <c r="DF270" i="42"/>
  <c r="DF271" i="42" s="1"/>
  <c r="CZ340" i="42"/>
  <c r="DE339" i="42"/>
  <c r="DE340" i="42" s="1"/>
  <c r="CZ271" i="42"/>
  <c r="DE270" i="42"/>
  <c r="DE271" i="42" s="1"/>
  <c r="DA264" i="42"/>
  <c r="DF263" i="42"/>
  <c r="DF264" i="42" s="1"/>
  <c r="DA333" i="42"/>
  <c r="DF332" i="42"/>
  <c r="DF333" i="42" s="1"/>
  <c r="CZ264" i="42"/>
  <c r="DE263" i="42"/>
  <c r="CZ409" i="42"/>
  <c r="DE408" i="42"/>
  <c r="CZ402" i="42"/>
  <c r="DE401" i="42"/>
  <c r="DA554" i="42"/>
  <c r="CT459" i="42"/>
  <c r="DA555" i="42"/>
  <c r="CY101" i="1"/>
  <c r="CY307" i="1" s="1"/>
  <c r="CO541" i="42"/>
  <c r="CD12" i="53"/>
  <c r="CO545" i="42"/>
  <c r="CF19" i="53"/>
  <c r="CD14" i="53"/>
  <c r="CB18" i="53"/>
  <c r="CW100" i="1"/>
  <c r="CV100" i="1"/>
  <c r="CX100" i="1"/>
  <c r="CU100" i="1"/>
  <c r="CO315" i="1"/>
  <c r="AH225" i="1"/>
  <c r="AI225" i="1"/>
  <c r="AK225" i="1"/>
  <c r="AJ225" i="1"/>
  <c r="AL225" i="1"/>
  <c r="AM225" i="1"/>
  <c r="AQ225" i="1"/>
  <c r="AP225" i="1"/>
  <c r="AO225" i="1"/>
  <c r="AN225" i="1"/>
  <c r="AR225" i="1"/>
  <c r="AU225" i="1"/>
  <c r="AS225" i="1"/>
  <c r="AT225" i="1"/>
  <c r="AV225" i="1"/>
  <c r="CO310" i="1"/>
  <c r="AW143" i="1"/>
  <c r="AX140" i="1"/>
  <c r="AX141" i="1" s="1"/>
  <c r="AF145" i="1"/>
  <c r="AF148" i="1" s="1"/>
  <c r="AF161" i="1" s="1"/>
  <c r="AE148" i="1"/>
  <c r="AE161" i="1" s="1"/>
  <c r="S140" i="1"/>
  <c r="S141" i="1" s="1"/>
  <c r="R143" i="1"/>
  <c r="AR107" i="1"/>
  <c r="AR109" i="1" s="1"/>
  <c r="AR122" i="1" s="1"/>
  <c r="AR145" i="1"/>
  <c r="Z179" i="1"/>
  <c r="Z181" i="1" s="1"/>
  <c r="Z168" i="1"/>
  <c r="BF140" i="1"/>
  <c r="BF141" i="1" s="1"/>
  <c r="BB140" i="1"/>
  <c r="BB141" i="1" s="1"/>
  <c r="BA143" i="1"/>
  <c r="AZ179" i="1"/>
  <c r="AZ168" i="1"/>
  <c r="Y168" i="1"/>
  <c r="Y179" i="1"/>
  <c r="Y181" i="1" s="1"/>
  <c r="AA140" i="1"/>
  <c r="AA141" i="1" s="1"/>
  <c r="V143" i="1"/>
  <c r="W140" i="1"/>
  <c r="W141" i="1" s="1"/>
  <c r="AY179" i="1"/>
  <c r="AY168" i="1"/>
  <c r="AC179" i="1"/>
  <c r="AC168" i="1"/>
  <c r="AM107" i="1"/>
  <c r="AM109" i="1" s="1"/>
  <c r="AM122" i="1" s="1"/>
  <c r="AM145" i="1"/>
  <c r="AH107" i="1"/>
  <c r="AH109" i="1" s="1"/>
  <c r="AH122" i="1" s="1"/>
  <c r="AH145" i="1"/>
  <c r="AD179" i="1"/>
  <c r="AD168" i="1"/>
  <c r="CO549" i="42"/>
  <c r="CO536" i="42"/>
  <c r="CJ435" i="42"/>
  <c r="CJ436" i="42" s="1"/>
  <c r="CJ430" i="42"/>
  <c r="CJ439" i="42"/>
  <c r="CJ443" i="42"/>
  <c r="CJ444" i="42" s="1"/>
  <c r="CY13" i="42"/>
  <c r="CY13" i="1" s="1"/>
  <c r="CK15" i="53" s="1"/>
  <c r="DB13" i="42"/>
  <c r="DD458" i="42"/>
  <c r="CW271" i="42"/>
  <c r="DB270" i="42"/>
  <c r="CW409" i="42"/>
  <c r="DB408" i="42"/>
  <c r="DG408" i="42" s="1"/>
  <c r="DG409" i="42" s="1"/>
  <c r="CW402" i="42"/>
  <c r="DB401" i="42"/>
  <c r="CW340" i="42"/>
  <c r="DB339" i="42"/>
  <c r="DG339" i="42" s="1"/>
  <c r="DG340" i="42" s="1"/>
  <c r="CZ332" i="42"/>
  <c r="CW333" i="42"/>
  <c r="DB332" i="42"/>
  <c r="CW257" i="42"/>
  <c r="DB256" i="42"/>
  <c r="CV326" i="42"/>
  <c r="DA322" i="42"/>
  <c r="DA325" i="42"/>
  <c r="CV395" i="42"/>
  <c r="DA394" i="42"/>
  <c r="DA391" i="42"/>
  <c r="CM14" i="53" s="1"/>
  <c r="CZ391" i="42"/>
  <c r="CL14" i="53" s="1"/>
  <c r="CZ394" i="42"/>
  <c r="CZ256" i="42"/>
  <c r="CZ253" i="42"/>
  <c r="CL10" i="53" s="1"/>
  <c r="DB100" i="1"/>
  <c r="DC100" i="1"/>
  <c r="DD101" i="1"/>
  <c r="DD307" i="1" s="1"/>
  <c r="CZ100" i="1"/>
  <c r="DA100" i="1"/>
  <c r="CX326" i="42"/>
  <c r="DC325" i="42"/>
  <c r="CX340" i="42"/>
  <c r="DC339" i="42"/>
  <c r="DH339" i="42" s="1"/>
  <c r="CI392" i="42"/>
  <c r="CJ392" i="42" s="1"/>
  <c r="BY39" i="53"/>
  <c r="BY15" i="53"/>
  <c r="CL23" i="1"/>
  <c r="CL22" i="1"/>
  <c r="CA19" i="53"/>
  <c r="CK173" i="42"/>
  <c r="CY459" i="42"/>
  <c r="CY410" i="42"/>
  <c r="CV389" i="42"/>
  <c r="CU409" i="42"/>
  <c r="CU411" i="42" s="1"/>
  <c r="CY408" i="42"/>
  <c r="CP326" i="42"/>
  <c r="CP330" i="42" s="1"/>
  <c r="CG12" i="53"/>
  <c r="CZ325" i="42"/>
  <c r="CU340" i="42"/>
  <c r="CU342" i="42" s="1"/>
  <c r="CY339" i="42"/>
  <c r="DD341" i="42" s="1"/>
  <c r="CU271" i="42"/>
  <c r="CU273" i="42" s="1"/>
  <c r="CU15" i="1"/>
  <c r="CU395" i="42"/>
  <c r="CU399" i="42" s="1"/>
  <c r="CU264" i="42"/>
  <c r="CU402" i="42"/>
  <c r="CU406" i="42" s="1"/>
  <c r="CY401" i="42"/>
  <c r="CU257" i="42"/>
  <c r="CU261" i="42" s="1"/>
  <c r="CX256" i="42"/>
  <c r="CW391" i="42"/>
  <c r="CI14" i="53" s="1"/>
  <c r="CW394" i="42"/>
  <c r="CY403" i="42"/>
  <c r="CU333" i="42"/>
  <c r="CU337" i="42" s="1"/>
  <c r="CR326" i="42"/>
  <c r="CR330" i="42" s="1"/>
  <c r="CW322" i="42"/>
  <c r="CI12" i="53" s="1"/>
  <c r="CW325" i="42"/>
  <c r="CV320" i="42"/>
  <c r="CK12" i="1"/>
  <c r="BN35" i="53"/>
  <c r="BN36" i="53"/>
  <c r="BS11" i="53"/>
  <c r="CG451" i="42"/>
  <c r="CG382" i="42"/>
  <c r="CO13" i="1"/>
  <c r="CA15" i="53" s="1"/>
  <c r="BS13" i="53"/>
  <c r="BV15" i="53"/>
  <c r="CO15" i="1"/>
  <c r="BX13" i="53"/>
  <c r="CC11" i="53"/>
  <c r="BX11" i="53"/>
  <c r="BJ141" i="42"/>
  <c r="CQ390" i="42"/>
  <c r="CQ165" i="42"/>
  <c r="CQ22" i="1" s="1"/>
  <c r="CG23" i="1"/>
  <c r="CG22" i="1"/>
  <c r="BM11" i="53"/>
  <c r="BM35" i="53"/>
  <c r="BM36" i="53"/>
  <c r="BM9" i="53"/>
  <c r="BM39" i="53"/>
  <c r="CF26" i="1"/>
  <c r="CF23" i="1"/>
  <c r="CJ15" i="1"/>
  <c r="BR18" i="53"/>
  <c r="CF451" i="42"/>
  <c r="CF323" i="42"/>
  <c r="CJ323" i="42" s="1"/>
  <c r="CF10" i="1"/>
  <c r="CF254" i="42"/>
  <c r="CP390" i="42"/>
  <c r="CT411" i="42"/>
  <c r="CE165" i="42"/>
  <c r="CQ321" i="42"/>
  <c r="BZ382" i="42"/>
  <c r="CE382" i="42"/>
  <c r="BK36" i="53"/>
  <c r="BZ451" i="42"/>
  <c r="CE451" i="42"/>
  <c r="CR13" i="1"/>
  <c r="CT13" i="42"/>
  <c r="CT325" i="42"/>
  <c r="CT326" i="42" s="1"/>
  <c r="BK35" i="53"/>
  <c r="CP11" i="42"/>
  <c r="CT406" i="42"/>
  <c r="BP13" i="53"/>
  <c r="CO340" i="42"/>
  <c r="CO342" i="42" s="1"/>
  <c r="CT341" i="42"/>
  <c r="CS340" i="42"/>
  <c r="CS342" i="42" s="1"/>
  <c r="CT339" i="42"/>
  <c r="CO326" i="42"/>
  <c r="CO330" i="42" s="1"/>
  <c r="CT327" i="42"/>
  <c r="BP11" i="53"/>
  <c r="CS257" i="42"/>
  <c r="BP36" i="53"/>
  <c r="BO35" i="53"/>
  <c r="CK164" i="42"/>
  <c r="BJ36" i="53"/>
  <c r="BJ35" i="53"/>
  <c r="CF381" i="42"/>
  <c r="CK382" i="42" s="1"/>
  <c r="CF165" i="42"/>
  <c r="CK165" i="42"/>
  <c r="CB254" i="42"/>
  <c r="BW313" i="42"/>
  <c r="CB313" i="42"/>
  <c r="CK10" i="42"/>
  <c r="CM12" i="42"/>
  <c r="CF312" i="42"/>
  <c r="CK313" i="42" s="1"/>
  <c r="CF311" i="42"/>
  <c r="CF164" i="42"/>
  <c r="CK23" i="1"/>
  <c r="CK11" i="42"/>
  <c r="CM11" i="42"/>
  <c r="CO256" i="42"/>
  <c r="CJ257" i="42"/>
  <c r="CJ261" i="42" s="1"/>
  <c r="CO258" i="42"/>
  <c r="CJ390" i="42"/>
  <c r="BI99" i="1"/>
  <c r="BI225" i="1" s="1"/>
  <c r="CH12" i="1"/>
  <c r="CI12" i="1"/>
  <c r="CH11" i="1"/>
  <c r="CF11" i="1"/>
  <c r="BV14" i="53"/>
  <c r="BI9" i="53"/>
  <c r="CJ12" i="42"/>
  <c r="CG252" i="42"/>
  <c r="CG10" i="42"/>
  <c r="CI450" i="42"/>
  <c r="CN451" i="42" s="1"/>
  <c r="CI166" i="42"/>
  <c r="CI449" i="42"/>
  <c r="CJ448" i="42"/>
  <c r="CB164" i="42"/>
  <c r="CB10" i="1"/>
  <c r="BW21" i="1"/>
  <c r="CE23" i="1"/>
  <c r="BQ36" i="53" s="1"/>
  <c r="BO36" i="53"/>
  <c r="CA21" i="1"/>
  <c r="BZ23" i="1"/>
  <c r="BL36" i="53" s="1"/>
  <c r="CE12" i="1"/>
  <c r="CD22" i="1"/>
  <c r="CE11" i="1"/>
  <c r="BZ22" i="1"/>
  <c r="BL35" i="53" s="1"/>
  <c r="AR92" i="1"/>
  <c r="AD49" i="53"/>
  <c r="Y44" i="53"/>
  <c r="AD44" i="53"/>
  <c r="S58" i="53"/>
  <c r="S55" i="53"/>
  <c r="BK59" i="1"/>
  <c r="BK258" i="1" s="1"/>
  <c r="BJ132" i="42"/>
  <c r="AV23" i="53"/>
  <c r="AV30" i="53"/>
  <c r="AH92" i="1"/>
  <c r="T49" i="53"/>
  <c r="AM92" i="1"/>
  <c r="Y49" i="53"/>
  <c r="BK71" i="1"/>
  <c r="BK68" i="1"/>
  <c r="AW30" i="53" s="1"/>
  <c r="BK65" i="1"/>
  <c r="AW29" i="53"/>
  <c r="AV31" i="53"/>
  <c r="AV28" i="53"/>
  <c r="AU31" i="53"/>
  <c r="AW27" i="53"/>
  <c r="BP89" i="1"/>
  <c r="AZ45" i="53"/>
  <c r="AY50" i="53"/>
  <c r="BI474" i="42"/>
  <c r="AX50" i="53"/>
  <c r="BU359" i="1"/>
  <c r="AU28" i="53"/>
  <c r="AW23" i="53"/>
  <c r="AU41" i="53"/>
  <c r="AU43" i="53"/>
  <c r="AU44" i="53" s="1"/>
  <c r="AW28" i="53"/>
  <c r="DG13" i="1" l="1"/>
  <c r="CS15" i="53" s="1"/>
  <c r="DI13" i="42"/>
  <c r="DI13" i="1" s="1"/>
  <c r="CU15" i="53" s="1"/>
  <c r="CG18" i="53"/>
  <c r="DF173" i="42"/>
  <c r="DF26" i="1" s="1"/>
  <c r="CR39" i="53" s="1"/>
  <c r="DF555" i="42"/>
  <c r="DF554" i="42"/>
  <c r="DA395" i="42"/>
  <c r="DF391" i="42"/>
  <c r="CR14" i="53" s="1"/>
  <c r="DF394" i="42"/>
  <c r="DF395" i="42" s="1"/>
  <c r="DB402" i="42"/>
  <c r="DG401" i="42"/>
  <c r="DG402" i="42" s="1"/>
  <c r="DE402" i="42"/>
  <c r="CZ326" i="42"/>
  <c r="DE325" i="42"/>
  <c r="DE326" i="42" s="1"/>
  <c r="DE322" i="42"/>
  <c r="CQ12" i="53" s="1"/>
  <c r="DA326" i="42"/>
  <c r="DF325" i="42"/>
  <c r="DF326" i="42" s="1"/>
  <c r="DF322" i="42"/>
  <c r="CR12" i="53" s="1"/>
  <c r="DE264" i="42"/>
  <c r="DB271" i="42"/>
  <c r="DG270" i="42"/>
  <c r="DG271" i="42" s="1"/>
  <c r="DB257" i="42"/>
  <c r="DG256" i="42"/>
  <c r="DG257" i="42" s="1"/>
  <c r="CZ257" i="42"/>
  <c r="DE253" i="42"/>
  <c r="CQ10" i="53" s="1"/>
  <c r="DE256" i="42"/>
  <c r="DE257" i="42" s="1"/>
  <c r="DE409" i="42"/>
  <c r="DI408" i="42"/>
  <c r="CZ395" i="42"/>
  <c r="DE394" i="42"/>
  <c r="DE395" i="42" s="1"/>
  <c r="DE391" i="42"/>
  <c r="CQ14" i="53" s="1"/>
  <c r="CZ333" i="42"/>
  <c r="DE332" i="42"/>
  <c r="DE333" i="42" s="1"/>
  <c r="DB333" i="42"/>
  <c r="DG332" i="42"/>
  <c r="DG333" i="42" s="1"/>
  <c r="DH340" i="42"/>
  <c r="DI339" i="42"/>
  <c r="DH325" i="42"/>
  <c r="DD459" i="42"/>
  <c r="DI459" i="42"/>
  <c r="CD15" i="53"/>
  <c r="CQ392" i="42"/>
  <c r="CQ323" i="42"/>
  <c r="CC10" i="53"/>
  <c r="CP14" i="42"/>
  <c r="CK26" i="1"/>
  <c r="CP392" i="42"/>
  <c r="CZ389" i="42"/>
  <c r="BK260" i="1"/>
  <c r="BK261" i="1" s="1"/>
  <c r="BK263" i="1"/>
  <c r="BK265" i="1" s="1"/>
  <c r="BK266" i="1" s="1"/>
  <c r="S143" i="1"/>
  <c r="T140" i="1"/>
  <c r="T141" i="1" s="1"/>
  <c r="AH148" i="1"/>
  <c r="AH161" i="1" s="1"/>
  <c r="AI145" i="1"/>
  <c r="AE179" i="1"/>
  <c r="AE168" i="1"/>
  <c r="AH138" i="1"/>
  <c r="AH142" i="1"/>
  <c r="AC180" i="1"/>
  <c r="AC181" i="1" s="1"/>
  <c r="AD180" i="1"/>
  <c r="AD181" i="1" s="1"/>
  <c r="AE180" i="1"/>
  <c r="AF180" i="1"/>
  <c r="AF168" i="1"/>
  <c r="AF179" i="1"/>
  <c r="BK140" i="1"/>
  <c r="BK141" i="1" s="1"/>
  <c r="BF143" i="1"/>
  <c r="AN145" i="1"/>
  <c r="AM148" i="1"/>
  <c r="AM161" i="1" s="1"/>
  <c r="W143" i="1"/>
  <c r="X140" i="1"/>
  <c r="X141" i="1" s="1"/>
  <c r="AR148" i="1"/>
  <c r="AR161" i="1" s="1"/>
  <c r="AS145" i="1"/>
  <c r="AY140" i="1"/>
  <c r="AY141" i="1" s="1"/>
  <c r="AX143" i="1"/>
  <c r="AM138" i="1"/>
  <c r="AM141" i="1" s="1"/>
  <c r="AM142" i="1"/>
  <c r="AR138" i="1"/>
  <c r="AR141" i="1" s="1"/>
  <c r="AR142" i="1"/>
  <c r="AG140" i="1"/>
  <c r="AG141" i="1" s="1"/>
  <c r="AB141" i="1"/>
  <c r="AA143" i="1"/>
  <c r="BC140" i="1"/>
  <c r="BC141" i="1" s="1"/>
  <c r="BB143" i="1"/>
  <c r="DD401" i="42"/>
  <c r="CJ440" i="42"/>
  <c r="CJ431" i="42"/>
  <c r="DB13" i="1"/>
  <c r="CN15" i="53" s="1"/>
  <c r="DD13" i="42"/>
  <c r="DD13" i="1" s="1"/>
  <c r="CP15" i="53" s="1"/>
  <c r="DB409" i="42"/>
  <c r="DD408" i="42"/>
  <c r="DB340" i="42"/>
  <c r="CZ322" i="42"/>
  <c r="CL12" i="53" s="1"/>
  <c r="CW395" i="42"/>
  <c r="DB394" i="42"/>
  <c r="DB391" i="42"/>
  <c r="CU173" i="42"/>
  <c r="CU26" i="1" s="1"/>
  <c r="CZ553" i="42"/>
  <c r="DE553" i="42" s="1"/>
  <c r="CW326" i="42"/>
  <c r="DB325" i="42"/>
  <c r="DB322" i="42"/>
  <c r="CN12" i="53" s="1"/>
  <c r="DA320" i="42"/>
  <c r="CM12" i="53"/>
  <c r="CV12" i="42"/>
  <c r="DA389" i="42"/>
  <c r="CY402" i="42"/>
  <c r="CY406" i="42" s="1"/>
  <c r="DD403" i="42"/>
  <c r="CY409" i="42"/>
  <c r="CY411" i="42" s="1"/>
  <c r="DD410" i="42"/>
  <c r="DC340" i="42"/>
  <c r="DD339" i="42"/>
  <c r="DC326" i="42"/>
  <c r="CX257" i="42"/>
  <c r="DC256" i="42"/>
  <c r="CK11" i="1"/>
  <c r="CP173" i="42"/>
  <c r="CP12" i="1"/>
  <c r="CW389" i="42"/>
  <c r="CW390" i="42" s="1"/>
  <c r="CM11" i="1"/>
  <c r="BW13" i="53"/>
  <c r="BW36" i="53"/>
  <c r="CV390" i="42"/>
  <c r="CW65" i="1"/>
  <c r="DB65" i="1" s="1"/>
  <c r="DG65" i="1" s="1"/>
  <c r="CY327" i="42"/>
  <c r="CT340" i="42"/>
  <c r="CT342" i="42" s="1"/>
  <c r="CY341" i="42"/>
  <c r="CV11" i="42"/>
  <c r="CV321" i="42"/>
  <c r="CU326" i="42"/>
  <c r="CU330" i="42" s="1"/>
  <c r="CY325" i="42"/>
  <c r="CP166" i="42"/>
  <c r="CU390" i="42"/>
  <c r="CU12" i="42"/>
  <c r="CY340" i="42"/>
  <c r="CV253" i="42"/>
  <c r="CH10" i="53" s="1"/>
  <c r="CV256" i="42"/>
  <c r="CV379" i="42"/>
  <c r="CW320" i="42"/>
  <c r="CI451" i="42"/>
  <c r="CM12" i="1"/>
  <c r="CK10" i="1"/>
  <c r="BS36" i="53"/>
  <c r="BS35" i="53"/>
  <c r="CG254" i="42"/>
  <c r="CT13" i="1"/>
  <c r="CF15" i="53" s="1"/>
  <c r="BU13" i="53"/>
  <c r="BT13" i="53"/>
  <c r="BQ13" i="53"/>
  <c r="BQ11" i="53"/>
  <c r="BN9" i="53"/>
  <c r="BT11" i="53"/>
  <c r="BV18" i="53"/>
  <c r="CA18" i="53"/>
  <c r="BX36" i="53"/>
  <c r="CC13" i="53"/>
  <c r="BX35" i="53"/>
  <c r="CH22" i="1"/>
  <c r="CH23" i="1"/>
  <c r="BM34" i="53"/>
  <c r="BR39" i="53"/>
  <c r="BR36" i="53"/>
  <c r="CF22" i="1"/>
  <c r="CF21" i="1"/>
  <c r="BR11" i="53"/>
  <c r="CF382" i="42"/>
  <c r="CF313" i="42"/>
  <c r="BR9" i="53"/>
  <c r="CT256" i="42"/>
  <c r="CR12" i="42"/>
  <c r="CK22" i="1"/>
  <c r="CM449" i="42"/>
  <c r="CP252" i="42"/>
  <c r="CK21" i="1"/>
  <c r="CR321" i="42"/>
  <c r="CR11" i="42"/>
  <c r="CT330" i="42"/>
  <c r="CO257" i="42"/>
  <c r="CO261" i="42" s="1"/>
  <c r="CT258" i="42"/>
  <c r="BP35" i="53"/>
  <c r="BK60" i="1"/>
  <c r="BK133" i="42" s="1"/>
  <c r="BK134" i="42" s="1"/>
  <c r="BK135" i="42" s="1"/>
  <c r="CM450" i="42"/>
  <c r="CM166" i="42"/>
  <c r="BK132" i="42"/>
  <c r="CG311" i="42"/>
  <c r="CL164" i="42"/>
  <c r="CL21" i="1" s="1"/>
  <c r="CJ12" i="1"/>
  <c r="CG10" i="1"/>
  <c r="BI34" i="53"/>
  <c r="CG312" i="42"/>
  <c r="CL313" i="42" s="1"/>
  <c r="CG164" i="42"/>
  <c r="CJ450" i="42"/>
  <c r="CJ451" i="42" s="1"/>
  <c r="CJ449" i="42"/>
  <c r="CI23" i="1"/>
  <c r="CJ166" i="42"/>
  <c r="BK66" i="1"/>
  <c r="CB21" i="1"/>
  <c r="CE22" i="1"/>
  <c r="BQ35" i="53" s="1"/>
  <c r="AR103" i="1"/>
  <c r="AR94" i="1"/>
  <c r="AD53" i="53" s="1"/>
  <c r="AD51" i="53"/>
  <c r="AI52" i="53" s="1"/>
  <c r="AW96" i="1"/>
  <c r="BU358" i="1"/>
  <c r="AH96" i="1"/>
  <c r="AH94" i="1"/>
  <c r="T53" i="53" s="1"/>
  <c r="AH103" i="1"/>
  <c r="T51" i="53"/>
  <c r="T52" i="53" s="1"/>
  <c r="AV63" i="53"/>
  <c r="BK76" i="1"/>
  <c r="AW41" i="53" s="1"/>
  <c r="Y51" i="53"/>
  <c r="AM103" i="1"/>
  <c r="AM94" i="1"/>
  <c r="Y53" i="53" s="1"/>
  <c r="AM96" i="1"/>
  <c r="AR96" i="1"/>
  <c r="BK72" i="1"/>
  <c r="AW31" i="53"/>
  <c r="BK73" i="1"/>
  <c r="BK74" i="1" s="1"/>
  <c r="AV43" i="53"/>
  <c r="AV44" i="53" s="1"/>
  <c r="AV41" i="53"/>
  <c r="BK475" i="42"/>
  <c r="BU360" i="1"/>
  <c r="BP88" i="1"/>
  <c r="AU42" i="53"/>
  <c r="AU46" i="53"/>
  <c r="AW63" i="53"/>
  <c r="AU37" i="53"/>
  <c r="DI409" i="42" l="1"/>
  <c r="DF320" i="42"/>
  <c r="DF11" i="42" s="1"/>
  <c r="DF11" i="1" s="1"/>
  <c r="CR11" i="53" s="1"/>
  <c r="CU392" i="42"/>
  <c r="CG39" i="53"/>
  <c r="DF389" i="42"/>
  <c r="DE555" i="42"/>
  <c r="DE554" i="42"/>
  <c r="DE173" i="42"/>
  <c r="DE26" i="1" s="1"/>
  <c r="CQ39" i="53" s="1"/>
  <c r="DB395" i="42"/>
  <c r="DG391" i="42"/>
  <c r="DG394" i="42"/>
  <c r="DG395" i="42" s="1"/>
  <c r="DI401" i="42"/>
  <c r="DI402" i="42" s="1"/>
  <c r="DB326" i="42"/>
  <c r="DG325" i="42"/>
  <c r="DG326" i="42" s="1"/>
  <c r="DG322" i="42"/>
  <c r="CS12" i="53" s="1"/>
  <c r="DF321" i="42"/>
  <c r="CZ390" i="42"/>
  <c r="DE389" i="42"/>
  <c r="DD409" i="42"/>
  <c r="DD411" i="42" s="1"/>
  <c r="DI410" i="42"/>
  <c r="DI411" i="42" s="1"/>
  <c r="DD402" i="42"/>
  <c r="DD406" i="42" s="1"/>
  <c r="DI403" i="42"/>
  <c r="DD340" i="42"/>
  <c r="DD342" i="42" s="1"/>
  <c r="DI341" i="42"/>
  <c r="DI340" i="42"/>
  <c r="DH326" i="42"/>
  <c r="DH256" i="42"/>
  <c r="CM451" i="42"/>
  <c r="CR451" i="42"/>
  <c r="CZ251" i="42"/>
  <c r="DE251" i="42" s="1"/>
  <c r="CR323" i="42"/>
  <c r="CQ406" i="42"/>
  <c r="CQ411" i="42"/>
  <c r="CQ399" i="42"/>
  <c r="AE181" i="1"/>
  <c r="CP20" i="42"/>
  <c r="CP156" i="42"/>
  <c r="CP160" i="42"/>
  <c r="CP147" i="42"/>
  <c r="CP152" i="42"/>
  <c r="CP49" i="42"/>
  <c r="BW39" i="53"/>
  <c r="CP26" i="1"/>
  <c r="CB39" i="53" s="1"/>
  <c r="BW11" i="53"/>
  <c r="CP23" i="1"/>
  <c r="CB36" i="53" s="1"/>
  <c r="CV12" i="1"/>
  <c r="CZ12" i="42"/>
  <c r="CZ12" i="1" s="1"/>
  <c r="CZ448" i="42"/>
  <c r="CB13" i="53"/>
  <c r="CP254" i="42"/>
  <c r="BK268" i="1"/>
  <c r="AF181" i="1"/>
  <c r="AH180" i="1" s="1"/>
  <c r="AM168" i="1"/>
  <c r="AM179" i="1"/>
  <c r="AH140" i="1"/>
  <c r="AH141" i="1" s="1"/>
  <c r="AL140" i="1"/>
  <c r="AG143" i="1"/>
  <c r="AZ140" i="1"/>
  <c r="AZ141" i="1" s="1"/>
  <c r="AZ143" i="1" s="1"/>
  <c r="AY143" i="1"/>
  <c r="AO145" i="1"/>
  <c r="AN148" i="1"/>
  <c r="AN161" i="1" s="1"/>
  <c r="AC140" i="1"/>
  <c r="AC141" i="1" s="1"/>
  <c r="AB143" i="1"/>
  <c r="AT145" i="1"/>
  <c r="AS148" i="1"/>
  <c r="AS161" i="1" s="1"/>
  <c r="AJ145" i="1"/>
  <c r="AI148" i="1"/>
  <c r="AI161" i="1" s="1"/>
  <c r="AS140" i="1"/>
  <c r="AS141" i="1" s="1"/>
  <c r="AR143" i="1"/>
  <c r="AR179" i="1"/>
  <c r="AR168" i="1"/>
  <c r="BK143" i="1"/>
  <c r="BP140" i="1"/>
  <c r="AH168" i="1"/>
  <c r="AH179" i="1"/>
  <c r="AJ180" i="1"/>
  <c r="AI180" i="1"/>
  <c r="BC143" i="1"/>
  <c r="BD140" i="1"/>
  <c r="BD141" i="1" s="1"/>
  <c r="Y140" i="1"/>
  <c r="Y141" i="1" s="1"/>
  <c r="X143" i="1"/>
  <c r="U140" i="1"/>
  <c r="U141" i="1" s="1"/>
  <c r="U143" i="1" s="1"/>
  <c r="T143" i="1"/>
  <c r="AN140" i="1"/>
  <c r="AN141" i="1" s="1"/>
  <c r="AM143" i="1"/>
  <c r="CZ320" i="42"/>
  <c r="DD325" i="42"/>
  <c r="DB389" i="42"/>
  <c r="CN14" i="53"/>
  <c r="CZ555" i="42"/>
  <c r="CZ554" i="42"/>
  <c r="CZ173" i="42"/>
  <c r="CZ26" i="1" s="1"/>
  <c r="CL39" i="53" s="1"/>
  <c r="DB320" i="42"/>
  <c r="DA379" i="42"/>
  <c r="DA256" i="42"/>
  <c r="DA253" i="42"/>
  <c r="CM10" i="53" s="1"/>
  <c r="DA11" i="42"/>
  <c r="DA11" i="1" s="1"/>
  <c r="DA321" i="42"/>
  <c r="DA390" i="42"/>
  <c r="DA12" i="42"/>
  <c r="DA12" i="1" s="1"/>
  <c r="CY326" i="42"/>
  <c r="CY330" i="42" s="1"/>
  <c r="DD327" i="42"/>
  <c r="DC257" i="42"/>
  <c r="BY13" i="53"/>
  <c r="CW12" i="42"/>
  <c r="CW448" i="42"/>
  <c r="BY11" i="53"/>
  <c r="CR12" i="1"/>
  <c r="CR11" i="1"/>
  <c r="CP11" i="1"/>
  <c r="CV11" i="1"/>
  <c r="CP10" i="1"/>
  <c r="CM23" i="1"/>
  <c r="BW9" i="53"/>
  <c r="BW35" i="53"/>
  <c r="BW34" i="53"/>
  <c r="CY342" i="42"/>
  <c r="CU11" i="42"/>
  <c r="CU321" i="42"/>
  <c r="CV381" i="42"/>
  <c r="CV380" i="42"/>
  <c r="CV165" i="42"/>
  <c r="CV22" i="1" s="1"/>
  <c r="CH35" i="53" s="1"/>
  <c r="CT257" i="42"/>
  <c r="CT261" i="42" s="1"/>
  <c r="CY258" i="42"/>
  <c r="CU12" i="1"/>
  <c r="CU166" i="42"/>
  <c r="CU252" i="42"/>
  <c r="CU10" i="42"/>
  <c r="CV257" i="42"/>
  <c r="CY256" i="42"/>
  <c r="CW11" i="42"/>
  <c r="CW321" i="42"/>
  <c r="CV251" i="42"/>
  <c r="BU36" i="53"/>
  <c r="BX9" i="53"/>
  <c r="BT35" i="53"/>
  <c r="BT36" i="53"/>
  <c r="BN34" i="53"/>
  <c r="CG313" i="42"/>
  <c r="BV13" i="53"/>
  <c r="CQ164" i="42"/>
  <c r="CQ21" i="1" s="1"/>
  <c r="BS9" i="53"/>
  <c r="CC35" i="53"/>
  <c r="BK141" i="42"/>
  <c r="CG21" i="1"/>
  <c r="CJ23" i="1"/>
  <c r="BV36" i="53" s="1"/>
  <c r="BR35" i="53"/>
  <c r="BR34" i="53"/>
  <c r="CQ252" i="42"/>
  <c r="CR166" i="42"/>
  <c r="CP164" i="42"/>
  <c r="CP165" i="42"/>
  <c r="BK61" i="1"/>
  <c r="BK62" i="1" s="1"/>
  <c r="AW24" i="53"/>
  <c r="BX34" i="53"/>
  <c r="AD58" i="53"/>
  <c r="AD55" i="53"/>
  <c r="BK77" i="1"/>
  <c r="AW42" i="53" s="1"/>
  <c r="BK82" i="1"/>
  <c r="AW46" i="53" s="1"/>
  <c r="BK78" i="1"/>
  <c r="Y52" i="53"/>
  <c r="AD52" i="53"/>
  <c r="AV42" i="53"/>
  <c r="T55" i="53"/>
  <c r="T58" i="53"/>
  <c r="Y55" i="53"/>
  <c r="Y58" i="53"/>
  <c r="BK473" i="42"/>
  <c r="BK474" i="42" s="1"/>
  <c r="BK476" i="42"/>
  <c r="AV46" i="53"/>
  <c r="BK167" i="42"/>
  <c r="AZ50" i="53"/>
  <c r="BA50" i="53"/>
  <c r="AU63" i="53"/>
  <c r="AV62" i="53"/>
  <c r="AU47" i="53"/>
  <c r="AU62" i="53"/>
  <c r="AW62" i="53"/>
  <c r="AU38" i="53"/>
  <c r="AK180" i="1" l="1"/>
  <c r="AK181" i="1" s="1"/>
  <c r="CL13" i="53"/>
  <c r="CM13" i="53"/>
  <c r="CH13" i="53"/>
  <c r="DF390" i="42"/>
  <c r="DF12" i="42"/>
  <c r="DF12" i="1" s="1"/>
  <c r="CR13" i="53" s="1"/>
  <c r="CM11" i="53"/>
  <c r="CH11" i="53"/>
  <c r="CU323" i="42"/>
  <c r="CG13" i="53"/>
  <c r="DI325" i="42"/>
  <c r="DI326" i="42" s="1"/>
  <c r="DI342" i="42"/>
  <c r="CZ310" i="42"/>
  <c r="DE310" i="42" s="1"/>
  <c r="DE164" i="42" s="1"/>
  <c r="DE21" i="1" s="1"/>
  <c r="CQ34" i="53" s="1"/>
  <c r="CZ10" i="42"/>
  <c r="CZ10" i="1" s="1"/>
  <c r="CZ252" i="42"/>
  <c r="DG389" i="42"/>
  <c r="CS14" i="53"/>
  <c r="DE320" i="42"/>
  <c r="DA257" i="42"/>
  <c r="DF256" i="42"/>
  <c r="DF257" i="42" s="1"/>
  <c r="DF253" i="42"/>
  <c r="CR10" i="53" s="1"/>
  <c r="DE390" i="42"/>
  <c r="DE12" i="42"/>
  <c r="DE12" i="1" s="1"/>
  <c r="CQ13" i="53" s="1"/>
  <c r="DB321" i="42"/>
  <c r="DG320" i="42"/>
  <c r="CZ450" i="42"/>
  <c r="DE448" i="42"/>
  <c r="DE252" i="42"/>
  <c r="DE10" i="42"/>
  <c r="DE10" i="1" s="1"/>
  <c r="CQ9" i="53" s="1"/>
  <c r="DA165" i="42"/>
  <c r="DA22" i="1" s="1"/>
  <c r="CM35" i="53" s="1"/>
  <c r="DF379" i="42"/>
  <c r="DI406" i="42"/>
  <c r="DD326" i="42"/>
  <c r="DD330" i="42" s="1"/>
  <c r="DI327" i="42"/>
  <c r="DH257" i="42"/>
  <c r="CD13" i="53"/>
  <c r="CD11" i="53"/>
  <c r="CQ254" i="42"/>
  <c r="CP22" i="1"/>
  <c r="CB35" i="53" s="1"/>
  <c r="CP21" i="1"/>
  <c r="CB34" i="53" s="1"/>
  <c r="CR23" i="1"/>
  <c r="CZ166" i="42"/>
  <c r="CZ23" i="1" s="1"/>
  <c r="CL36" i="53" s="1"/>
  <c r="CZ449" i="42"/>
  <c r="CB11" i="53"/>
  <c r="CB9" i="53"/>
  <c r="CZ11" i="42"/>
  <c r="CZ11" i="1" s="1"/>
  <c r="Z140" i="1"/>
  <c r="Z141" i="1" s="1"/>
  <c r="Z143" i="1" s="1"/>
  <c r="Y143" i="1"/>
  <c r="BE140" i="1"/>
  <c r="BE141" i="1" s="1"/>
  <c r="BD143" i="1"/>
  <c r="AO140" i="1"/>
  <c r="AO141" i="1" s="1"/>
  <c r="AN143" i="1"/>
  <c r="AT140" i="1"/>
  <c r="AT141" i="1" s="1"/>
  <c r="AS143" i="1"/>
  <c r="AC143" i="1"/>
  <c r="AD140" i="1"/>
  <c r="AD141" i="1" s="1"/>
  <c r="AU145" i="1"/>
  <c r="AU148" i="1" s="1"/>
  <c r="AU161" i="1" s="1"/>
  <c r="AT148" i="1"/>
  <c r="AT161" i="1" s="1"/>
  <c r="AH181" i="1"/>
  <c r="AI179" i="1"/>
  <c r="AI181" i="1" s="1"/>
  <c r="AI168" i="1"/>
  <c r="AN168" i="1"/>
  <c r="AN179" i="1"/>
  <c r="AI140" i="1"/>
  <c r="AI141" i="1" s="1"/>
  <c r="AH143" i="1"/>
  <c r="AK145" i="1"/>
  <c r="AJ148" i="1"/>
  <c r="AJ161" i="1" s="1"/>
  <c r="AP145" i="1"/>
  <c r="AP148" i="1" s="1"/>
  <c r="AP161" i="1" s="1"/>
  <c r="AO148" i="1"/>
  <c r="AO161" i="1" s="1"/>
  <c r="AM180" i="1"/>
  <c r="AM181" i="1" s="1"/>
  <c r="AO180" i="1"/>
  <c r="AN180" i="1"/>
  <c r="AP180" i="1"/>
  <c r="AS179" i="1"/>
  <c r="AS168" i="1"/>
  <c r="CZ321" i="42"/>
  <c r="DB11" i="42"/>
  <c r="DB11" i="1" s="1"/>
  <c r="CZ379" i="42"/>
  <c r="DD256" i="42"/>
  <c r="DA251" i="42"/>
  <c r="DA380" i="42"/>
  <c r="DA381" i="42"/>
  <c r="CW166" i="42"/>
  <c r="CW23" i="1" s="1"/>
  <c r="CI36" i="53" s="1"/>
  <c r="DB448" i="42"/>
  <c r="DB390" i="42"/>
  <c r="DB12" i="42"/>
  <c r="DB12" i="1" s="1"/>
  <c r="CY257" i="42"/>
  <c r="CY261" i="42" s="1"/>
  <c r="DD258" i="42"/>
  <c r="CW12" i="1"/>
  <c r="CW449" i="42"/>
  <c r="CW450" i="42"/>
  <c r="BY36" i="53"/>
  <c r="CW11" i="1"/>
  <c r="CC9" i="53"/>
  <c r="CU164" i="42"/>
  <c r="CU23" i="1"/>
  <c r="CV310" i="42"/>
  <c r="CU10" i="1"/>
  <c r="CU165" i="42"/>
  <c r="CV10" i="42"/>
  <c r="CV252" i="42"/>
  <c r="CU11" i="1"/>
  <c r="BS34" i="53"/>
  <c r="AW25" i="53"/>
  <c r="AW43" i="53"/>
  <c r="AW44" i="53" s="1"/>
  <c r="BK79" i="1"/>
  <c r="BP90" i="1"/>
  <c r="BP236" i="1" s="1"/>
  <c r="BK83" i="1"/>
  <c r="AW47" i="53" s="1"/>
  <c r="AV37" i="53"/>
  <c r="BK168" i="42"/>
  <c r="AV47" i="53"/>
  <c r="BK24" i="1"/>
  <c r="AW26" i="53"/>
  <c r="AU49" i="53"/>
  <c r="CN13" i="53" l="1"/>
  <c r="CI13" i="53"/>
  <c r="CL11" i="53"/>
  <c r="CN11" i="53"/>
  <c r="CI11" i="53"/>
  <c r="CL9" i="53"/>
  <c r="CZ311" i="42"/>
  <c r="DE312" i="42"/>
  <c r="CZ164" i="42"/>
  <c r="CZ21" i="1" s="1"/>
  <c r="CL34" i="53" s="1"/>
  <c r="DE311" i="42"/>
  <c r="CZ312" i="42"/>
  <c r="DG448" i="42"/>
  <c r="DG449" i="42" s="1"/>
  <c r="CG36" i="53"/>
  <c r="CG11" i="53"/>
  <c r="CG9" i="53"/>
  <c r="DI330" i="42"/>
  <c r="DI256" i="42"/>
  <c r="DI257" i="42" s="1"/>
  <c r="DG390" i="42"/>
  <c r="DG12" i="42"/>
  <c r="DG12" i="1" s="1"/>
  <c r="CS13" i="53" s="1"/>
  <c r="CZ381" i="42"/>
  <c r="DE379" i="42"/>
  <c r="DE166" i="42"/>
  <c r="DE23" i="1" s="1"/>
  <c r="CQ36" i="53" s="1"/>
  <c r="DE450" i="42"/>
  <c r="DE449" i="42"/>
  <c r="DF165" i="42"/>
  <c r="DF22" i="1" s="1"/>
  <c r="CR35" i="53" s="1"/>
  <c r="DF380" i="42"/>
  <c r="DF381" i="42"/>
  <c r="DE11" i="42"/>
  <c r="DE11" i="1" s="1"/>
  <c r="CQ11" i="53" s="1"/>
  <c r="DE321" i="42"/>
  <c r="DA10" i="42"/>
  <c r="DA10" i="1" s="1"/>
  <c r="DF251" i="42"/>
  <c r="DG321" i="42"/>
  <c r="DG11" i="42"/>
  <c r="DG11" i="1" s="1"/>
  <c r="CS11" i="53" s="1"/>
  <c r="DD257" i="42"/>
  <c r="DD261" i="42" s="1"/>
  <c r="DI258" i="42"/>
  <c r="CD36" i="53"/>
  <c r="CC34" i="53"/>
  <c r="AO168" i="1"/>
  <c r="AO179" i="1"/>
  <c r="AO181" i="1" s="1"/>
  <c r="AJ140" i="1"/>
  <c r="AJ141" i="1" s="1"/>
  <c r="AI143" i="1"/>
  <c r="AT179" i="1"/>
  <c r="AT168" i="1"/>
  <c r="AP179" i="1"/>
  <c r="AP181" i="1" s="1"/>
  <c r="AP168" i="1"/>
  <c r="AU168" i="1"/>
  <c r="AU179" i="1"/>
  <c r="AP140" i="1"/>
  <c r="AP141" i="1" s="1"/>
  <c r="AP143" i="1" s="1"/>
  <c r="AO143" i="1"/>
  <c r="AN181" i="1"/>
  <c r="AJ179" i="1"/>
  <c r="AJ181" i="1" s="1"/>
  <c r="AJ168" i="1"/>
  <c r="AD143" i="1"/>
  <c r="AE140" i="1"/>
  <c r="AE141" i="1" s="1"/>
  <c r="BG140" i="1"/>
  <c r="BG141" i="1" s="1"/>
  <c r="BE143" i="1"/>
  <c r="AU140" i="1"/>
  <c r="AU141" i="1" s="1"/>
  <c r="AU143" i="1" s="1"/>
  <c r="AT143" i="1"/>
  <c r="CZ165" i="42"/>
  <c r="CZ22" i="1" s="1"/>
  <c r="CL35" i="53" s="1"/>
  <c r="CZ380" i="42"/>
  <c r="DA252" i="42"/>
  <c r="DA310" i="42"/>
  <c r="DB449" i="42"/>
  <c r="DB450" i="42"/>
  <c r="DB166" i="42"/>
  <c r="DB23" i="1" s="1"/>
  <c r="CN36" i="53" s="1"/>
  <c r="CV10" i="1"/>
  <c r="CV164" i="42"/>
  <c r="CV21" i="1" s="1"/>
  <c r="CH34" i="53" s="1"/>
  <c r="CV311" i="42"/>
  <c r="CV312" i="42"/>
  <c r="CU22" i="1"/>
  <c r="CU21" i="1"/>
  <c r="BP93" i="1"/>
  <c r="BP108" i="1" s="1"/>
  <c r="BB50" i="53"/>
  <c r="BZ359" i="1"/>
  <c r="CE360" i="1" s="1"/>
  <c r="BK84" i="1"/>
  <c r="BK86" i="1"/>
  <c r="AV38" i="53"/>
  <c r="BK582" i="42"/>
  <c r="BK583" i="42" s="1"/>
  <c r="BK25" i="1"/>
  <c r="AW38" i="53" s="1"/>
  <c r="AW37" i="53"/>
  <c r="AV49" i="53"/>
  <c r="BK170" i="42"/>
  <c r="BK171" i="42" s="1"/>
  <c r="BK169" i="42"/>
  <c r="BC45" i="53"/>
  <c r="BD45" i="53"/>
  <c r="AU51" i="53"/>
  <c r="AU52" i="53" s="1"/>
  <c r="AU40" i="53"/>
  <c r="DG450" i="42" l="1"/>
  <c r="DG166" i="42"/>
  <c r="DG23" i="1" s="1"/>
  <c r="CS36" i="53" s="1"/>
  <c r="CM9" i="53"/>
  <c r="CH9" i="53"/>
  <c r="CG35" i="53"/>
  <c r="CG34" i="53"/>
  <c r="DE165" i="42"/>
  <c r="DE22" i="1" s="1"/>
  <c r="CQ35" i="53" s="1"/>
  <c r="DE381" i="42"/>
  <c r="DE380" i="42"/>
  <c r="DA164" i="42"/>
  <c r="DA21" i="1" s="1"/>
  <c r="CM34" i="53" s="1"/>
  <c r="DF310" i="42"/>
  <c r="DF10" i="42"/>
  <c r="DF10" i="1" s="1"/>
  <c r="CR9" i="53" s="1"/>
  <c r="DF252" i="42"/>
  <c r="DI261" i="42"/>
  <c r="BK107" i="1"/>
  <c r="BK299" i="1"/>
  <c r="BK336" i="1"/>
  <c r="BK301" i="1"/>
  <c r="BK320" i="1" s="1"/>
  <c r="BK300" i="1"/>
  <c r="BK319" i="1" s="1"/>
  <c r="AR180" i="1"/>
  <c r="AR181" i="1" s="1"/>
  <c r="AS180" i="1"/>
  <c r="AS181" i="1" s="1"/>
  <c r="AT180" i="1"/>
  <c r="AT181" i="1" s="1"/>
  <c r="AU180" i="1"/>
  <c r="AU181" i="1" s="1"/>
  <c r="AK140" i="1"/>
  <c r="AK141" i="1" s="1"/>
  <c r="AK143" i="1" s="1"/>
  <c r="AJ143" i="1"/>
  <c r="BG143" i="1"/>
  <c r="BH140" i="1"/>
  <c r="BH141" i="1" s="1"/>
  <c r="AE143" i="1"/>
  <c r="AF140" i="1"/>
  <c r="AF141" i="1" s="1"/>
  <c r="AF143" i="1" s="1"/>
  <c r="DA312" i="42"/>
  <c r="DA311" i="42"/>
  <c r="AW48" i="53"/>
  <c r="BZ358" i="1"/>
  <c r="BZ360" i="1"/>
  <c r="BK92" i="1"/>
  <c r="BK96" i="1" s="1"/>
  <c r="AW49" i="53"/>
  <c r="BJ96" i="1"/>
  <c r="AV51" i="53"/>
  <c r="AV52" i="53" s="1"/>
  <c r="BK174" i="42"/>
  <c r="BU89" i="1"/>
  <c r="BD50" i="53"/>
  <c r="BC50" i="53"/>
  <c r="AU53" i="53"/>
  <c r="AU55" i="53"/>
  <c r="AU58" i="53"/>
  <c r="DF311" i="42" l="1"/>
  <c r="DF312" i="42"/>
  <c r="DF164" i="42"/>
  <c r="DF21" i="1" s="1"/>
  <c r="CR34" i="53" s="1"/>
  <c r="BK322" i="1"/>
  <c r="BK324" i="1" s="1"/>
  <c r="BK303" i="1"/>
  <c r="AZ180" i="1"/>
  <c r="AZ181" i="1" s="1"/>
  <c r="AX180" i="1"/>
  <c r="AX181" i="1" s="1"/>
  <c r="AY180" i="1"/>
  <c r="AY181" i="1" s="1"/>
  <c r="AW180" i="1"/>
  <c r="AW181" i="1" s="1"/>
  <c r="BI140" i="1"/>
  <c r="BI141" i="1" s="1"/>
  <c r="BH143" i="1"/>
  <c r="BZ355" i="1"/>
  <c r="BU88" i="1"/>
  <c r="BK103" i="1"/>
  <c r="AW51" i="53"/>
  <c r="AW52" i="53" s="1"/>
  <c r="BK94" i="1"/>
  <c r="AW53" i="53" s="1"/>
  <c r="AV53" i="53"/>
  <c r="BK175" i="42"/>
  <c r="BK27" i="1"/>
  <c r="AV40" i="53"/>
  <c r="BE50" i="53"/>
  <c r="BE45" i="53"/>
  <c r="BU81" i="1"/>
  <c r="BU295" i="1" s="1"/>
  <c r="BU296" i="1" s="1"/>
  <c r="BF45" i="53"/>
  <c r="BK312" i="1" l="1"/>
  <c r="BK331" i="1"/>
  <c r="BK335" i="1"/>
  <c r="BK337" i="1"/>
  <c r="BK326" i="1"/>
  <c r="BK329" i="1" s="1"/>
  <c r="BK334" i="1"/>
  <c r="BK338" i="1"/>
  <c r="BI143" i="1"/>
  <c r="BJ140" i="1"/>
  <c r="BJ141" i="1" s="1"/>
  <c r="BB180" i="1"/>
  <c r="BB181" i="1" s="1"/>
  <c r="BE180" i="1"/>
  <c r="BE181" i="1" s="1"/>
  <c r="BC180" i="1"/>
  <c r="BC181" i="1" s="1"/>
  <c r="BD180" i="1"/>
  <c r="BD181" i="1" s="1"/>
  <c r="BK176" i="42"/>
  <c r="BK177" i="42"/>
  <c r="BK178" i="42" s="1"/>
  <c r="AW40" i="53"/>
  <c r="BK28" i="1"/>
  <c r="BF50" i="53"/>
  <c r="BG45" i="53"/>
  <c r="AU59" i="53"/>
  <c r="BH180" i="1" l="1"/>
  <c r="BH181" i="1" s="1"/>
  <c r="BI180" i="1"/>
  <c r="BI181" i="1" s="1"/>
  <c r="BJ180" i="1"/>
  <c r="BJ181" i="1" s="1"/>
  <c r="BG180" i="1"/>
  <c r="BG181" i="1" s="1"/>
  <c r="BL140" i="1"/>
  <c r="BJ143" i="1"/>
  <c r="BU90" i="1"/>
  <c r="BU236" i="1" s="1"/>
  <c r="BI45" i="53"/>
  <c r="BH45" i="53"/>
  <c r="AV59" i="53"/>
  <c r="AU61" i="53"/>
  <c r="AU60" i="53"/>
  <c r="BO180" i="1" l="1"/>
  <c r="BM180" i="1"/>
  <c r="BL180" i="1"/>
  <c r="BG50" i="53"/>
  <c r="BU93" i="1"/>
  <c r="BU108" i="1" s="1"/>
  <c r="AV60" i="53"/>
  <c r="AW59" i="53"/>
  <c r="BN180" i="1" l="1"/>
  <c r="BH50" i="53"/>
  <c r="BI50" i="53"/>
  <c r="BJ45" i="53"/>
  <c r="BZ89" i="1"/>
  <c r="AW60" i="53"/>
  <c r="CJ359" i="1" l="1"/>
  <c r="CJ360" i="1" s="1"/>
  <c r="BZ88" i="1"/>
  <c r="CJ358" i="1" l="1"/>
  <c r="BN45" i="53"/>
  <c r="BK50" i="53"/>
  <c r="BJ50" i="53"/>
  <c r="CJ355" i="1" l="1"/>
  <c r="BZ90" i="1"/>
  <c r="BZ236" i="1" s="1"/>
  <c r="BP45" i="53" l="1"/>
  <c r="BO45" i="53"/>
  <c r="BZ93" i="1"/>
  <c r="BZ108" i="1" s="1"/>
  <c r="BL50" i="53"/>
  <c r="CO359" i="1" l="1"/>
  <c r="BR45" i="53"/>
  <c r="BM50" i="53"/>
  <c r="CO358" i="1" l="1"/>
  <c r="CO360" i="1"/>
  <c r="CR358" i="1" l="1"/>
  <c r="CO355" i="1"/>
  <c r="BS45" i="53"/>
  <c r="CV359" i="1" l="1"/>
  <c r="CU358" i="1"/>
  <c r="CS358" i="1"/>
  <c r="CT359" i="1"/>
  <c r="CT360" i="1" s="1"/>
  <c r="BT45" i="53"/>
  <c r="AV56" i="53"/>
  <c r="CT358" i="1" l="1"/>
  <c r="CW359" i="1"/>
  <c r="CV358" i="1"/>
  <c r="AW56" i="53"/>
  <c r="BJ98" i="1"/>
  <c r="BJ224" i="1" l="1"/>
  <c r="BJ240" i="1" s="1"/>
  <c r="AV61" i="53" s="1"/>
  <c r="BK224" i="1"/>
  <c r="BK240" i="1" s="1"/>
  <c r="AW61" i="53" s="1"/>
  <c r="CX359" i="1"/>
  <c r="CZ359" i="1" s="1"/>
  <c r="CW358" i="1"/>
  <c r="CT355" i="1"/>
  <c r="BK98" i="1"/>
  <c r="AV55" i="53"/>
  <c r="AV58" i="53"/>
  <c r="BJ99" i="1"/>
  <c r="BJ225" i="1" l="1"/>
  <c r="BK225" i="1"/>
  <c r="DA359" i="1"/>
  <c r="CZ358" i="1"/>
  <c r="CX358" i="1"/>
  <c r="CY359" i="1"/>
  <c r="CY360" i="1" s="1"/>
  <c r="BK99" i="1"/>
  <c r="BK243" i="1" s="1"/>
  <c r="AW55" i="53"/>
  <c r="AW58" i="53"/>
  <c r="CY358" i="1" l="1"/>
  <c r="DB359" i="1"/>
  <c r="DA358" i="1"/>
  <c r="CY354" i="1"/>
  <c r="CY355" i="1" s="1"/>
  <c r="DC359" i="1" l="1"/>
  <c r="DB358" i="1"/>
  <c r="CW354" i="1"/>
  <c r="CX354" i="1"/>
  <c r="CU354" i="1"/>
  <c r="CV354" i="1"/>
  <c r="CW355" i="1"/>
  <c r="CW351" i="1" s="1"/>
  <c r="CU355" i="1"/>
  <c r="CX355" i="1"/>
  <c r="CX351" i="1" s="1"/>
  <c r="CV355" i="1"/>
  <c r="CV351" i="1" s="1"/>
  <c r="DC358" i="1" l="1"/>
  <c r="DE359" i="1"/>
  <c r="DD359" i="1"/>
  <c r="DD360" i="1" s="1"/>
  <c r="DD358" i="1"/>
  <c r="DD354" i="1" l="1"/>
  <c r="DA354" i="1" s="1"/>
  <c r="DE358" i="1"/>
  <c r="DF359" i="1"/>
  <c r="DB354" i="1" l="1"/>
  <c r="DD355" i="1"/>
  <c r="DA355" i="1" s="1"/>
  <c r="DA351" i="1" s="1"/>
  <c r="CZ354" i="1"/>
  <c r="DC354" i="1"/>
  <c r="DG359" i="1"/>
  <c r="DF358" i="1"/>
  <c r="AX56" i="53"/>
  <c r="DB355" i="1" l="1"/>
  <c r="DB351" i="1" s="1"/>
  <c r="CZ355" i="1"/>
  <c r="CZ351" i="1" s="1"/>
  <c r="DC355" i="1"/>
  <c r="DC351" i="1" s="1"/>
  <c r="DH359" i="1"/>
  <c r="DG358" i="1"/>
  <c r="AZ56" i="53"/>
  <c r="BA56" i="53"/>
  <c r="AY56" i="53"/>
  <c r="DH358" i="1" l="1"/>
  <c r="DI359" i="1"/>
  <c r="BB56" i="53"/>
  <c r="DI360" i="1" l="1"/>
  <c r="DI354" i="1"/>
  <c r="DI358" i="1"/>
  <c r="DE354" i="1" l="1"/>
  <c r="DG354" i="1"/>
  <c r="DI355" i="1"/>
  <c r="DH354" i="1"/>
  <c r="DF354" i="1"/>
  <c r="DF355" i="1" l="1"/>
  <c r="DF351" i="1" s="1"/>
  <c r="DH355" i="1"/>
  <c r="DH351" i="1" s="1"/>
  <c r="DE355" i="1"/>
  <c r="DE351" i="1" s="1"/>
  <c r="DG355" i="1"/>
  <c r="DG351" i="1" s="1"/>
  <c r="BC56" i="53" l="1"/>
  <c r="BE56" i="53"/>
  <c r="BF56" i="53"/>
  <c r="BL56" i="53" l="1"/>
  <c r="BD56" i="53"/>
  <c r="BG56" i="53"/>
  <c r="BP35" i="42" l="1"/>
  <c r="BP265" i="42"/>
  <c r="BN264" i="42" l="1"/>
  <c r="BN268" i="42" s="1"/>
  <c r="BN252" i="42"/>
  <c r="BP251" i="42"/>
  <c r="BN10" i="42"/>
  <c r="AZ10" i="53"/>
  <c r="BP253" i="42"/>
  <c r="BP263" i="42"/>
  <c r="BU253" i="42" l="1"/>
  <c r="BU252" i="42"/>
  <c r="BU254" i="42"/>
  <c r="BP264" i="42"/>
  <c r="BP268" i="42" s="1"/>
  <c r="BU265" i="42"/>
  <c r="BU264" i="42"/>
  <c r="BN254" i="42"/>
  <c r="BB10" i="53"/>
  <c r="BP16" i="42"/>
  <c r="BN311" i="42"/>
  <c r="BN312" i="42"/>
  <c r="BP310" i="42"/>
  <c r="BN164" i="42"/>
  <c r="BE10" i="53"/>
  <c r="AZ22" i="53"/>
  <c r="BP22" i="42"/>
  <c r="BP252" i="42"/>
  <c r="AZ17" i="53"/>
  <c r="BP10" i="42"/>
  <c r="BN10" i="1"/>
  <c r="BU268" i="42" l="1"/>
  <c r="BN313" i="42"/>
  <c r="BS313" i="42"/>
  <c r="BG10" i="53"/>
  <c r="BP254" i="42"/>
  <c r="BN21" i="1"/>
  <c r="BP164" i="42"/>
  <c r="BB17" i="53"/>
  <c r="BP311" i="42"/>
  <c r="BP312" i="42"/>
  <c r="BP313" i="42" s="1"/>
  <c r="BX264" i="42"/>
  <c r="BX268" i="42" s="1"/>
  <c r="BZ263" i="42"/>
  <c r="BJ10" i="53"/>
  <c r="AZ9" i="53"/>
  <c r="BP10" i="1"/>
  <c r="BZ265" i="42"/>
  <c r="BB22" i="53"/>
  <c r="CE265" i="42" l="1"/>
  <c r="CE264" i="42"/>
  <c r="BO10" i="53"/>
  <c r="BZ264" i="42"/>
  <c r="BZ268" i="42" s="1"/>
  <c r="BB9" i="53"/>
  <c r="BP21" i="1"/>
  <c r="BX252" i="42"/>
  <c r="BX10" i="42"/>
  <c r="AZ34" i="53"/>
  <c r="BU10" i="42"/>
  <c r="BT10" i="53" l="1"/>
  <c r="CE268" i="42"/>
  <c r="BX254" i="42"/>
  <c r="CJ263" i="42"/>
  <c r="CJ265" i="42"/>
  <c r="CC164" i="42"/>
  <c r="BU10" i="1"/>
  <c r="BG9" i="53" s="1"/>
  <c r="BB34" i="53"/>
  <c r="BX10" i="1"/>
  <c r="BE9" i="53"/>
  <c r="BX164" i="42"/>
  <c r="BY10" i="53" l="1"/>
  <c r="CC21" i="1"/>
  <c r="BO34" i="53" s="1"/>
  <c r="CE164" i="42"/>
  <c r="CM264" i="42"/>
  <c r="CM268" i="42" s="1"/>
  <c r="CO263" i="42"/>
  <c r="CJ264" i="42"/>
  <c r="CJ268" i="42" s="1"/>
  <c r="CO265" i="42"/>
  <c r="BE34" i="53"/>
  <c r="BO9" i="53"/>
  <c r="BJ9" i="53"/>
  <c r="BX21" i="1"/>
  <c r="CD10" i="53" l="1"/>
  <c r="CW263" i="42"/>
  <c r="CW253" i="42"/>
  <c r="CI10" i="53" s="1"/>
  <c r="CR264" i="42"/>
  <c r="CT263" i="42"/>
  <c r="CO264" i="42"/>
  <c r="CO268" i="42" s="1"/>
  <c r="CT265" i="42"/>
  <c r="CM10" i="42"/>
  <c r="CM252" i="42"/>
  <c r="CH10" i="1"/>
  <c r="BJ34" i="53"/>
  <c r="DB263" i="42" l="1"/>
  <c r="DB253" i="42"/>
  <c r="CN10" i="53" s="1"/>
  <c r="CM254" i="42"/>
  <c r="CM10" i="1"/>
  <c r="CW251" i="42"/>
  <c r="CT264" i="42"/>
  <c r="CT268" i="42" s="1"/>
  <c r="CY265" i="42"/>
  <c r="CW264" i="42"/>
  <c r="CY263" i="42"/>
  <c r="BT9" i="53"/>
  <c r="CH21" i="1"/>
  <c r="CR252" i="42"/>
  <c r="CR10" i="42"/>
  <c r="CM312" i="42"/>
  <c r="CM164" i="42"/>
  <c r="CM311" i="42"/>
  <c r="BL9" i="42"/>
  <c r="BL9" i="1" s="1"/>
  <c r="BL243" i="42"/>
  <c r="BL242" i="42"/>
  <c r="BL183" i="42"/>
  <c r="BL163" i="42"/>
  <c r="BL195" i="42"/>
  <c r="BL199" i="42" s="1"/>
  <c r="BL202" i="42"/>
  <c r="BL204" i="42" s="1"/>
  <c r="BL188" i="42"/>
  <c r="BL192" i="42" s="1"/>
  <c r="DG263" i="42" l="1"/>
  <c r="DG253" i="42"/>
  <c r="CS10" i="53" s="1"/>
  <c r="CM313" i="42"/>
  <c r="CR313" i="42"/>
  <c r="CR254" i="42"/>
  <c r="CR268" i="42" s="1"/>
  <c r="DB251" i="42"/>
  <c r="DB264" i="42"/>
  <c r="DD263" i="42"/>
  <c r="CY264" i="42"/>
  <c r="CY268" i="42" s="1"/>
  <c r="DD265" i="42"/>
  <c r="BY9" i="53"/>
  <c r="CR10" i="1"/>
  <c r="CM21" i="1"/>
  <c r="CW252" i="42"/>
  <c r="CW10" i="42"/>
  <c r="BT34" i="53"/>
  <c r="BL244" i="42"/>
  <c r="BL14" i="42"/>
  <c r="BL185" i="42"/>
  <c r="AX7" i="53"/>
  <c r="BL14" i="1"/>
  <c r="BL27" i="42"/>
  <c r="BL31" i="42" s="1"/>
  <c r="BL34" i="42"/>
  <c r="BL38" i="42" s="1"/>
  <c r="BL41" i="42"/>
  <c r="BL43" i="42" s="1"/>
  <c r="BC8" i="53"/>
  <c r="BL20" i="1"/>
  <c r="DG251" i="42" l="1"/>
  <c r="DG264" i="42"/>
  <c r="DI263" i="42"/>
  <c r="DI264" i="42" s="1"/>
  <c r="DD264" i="42"/>
  <c r="DD268" i="42" s="1"/>
  <c r="DI265" i="42"/>
  <c r="CD9" i="53"/>
  <c r="DB252" i="42"/>
  <c r="DB10" i="42"/>
  <c r="DB10" i="1" s="1"/>
  <c r="BY34" i="53"/>
  <c r="CW10" i="1"/>
  <c r="BL20" i="42"/>
  <c r="BL21" i="42" s="1"/>
  <c r="BL23" i="42" s="1"/>
  <c r="BL49" i="42"/>
  <c r="AX16" i="53"/>
  <c r="BL15" i="42"/>
  <c r="BL17" i="42" s="1"/>
  <c r="BL17" i="1"/>
  <c r="AX33" i="53"/>
  <c r="CI9" i="53" l="1"/>
  <c r="CN9" i="53"/>
  <c r="DI268" i="42"/>
  <c r="DG252" i="42"/>
  <c r="DG10" i="42"/>
  <c r="DG10" i="1" s="1"/>
  <c r="CS9" i="53" s="1"/>
  <c r="BC17" i="53"/>
  <c r="BC22" i="53"/>
  <c r="AX21" i="53" l="1"/>
  <c r="BL58" i="1"/>
  <c r="AX29" i="53" l="1"/>
  <c r="BL68" i="1"/>
  <c r="AX23" i="53"/>
  <c r="BL64" i="1"/>
  <c r="BL71" i="1"/>
  <c r="AX27" i="53"/>
  <c r="BL133" i="42"/>
  <c r="BL134" i="42" s="1"/>
  <c r="BL135" i="42" s="1"/>
  <c r="AX24" i="53"/>
  <c r="BL141" i="42" l="1"/>
  <c r="BL76" i="1"/>
  <c r="BL82" i="1" s="1"/>
  <c r="AX28" i="53"/>
  <c r="BL132" i="42"/>
  <c r="AX30" i="53"/>
  <c r="BL73" i="1"/>
  <c r="BL74" i="1" s="1"/>
  <c r="AX31" i="53"/>
  <c r="BL72" i="1"/>
  <c r="BL476" i="42"/>
  <c r="BL167" i="42"/>
  <c r="BL98" i="1" l="1"/>
  <c r="BL224" i="1" s="1"/>
  <c r="BL240" i="1" s="1"/>
  <c r="BL78" i="1"/>
  <c r="BL79" i="1" s="1"/>
  <c r="BL77" i="1"/>
  <c r="AX42" i="53" s="1"/>
  <c r="AX41" i="53"/>
  <c r="BL84" i="1"/>
  <c r="AX48" i="53" s="1"/>
  <c r="AX43" i="53"/>
  <c r="AX44" i="53" s="1"/>
  <c r="AX46" i="53"/>
  <c r="BL24" i="1"/>
  <c r="BL168" i="42"/>
  <c r="BL99" i="1" l="1"/>
  <c r="BL225" i="1" s="1"/>
  <c r="AX47" i="53"/>
  <c r="BL86" i="1"/>
  <c r="AX37" i="53"/>
  <c r="BL25" i="1"/>
  <c r="BL169" i="42"/>
  <c r="BL170" i="42"/>
  <c r="BL171" i="42" s="1"/>
  <c r="BL107" i="1" l="1"/>
  <c r="BL109" i="1" s="1"/>
  <c r="BL145" i="1"/>
  <c r="AX62" i="53"/>
  <c r="AX63" i="53"/>
  <c r="AX49" i="53"/>
  <c r="BL92" i="1"/>
  <c r="BL583" i="42"/>
  <c r="BL174" i="42"/>
  <c r="AX38" i="53"/>
  <c r="BL148" i="1" l="1"/>
  <c r="BL161" i="1" s="1"/>
  <c r="BL122" i="1"/>
  <c r="BL103" i="1"/>
  <c r="AX51" i="53"/>
  <c r="AX52" i="53" s="1"/>
  <c r="BL96" i="1"/>
  <c r="BL94" i="1"/>
  <c r="BL27" i="1"/>
  <c r="BL175" i="42"/>
  <c r="BL168" i="1" l="1"/>
  <c r="BL179" i="1"/>
  <c r="BL181" i="1" s="1"/>
  <c r="BL138" i="1"/>
  <c r="BL141" i="1" s="1"/>
  <c r="BL142" i="1"/>
  <c r="AX58" i="53" s="1"/>
  <c r="AX53" i="53"/>
  <c r="AX55" i="53"/>
  <c r="AX40" i="53"/>
  <c r="BL28" i="1"/>
  <c r="BL176" i="42"/>
  <c r="BL177" i="42"/>
  <c r="BL178" i="42" s="1"/>
  <c r="BM140" i="1" l="1"/>
  <c r="BL143" i="1"/>
  <c r="AX59" i="53" l="1"/>
  <c r="AX61" i="53" l="1"/>
  <c r="AX60" i="53"/>
  <c r="BM202" i="42" l="1"/>
  <c r="BM204" i="42" s="1"/>
  <c r="BM183" i="42"/>
  <c r="BM188" i="42"/>
  <c r="BM192" i="42" s="1"/>
  <c r="BM195" i="42"/>
  <c r="BM199" i="42" s="1"/>
  <c r="BM9" i="42"/>
  <c r="BM185" i="42" l="1"/>
  <c r="BM9" i="1"/>
  <c r="BM14" i="42"/>
  <c r="BM34" i="42"/>
  <c r="BM38" i="42" s="1"/>
  <c r="BM242" i="42"/>
  <c r="BM243" i="42"/>
  <c r="BM163" i="42"/>
  <c r="BM41" i="42"/>
  <c r="BM43" i="42" s="1"/>
  <c r="BM27" i="42"/>
  <c r="BM31" i="42" s="1"/>
  <c r="BD8" i="53"/>
  <c r="BM244" i="42" l="1"/>
  <c r="BM49" i="42"/>
  <c r="BM20" i="42"/>
  <c r="BM15" i="42"/>
  <c r="AY7" i="53"/>
  <c r="BM14" i="1"/>
  <c r="BM20" i="1"/>
  <c r="BD17" i="53" l="1"/>
  <c r="BM17" i="42"/>
  <c r="AY16" i="53"/>
  <c r="BM17" i="1"/>
  <c r="AY33" i="53"/>
  <c r="BM21" i="42"/>
  <c r="BM23" i="42" s="1"/>
  <c r="AY21" i="53" l="1"/>
  <c r="BM58" i="1"/>
  <c r="BD22" i="53"/>
  <c r="AY23" i="53" l="1"/>
  <c r="AY24" i="53"/>
  <c r="BM133" i="42"/>
  <c r="BM134" i="42" s="1"/>
  <c r="BM135" i="42" s="1"/>
  <c r="AY29" i="53"/>
  <c r="BM68" i="1"/>
  <c r="BM71" i="1"/>
  <c r="BR72" i="1" s="1"/>
  <c r="AY27" i="53"/>
  <c r="BM64" i="1"/>
  <c r="BM141" i="42" l="1"/>
  <c r="BM76" i="1"/>
  <c r="AY41" i="53" s="1"/>
  <c r="AY30" i="53"/>
  <c r="AY28" i="53"/>
  <c r="BM132" i="42"/>
  <c r="BM72" i="1"/>
  <c r="BM73" i="1"/>
  <c r="AY31" i="53"/>
  <c r="BM78" i="1" l="1"/>
  <c r="BM79" i="1" s="1"/>
  <c r="BM77" i="1"/>
  <c r="AY42" i="53" s="1"/>
  <c r="BM74" i="1"/>
  <c r="BR74" i="1"/>
  <c r="BM82" i="1"/>
  <c r="BM84" i="1" s="1"/>
  <c r="AY48" i="53" s="1"/>
  <c r="BM98" i="1"/>
  <c r="BM224" i="1" s="1"/>
  <c r="BM240" i="1" s="1"/>
  <c r="AY43" i="53" l="1"/>
  <c r="AY44" i="53" s="1"/>
  <c r="AY46" i="53"/>
  <c r="BM99" i="1"/>
  <c r="BM225" i="1" s="1"/>
  <c r="BM86" i="1"/>
  <c r="BM476" i="42"/>
  <c r="BM167" i="42"/>
  <c r="AY47" i="53"/>
  <c r="BM107" i="1" l="1"/>
  <c r="BM109" i="1" s="1"/>
  <c r="BM145" i="1"/>
  <c r="BM92" i="1"/>
  <c r="BM94" i="1" s="1"/>
  <c r="AY49" i="53"/>
  <c r="AY63" i="53"/>
  <c r="AY62" i="53"/>
  <c r="BM24" i="1"/>
  <c r="BM168" i="42"/>
  <c r="BM148" i="1" l="1"/>
  <c r="BM161" i="1" s="1"/>
  <c r="BM122" i="1"/>
  <c r="BM103" i="1"/>
  <c r="AY51" i="53"/>
  <c r="AY52" i="53" s="1"/>
  <c r="BM96" i="1"/>
  <c r="AY53" i="53"/>
  <c r="AY37" i="53"/>
  <c r="BM25" i="1"/>
  <c r="BM169" i="42"/>
  <c r="BM170" i="42"/>
  <c r="BM171" i="42" s="1"/>
  <c r="BM138" i="1" l="1"/>
  <c r="BM141" i="1" s="1"/>
  <c r="BM142" i="1"/>
  <c r="AY58" i="53" s="1"/>
  <c r="BM179" i="1"/>
  <c r="BM181" i="1" s="1"/>
  <c r="BM168" i="1"/>
  <c r="BM583" i="42"/>
  <c r="BM174" i="42"/>
  <c r="AY38" i="53"/>
  <c r="AY55" i="53"/>
  <c r="BM143" i="1" l="1"/>
  <c r="BN140" i="1"/>
  <c r="BM27" i="1"/>
  <c r="BM175" i="42"/>
  <c r="BM176" i="42" l="1"/>
  <c r="BM177" i="42"/>
  <c r="BM178" i="42" s="1"/>
  <c r="AY59" i="53"/>
  <c r="AY40" i="53"/>
  <c r="BM28" i="1"/>
  <c r="AY60" i="53" l="1"/>
  <c r="AY61" i="53"/>
  <c r="BN41" i="42" l="1"/>
  <c r="BN43" i="42" s="1"/>
  <c r="BN183" i="42"/>
  <c r="BN188" i="42"/>
  <c r="BN192" i="42" s="1"/>
  <c r="BN195" i="42"/>
  <c r="BN199" i="42" s="1"/>
  <c r="BN9" i="42"/>
  <c r="BN34" i="42"/>
  <c r="BN38" i="42" s="1"/>
  <c r="BN202" i="42"/>
  <c r="BN204" i="42" s="1"/>
  <c r="BN185" i="42" l="1"/>
  <c r="BN27" i="42"/>
  <c r="BN31" i="42" s="1"/>
  <c r="BN243" i="42"/>
  <c r="BN242" i="42"/>
  <c r="BN163" i="42"/>
  <c r="BN14" i="42"/>
  <c r="BN9" i="1"/>
  <c r="BN49" i="42" l="1"/>
  <c r="BS15" i="42"/>
  <c r="BS17" i="42" s="1"/>
  <c r="BN244" i="42"/>
  <c r="BS244" i="42"/>
  <c r="AZ7" i="53"/>
  <c r="BN14" i="1"/>
  <c r="BE8" i="53"/>
  <c r="BN20" i="1"/>
  <c r="BN15" i="42"/>
  <c r="BN20" i="42"/>
  <c r="BS21" i="42" l="1"/>
  <c r="BS23" i="42" s="1"/>
  <c r="BE17" i="53"/>
  <c r="BN17" i="42"/>
  <c r="BN21" i="42"/>
  <c r="BN23" i="42" s="1"/>
  <c r="AZ33" i="53"/>
  <c r="BN17" i="1"/>
  <c r="AZ16" i="53"/>
  <c r="BE22" i="53" l="1"/>
  <c r="AZ21" i="53"/>
  <c r="BN58" i="1"/>
  <c r="BN64" i="1" l="1"/>
  <c r="AZ27" i="53"/>
  <c r="BN71" i="1"/>
  <c r="AZ29" i="53"/>
  <c r="BN68" i="1"/>
  <c r="BN133" i="42"/>
  <c r="BN134" i="42" s="1"/>
  <c r="BN135" i="42" s="1"/>
  <c r="AZ24" i="53"/>
  <c r="AZ23" i="53"/>
  <c r="BN141" i="42" l="1"/>
  <c r="BS72" i="1"/>
  <c r="AZ30" i="53"/>
  <c r="BN72" i="1"/>
  <c r="BN73" i="1"/>
  <c r="AZ31" i="53"/>
  <c r="BN132" i="42"/>
  <c r="BN76" i="1"/>
  <c r="AZ28" i="53"/>
  <c r="BS77" i="1" l="1"/>
  <c r="BN74" i="1"/>
  <c r="BS74" i="1"/>
  <c r="AZ41" i="53"/>
  <c r="BN77" i="1"/>
  <c r="BN98" i="1"/>
  <c r="BN224" i="1" s="1"/>
  <c r="BN240" i="1" s="1"/>
  <c r="BN78" i="1"/>
  <c r="BS79" i="1" s="1"/>
  <c r="BN82" i="1"/>
  <c r="BN84" i="1" l="1"/>
  <c r="AZ48" i="53" s="1"/>
  <c r="AZ42" i="53"/>
  <c r="BN99" i="1"/>
  <c r="BN225" i="1" s="1"/>
  <c r="BN79" i="1"/>
  <c r="AZ43" i="53"/>
  <c r="AZ44" i="53" s="1"/>
  <c r="BN476" i="42"/>
  <c r="BN167" i="42"/>
  <c r="AZ46" i="53"/>
  <c r="AZ63" i="53" l="1"/>
  <c r="BN24" i="1"/>
  <c r="BN168" i="42"/>
  <c r="BS169" i="42" s="1"/>
  <c r="AZ62" i="53"/>
  <c r="AZ47" i="53"/>
  <c r="BN86" i="1"/>
  <c r="BN92" i="1" s="1"/>
  <c r="BN107" i="1" l="1"/>
  <c r="BN109" i="1" s="1"/>
  <c r="BN145" i="1"/>
  <c r="AZ37" i="53"/>
  <c r="BN25" i="1"/>
  <c r="BN169" i="42"/>
  <c r="BN170" i="42"/>
  <c r="AZ49" i="53"/>
  <c r="BS96" i="1"/>
  <c r="BN148" i="1" l="1"/>
  <c r="BN161" i="1" s="1"/>
  <c r="BN122" i="1"/>
  <c r="BN171" i="42"/>
  <c r="BS171" i="42"/>
  <c r="BN103" i="1"/>
  <c r="BN96" i="1"/>
  <c r="AZ51" i="53"/>
  <c r="AZ52" i="53" s="1"/>
  <c r="BN94" i="1"/>
  <c r="BN583" i="42"/>
  <c r="BN174" i="42"/>
  <c r="AZ38" i="53"/>
  <c r="BN142" i="1" l="1"/>
  <c r="BN138" i="1"/>
  <c r="BN141" i="1" s="1"/>
  <c r="BN179" i="1"/>
  <c r="BN181" i="1" s="1"/>
  <c r="BN168" i="1"/>
  <c r="AZ53" i="53"/>
  <c r="AZ58" i="53"/>
  <c r="AZ55" i="53"/>
  <c r="BN27" i="1"/>
  <c r="BN175" i="42"/>
  <c r="BS176" i="42" s="1"/>
  <c r="BN143" i="1" l="1"/>
  <c r="BO140" i="1"/>
  <c r="BN176" i="42"/>
  <c r="BN177" i="42"/>
  <c r="AZ40" i="53"/>
  <c r="BN28" i="1"/>
  <c r="BN178" i="42" l="1"/>
  <c r="BS178" i="42"/>
  <c r="AZ59" i="53"/>
  <c r="AZ60" i="53" l="1"/>
  <c r="AZ61" i="53"/>
  <c r="BO9" i="42" l="1"/>
  <c r="BO14" i="42" l="1"/>
  <c r="BP9" i="42"/>
  <c r="BO9" i="1"/>
  <c r="BO188" i="42"/>
  <c r="BO192" i="42" s="1"/>
  <c r="BP187" i="42"/>
  <c r="BO183" i="42"/>
  <c r="BP182" i="42"/>
  <c r="BO195" i="42"/>
  <c r="BO199" i="42" s="1"/>
  <c r="BP194" i="42"/>
  <c r="BO202" i="42"/>
  <c r="BO204" i="42" s="1"/>
  <c r="BP201" i="42"/>
  <c r="BP195" i="42" l="1"/>
  <c r="BP199" i="42" s="1"/>
  <c r="BU196" i="42"/>
  <c r="BU195" i="42"/>
  <c r="BP202" i="42"/>
  <c r="BP204" i="42" s="1"/>
  <c r="BU203" i="42"/>
  <c r="BU202" i="42"/>
  <c r="BP188" i="42"/>
  <c r="BP192" i="42" s="1"/>
  <c r="BU189" i="42"/>
  <c r="BU188" i="42"/>
  <c r="BU184" i="42"/>
  <c r="BU183" i="42"/>
  <c r="BO49" i="42"/>
  <c r="BO185" i="42"/>
  <c r="BP185" i="42" s="1"/>
  <c r="BO41" i="42"/>
  <c r="BO43" i="42" s="1"/>
  <c r="BP40" i="42"/>
  <c r="BP183" i="42"/>
  <c r="BA7" i="53"/>
  <c r="BO14" i="1"/>
  <c r="BP9" i="1"/>
  <c r="BO34" i="42"/>
  <c r="BO38" i="42" s="1"/>
  <c r="BP33" i="42"/>
  <c r="BP14" i="42"/>
  <c r="BO15" i="42"/>
  <c r="BO20" i="42"/>
  <c r="BO242" i="42"/>
  <c r="BO243" i="42"/>
  <c r="BP241" i="42"/>
  <c r="BO163" i="42"/>
  <c r="BO27" i="42"/>
  <c r="BO31" i="42" s="1"/>
  <c r="BP26" i="42"/>
  <c r="BP34" i="42" l="1"/>
  <c r="BP38" i="42" s="1"/>
  <c r="BP27" i="42"/>
  <c r="BP31" i="42" s="1"/>
  <c r="BP41" i="42"/>
  <c r="BP43" i="42" s="1"/>
  <c r="BU192" i="42"/>
  <c r="BU199" i="42"/>
  <c r="BU42" i="42"/>
  <c r="BU204" i="42"/>
  <c r="BO244" i="42"/>
  <c r="BT244" i="42"/>
  <c r="BP49" i="42"/>
  <c r="BO17" i="42"/>
  <c r="BB7" i="53"/>
  <c r="BP14" i="1"/>
  <c r="BU28" i="42"/>
  <c r="BP242" i="42"/>
  <c r="BP243" i="42"/>
  <c r="BP244" i="42" s="1"/>
  <c r="BP15" i="42"/>
  <c r="BP17" i="42" s="1"/>
  <c r="BO21" i="42"/>
  <c r="BO23" i="42" s="1"/>
  <c r="BP20" i="42"/>
  <c r="BO20" i="1"/>
  <c r="BP163" i="42"/>
  <c r="BF8" i="53"/>
  <c r="BU35" i="42"/>
  <c r="BA16" i="53"/>
  <c r="BO17" i="1"/>
  <c r="BF17" i="53" l="1"/>
  <c r="BG8" i="53"/>
  <c r="BU16" i="42"/>
  <c r="BB16" i="53"/>
  <c r="BP17" i="1"/>
  <c r="BP57" i="1" s="1"/>
  <c r="BA33" i="53"/>
  <c r="BA21" i="53"/>
  <c r="BO58" i="1"/>
  <c r="BF22" i="53"/>
  <c r="BU22" i="42"/>
  <c r="BP20" i="1"/>
  <c r="BP21" i="42"/>
  <c r="BP23" i="42" s="1"/>
  <c r="BP253" i="1" l="1"/>
  <c r="BP255" i="1" s="1"/>
  <c r="BP256" i="1" s="1"/>
  <c r="BP327" i="1"/>
  <c r="BP333" i="1"/>
  <c r="BP242" i="1"/>
  <c r="BP274" i="1"/>
  <c r="BP231" i="1"/>
  <c r="BG22" i="53"/>
  <c r="BG17" i="53"/>
  <c r="BA24" i="53"/>
  <c r="BO133" i="42"/>
  <c r="BO134" i="42" s="1"/>
  <c r="BO135" i="42" s="1"/>
  <c r="BP58" i="1"/>
  <c r="BB21" i="53"/>
  <c r="BA27" i="53"/>
  <c r="BP63" i="1"/>
  <c r="BO71" i="1"/>
  <c r="BO64" i="1"/>
  <c r="BA23" i="53"/>
  <c r="BO68" i="1"/>
  <c r="BA29" i="53"/>
  <c r="BP67" i="1"/>
  <c r="BB33" i="53"/>
  <c r="BO141" i="42" l="1"/>
  <c r="BT72" i="1"/>
  <c r="BO76" i="1"/>
  <c r="BO77" i="1" s="1"/>
  <c r="BA30" i="53"/>
  <c r="BB29" i="53"/>
  <c r="BP69" i="1"/>
  <c r="BP70" i="1" s="1"/>
  <c r="BP68" i="1"/>
  <c r="BB30" i="53" s="1"/>
  <c r="BP71" i="1"/>
  <c r="BP64" i="1"/>
  <c r="BB27" i="53"/>
  <c r="BP65" i="1"/>
  <c r="BO132" i="42"/>
  <c r="BP59" i="1"/>
  <c r="BP258" i="1" s="1"/>
  <c r="BA28" i="53"/>
  <c r="BB23" i="53"/>
  <c r="BA31" i="53"/>
  <c r="BO72" i="1"/>
  <c r="BO73" i="1"/>
  <c r="BP260" i="1" l="1"/>
  <c r="BP261" i="1" s="1"/>
  <c r="BP263" i="1"/>
  <c r="BP265" i="1" s="1"/>
  <c r="BP266" i="1" s="1"/>
  <c r="BO98" i="1"/>
  <c r="BA41" i="53"/>
  <c r="BO74" i="1"/>
  <c r="BT74" i="1"/>
  <c r="BO78" i="1"/>
  <c r="BT79" i="1" s="1"/>
  <c r="BT77" i="1"/>
  <c r="BP76" i="1"/>
  <c r="BP78" i="1" s="1"/>
  <c r="BA42" i="53"/>
  <c r="BB28" i="53"/>
  <c r="BP132" i="42"/>
  <c r="BP60" i="1"/>
  <c r="BP73" i="1"/>
  <c r="BP74" i="1" s="1"/>
  <c r="BB31" i="53"/>
  <c r="BP72" i="1"/>
  <c r="BP66" i="1"/>
  <c r="BO99" i="1" l="1"/>
  <c r="BO224" i="1"/>
  <c r="BO240" i="1" s="1"/>
  <c r="BP224" i="1"/>
  <c r="BP240" i="1" s="1"/>
  <c r="BP268" i="1"/>
  <c r="BP77" i="1"/>
  <c r="BB42" i="53" s="1"/>
  <c r="BA43" i="53"/>
  <c r="BA44" i="53" s="1"/>
  <c r="BB41" i="53"/>
  <c r="BP98" i="1"/>
  <c r="BO79" i="1"/>
  <c r="BP79" i="1"/>
  <c r="BB43" i="53"/>
  <c r="BB44" i="53" s="1"/>
  <c r="BO476" i="42"/>
  <c r="BP475" i="42"/>
  <c r="BO167" i="42"/>
  <c r="BP61" i="1"/>
  <c r="BB24" i="53"/>
  <c r="BP133" i="42"/>
  <c r="BP134" i="42" s="1"/>
  <c r="BP135" i="42" s="1"/>
  <c r="BP225" i="1" l="1"/>
  <c r="BO225" i="1"/>
  <c r="BP141" i="42"/>
  <c r="BP99" i="1"/>
  <c r="BP243" i="1" s="1"/>
  <c r="BA63" i="53"/>
  <c r="BO24" i="1"/>
  <c r="BP167" i="42"/>
  <c r="BO168" i="42"/>
  <c r="BP473" i="42"/>
  <c r="BP474" i="42" s="1"/>
  <c r="BP476" i="42"/>
  <c r="BA62" i="53"/>
  <c r="BB63" i="53"/>
  <c r="BB25" i="53"/>
  <c r="BP62" i="1"/>
  <c r="BB26" i="53" s="1"/>
  <c r="BP24" i="1" l="1"/>
  <c r="BB62" i="53"/>
  <c r="BA37" i="53"/>
  <c r="BO25" i="1"/>
  <c r="BP168" i="42"/>
  <c r="BO169" i="42"/>
  <c r="BO170" i="42"/>
  <c r="BO171" i="42" s="1"/>
  <c r="BO583" i="42" l="1"/>
  <c r="BP582" i="42"/>
  <c r="BP583" i="42" s="1"/>
  <c r="BO174" i="42"/>
  <c r="BP169" i="42"/>
  <c r="BP170" i="42"/>
  <c r="BP171" i="42" s="1"/>
  <c r="BA38" i="53"/>
  <c r="BB37" i="53"/>
  <c r="BP25" i="1"/>
  <c r="BB38" i="53" l="1"/>
  <c r="BO175" i="42"/>
  <c r="BP174" i="42"/>
  <c r="BO27" i="1"/>
  <c r="BO176" i="42" l="1"/>
  <c r="BP175" i="42"/>
  <c r="BO177" i="42"/>
  <c r="BO178" i="42" s="1"/>
  <c r="BA40" i="53"/>
  <c r="BO28" i="1"/>
  <c r="BP27" i="1"/>
  <c r="BB40" i="53" l="1"/>
  <c r="BP28" i="1"/>
  <c r="BP176" i="42"/>
  <c r="BP177" i="42"/>
  <c r="BP178" i="42" s="1"/>
  <c r="BO82" i="1" l="1"/>
  <c r="BO84" i="1" l="1"/>
  <c r="BA48" i="53" s="1"/>
  <c r="BA46" i="53"/>
  <c r="BO86" i="1"/>
  <c r="BO92" i="1" s="1"/>
  <c r="BA45" i="53"/>
  <c r="BP81" i="1"/>
  <c r="BP295" i="1" s="1"/>
  <c r="BP296" i="1" s="1"/>
  <c r="BO107" i="1" l="1"/>
  <c r="BO109" i="1" s="1"/>
  <c r="BO145" i="1"/>
  <c r="BO148" i="1" s="1"/>
  <c r="BO161" i="1" s="1"/>
  <c r="BB45" i="53"/>
  <c r="BP82" i="1"/>
  <c r="BA49" i="53"/>
  <c r="BA47" i="53"/>
  <c r="BP83" i="1"/>
  <c r="BO179" i="1" l="1"/>
  <c r="BO181" i="1" s="1"/>
  <c r="BO168" i="1"/>
  <c r="BO122" i="1"/>
  <c r="BP109" i="1"/>
  <c r="BP122" i="1" s="1"/>
  <c r="BP317" i="1" s="1"/>
  <c r="BB47" i="53"/>
  <c r="BP84" i="1"/>
  <c r="BO96" i="1"/>
  <c r="BO103" i="1"/>
  <c r="BO94" i="1"/>
  <c r="BA51" i="53"/>
  <c r="BB46" i="53"/>
  <c r="BP86" i="1"/>
  <c r="BP301" i="1" l="1"/>
  <c r="BP320" i="1" s="1"/>
  <c r="BP300" i="1"/>
  <c r="BP319" i="1" s="1"/>
  <c r="BP107" i="1"/>
  <c r="BP299" i="1"/>
  <c r="BP303" i="1" s="1"/>
  <c r="BP336" i="1"/>
  <c r="BP142" i="1"/>
  <c r="BP138" i="1"/>
  <c r="BP141" i="1" s="1"/>
  <c r="BO142" i="1"/>
  <c r="BA58" i="53" s="1"/>
  <c r="BO138" i="1"/>
  <c r="BO141" i="1" s="1"/>
  <c r="BQ180" i="1"/>
  <c r="BT180" i="1"/>
  <c r="BT181" i="1" s="1"/>
  <c r="BR180" i="1"/>
  <c r="BS180" i="1"/>
  <c r="BA52" i="53"/>
  <c r="BB48" i="53"/>
  <c r="BP92" i="1"/>
  <c r="BB49" i="53"/>
  <c r="BA53" i="53"/>
  <c r="BA55" i="53"/>
  <c r="BP322" i="1" l="1"/>
  <c r="BP324" i="1" s="1"/>
  <c r="BP331" i="1"/>
  <c r="BP335" i="1"/>
  <c r="BP312" i="1"/>
  <c r="BP337" i="1"/>
  <c r="BP338" i="1"/>
  <c r="BP326" i="1"/>
  <c r="BP329" i="1" s="1"/>
  <c r="BP334" i="1"/>
  <c r="BQ140" i="1"/>
  <c r="BO143" i="1"/>
  <c r="BP143" i="1"/>
  <c r="BU140" i="1"/>
  <c r="BW180" i="1"/>
  <c r="BX180" i="1"/>
  <c r="BV180" i="1"/>
  <c r="BY180" i="1"/>
  <c r="BY181" i="1" s="1"/>
  <c r="BB55" i="53"/>
  <c r="BB58" i="53"/>
  <c r="BP96" i="1"/>
  <c r="BP94" i="1"/>
  <c r="BB53" i="53" s="1"/>
  <c r="BP103" i="1"/>
  <c r="BB51" i="53"/>
  <c r="CD180" i="1" l="1"/>
  <c r="CB180" i="1"/>
  <c r="CC180" i="1"/>
  <c r="CA180" i="1"/>
  <c r="BA59" i="53"/>
  <c r="BB52" i="53"/>
  <c r="BA60" i="53" l="1"/>
  <c r="BA61" i="53"/>
  <c r="BB59" i="53"/>
  <c r="BB60" i="53" l="1"/>
  <c r="BB61" i="53"/>
  <c r="BQ183" i="42" l="1"/>
  <c r="BQ9" i="42"/>
  <c r="BQ188" i="42"/>
  <c r="BQ192" i="42" s="1"/>
  <c r="BQ202" i="42"/>
  <c r="BQ204" i="42" s="1"/>
  <c r="BQ195" i="42"/>
  <c r="BQ199" i="42" s="1"/>
  <c r="BQ185" i="42" l="1"/>
  <c r="BQ242" i="42"/>
  <c r="BQ243" i="42"/>
  <c r="BQ163" i="42"/>
  <c r="BQ41" i="42"/>
  <c r="BQ43" i="42" s="1"/>
  <c r="BQ14" i="42"/>
  <c r="BQ9" i="1"/>
  <c r="BQ34" i="42"/>
  <c r="BQ38" i="42" s="1"/>
  <c r="BQ27" i="42"/>
  <c r="BQ31" i="42" s="1"/>
  <c r="BQ49" i="42" l="1"/>
  <c r="BQ244" i="42"/>
  <c r="BV244" i="42"/>
  <c r="BH8" i="53"/>
  <c r="BC7" i="53"/>
  <c r="BQ14" i="1"/>
  <c r="BQ20" i="1"/>
  <c r="BQ15" i="42"/>
  <c r="BQ20" i="42"/>
  <c r="BQ17" i="42" l="1"/>
  <c r="BH17" i="53"/>
  <c r="BQ21" i="42"/>
  <c r="BQ23" i="42" s="1"/>
  <c r="BC33" i="53"/>
  <c r="BC16" i="53"/>
  <c r="BQ17" i="1"/>
  <c r="BH22" i="53" l="1"/>
  <c r="BC21" i="53"/>
  <c r="BQ58" i="1"/>
  <c r="BC27" i="53" l="1"/>
  <c r="BQ71" i="1"/>
  <c r="BV72" i="1" s="1"/>
  <c r="BQ64" i="1"/>
  <c r="BC23" i="53"/>
  <c r="BC24" i="53"/>
  <c r="BQ133" i="42"/>
  <c r="BQ134" i="42" s="1"/>
  <c r="BQ135" i="42" s="1"/>
  <c r="BQ68" i="1"/>
  <c r="BC29" i="53"/>
  <c r="BQ141" i="42" l="1"/>
  <c r="BQ76" i="1"/>
  <c r="BQ82" i="1" s="1"/>
  <c r="BC30" i="53"/>
  <c r="BC31" i="53"/>
  <c r="BQ72" i="1"/>
  <c r="BQ73" i="1"/>
  <c r="BV74" i="1" s="1"/>
  <c r="BQ132" i="42"/>
  <c r="BC28" i="53"/>
  <c r="BQ98" i="1" l="1"/>
  <c r="BQ224" i="1" s="1"/>
  <c r="BQ240" i="1" s="1"/>
  <c r="BC41" i="53"/>
  <c r="BQ77" i="1"/>
  <c r="BC42" i="53" s="1"/>
  <c r="BQ78" i="1"/>
  <c r="BQ79" i="1" s="1"/>
  <c r="BQ74" i="1"/>
  <c r="BQ84" i="1"/>
  <c r="BC46" i="53"/>
  <c r="BQ99" i="1" l="1"/>
  <c r="BQ225" i="1" s="1"/>
  <c r="BC43" i="53"/>
  <c r="BC44" i="53" s="1"/>
  <c r="BC48" i="53"/>
  <c r="BQ86" i="1"/>
  <c r="BQ476" i="42"/>
  <c r="BQ167" i="42"/>
  <c r="BC47" i="53"/>
  <c r="BQ107" i="1" l="1"/>
  <c r="BQ109" i="1" s="1"/>
  <c r="BQ145" i="1"/>
  <c r="BQ92" i="1"/>
  <c r="BQ96" i="1" s="1"/>
  <c r="BC49" i="53"/>
  <c r="BC63" i="53"/>
  <c r="BQ24" i="1"/>
  <c r="BQ168" i="42"/>
  <c r="BC62" i="53"/>
  <c r="BQ148" i="1" l="1"/>
  <c r="BQ161" i="1" s="1"/>
  <c r="BQ122" i="1"/>
  <c r="BQ94" i="1"/>
  <c r="BC53" i="53" s="1"/>
  <c r="BC51" i="53"/>
  <c r="BC52" i="53" s="1"/>
  <c r="BQ103" i="1"/>
  <c r="BC37" i="53"/>
  <c r="BQ25" i="1"/>
  <c r="BQ169" i="42"/>
  <c r="BQ170" i="42"/>
  <c r="BQ171" i="42" s="1"/>
  <c r="BQ138" i="1" l="1"/>
  <c r="BQ141" i="1" s="1"/>
  <c r="BQ142" i="1"/>
  <c r="BC58" i="53" s="1"/>
  <c r="BC55" i="53"/>
  <c r="BQ179" i="1"/>
  <c r="BQ181" i="1" s="1"/>
  <c r="BQ168" i="1"/>
  <c r="BQ583" i="42"/>
  <c r="BQ174" i="42"/>
  <c r="BC38" i="53"/>
  <c r="BR140" i="1" l="1"/>
  <c r="BQ143" i="1"/>
  <c r="BQ27" i="1"/>
  <c r="BQ175" i="42"/>
  <c r="BC59" i="53"/>
  <c r="BC40" i="53" l="1"/>
  <c r="BQ28" i="1"/>
  <c r="BC61" i="53"/>
  <c r="BC60" i="53"/>
  <c r="BQ176" i="42"/>
  <c r="BQ177" i="42"/>
  <c r="BQ178" i="42" s="1"/>
  <c r="BV476" i="42" l="1"/>
  <c r="BV167" i="42"/>
  <c r="BV24" i="1" l="1"/>
  <c r="BH37" i="53" l="1"/>
  <c r="BR9" i="42" l="1"/>
  <c r="BR9" i="1" s="1"/>
  <c r="BD7" i="53" l="1"/>
  <c r="BR14" i="1"/>
  <c r="BR242" i="42"/>
  <c r="BR243" i="42"/>
  <c r="BR244" i="42" s="1"/>
  <c r="BR14" i="42"/>
  <c r="BR183" i="42"/>
  <c r="BR163" i="42"/>
  <c r="BR202" i="42"/>
  <c r="BR204" i="42" s="1"/>
  <c r="BR195" i="42"/>
  <c r="BR199" i="42" s="1"/>
  <c r="BR188" i="42"/>
  <c r="BR192" i="42" s="1"/>
  <c r="BR185" i="42" l="1"/>
  <c r="BU185" i="42" s="1"/>
  <c r="BR49" i="42"/>
  <c r="BR34" i="42"/>
  <c r="BR38" i="42" s="1"/>
  <c r="BI8" i="53"/>
  <c r="BD16" i="53"/>
  <c r="BR17" i="1"/>
  <c r="BR27" i="42"/>
  <c r="BR31" i="42" s="1"/>
  <c r="BR41" i="42"/>
  <c r="BR43" i="42" s="1"/>
  <c r="BR20" i="1"/>
  <c r="BR15" i="42"/>
  <c r="BR20" i="42"/>
  <c r="BR17" i="42" l="1"/>
  <c r="BI22" i="53"/>
  <c r="BD33" i="53"/>
  <c r="BR21" i="42"/>
  <c r="BR23" i="42" s="1"/>
  <c r="BI17" i="53"/>
  <c r="BD21" i="53"/>
  <c r="BR58" i="1"/>
  <c r="BD23" i="53" l="1"/>
  <c r="BD24" i="53"/>
  <c r="BR133" i="42"/>
  <c r="BR134" i="42" s="1"/>
  <c r="BR135" i="42" s="1"/>
  <c r="BD27" i="53"/>
  <c r="BR64" i="1"/>
  <c r="BD29" i="53"/>
  <c r="BR68" i="1"/>
  <c r="BR141" i="42" l="1"/>
  <c r="BD30" i="53"/>
  <c r="BR132" i="42"/>
  <c r="BD28" i="53"/>
  <c r="BD31" i="53"/>
  <c r="BR76" i="1" l="1"/>
  <c r="BR98" i="1" l="1"/>
  <c r="BR77" i="1"/>
  <c r="BR78" i="1"/>
  <c r="BD41" i="53"/>
  <c r="BR82" i="1"/>
  <c r="BR476" i="42"/>
  <c r="BR167" i="42"/>
  <c r="BR224" i="1" l="1"/>
  <c r="BR240" i="1" s="1"/>
  <c r="BS224" i="1"/>
  <c r="BS240" i="1" s="1"/>
  <c r="BR84" i="1"/>
  <c r="BD48" i="53" s="1"/>
  <c r="BD42" i="53"/>
  <c r="BD63" i="53"/>
  <c r="BD46" i="53"/>
  <c r="BR99" i="1"/>
  <c r="BR79" i="1"/>
  <c r="BD43" i="53"/>
  <c r="BD44" i="53" s="1"/>
  <c r="BR24" i="1"/>
  <c r="BR168" i="42"/>
  <c r="BD62" i="53"/>
  <c r="BR225" i="1" l="1"/>
  <c r="BS225" i="1"/>
  <c r="BD47" i="53"/>
  <c r="BR86" i="1"/>
  <c r="BR169" i="42"/>
  <c r="BR170" i="42"/>
  <c r="BR171" i="42" s="1"/>
  <c r="BD37" i="53"/>
  <c r="BR25" i="1"/>
  <c r="BR107" i="1" l="1"/>
  <c r="BR109" i="1" s="1"/>
  <c r="BR145" i="1"/>
  <c r="BD49" i="53"/>
  <c r="BR92" i="1"/>
  <c r="BR583" i="42"/>
  <c r="BR174" i="42"/>
  <c r="BD38" i="53"/>
  <c r="BS145" i="1" l="1"/>
  <c r="BS148" i="1" s="1"/>
  <c r="BS161" i="1" s="1"/>
  <c r="BR148" i="1"/>
  <c r="BR161" i="1" s="1"/>
  <c r="BR122" i="1"/>
  <c r="BR103" i="1"/>
  <c r="BR94" i="1"/>
  <c r="BR96" i="1"/>
  <c r="BD51" i="53"/>
  <c r="BD52" i="53" s="1"/>
  <c r="BE37" i="53"/>
  <c r="BR27" i="1"/>
  <c r="BR175" i="42"/>
  <c r="BR142" i="1" l="1"/>
  <c r="BR138" i="1"/>
  <c r="BR141" i="1" s="1"/>
  <c r="BR168" i="1"/>
  <c r="BR179" i="1"/>
  <c r="BR181" i="1" s="1"/>
  <c r="BS168" i="1"/>
  <c r="BS179" i="1"/>
  <c r="BS181" i="1" s="1"/>
  <c r="BD53" i="53"/>
  <c r="BD55" i="53"/>
  <c r="BD58" i="53"/>
  <c r="BR177" i="42"/>
  <c r="BR178" i="42" s="1"/>
  <c r="BR176" i="42"/>
  <c r="BD40" i="53"/>
  <c r="BR28" i="1"/>
  <c r="BS140" i="1" l="1"/>
  <c r="BS141" i="1" s="1"/>
  <c r="BR143" i="1"/>
  <c r="BT140" i="1" l="1"/>
  <c r="BS143" i="1"/>
  <c r="BD59" i="53"/>
  <c r="BD60" i="53" l="1"/>
  <c r="BD61" i="53"/>
  <c r="BT183" i="42" l="1"/>
  <c r="BT41" i="42"/>
  <c r="BT43" i="42" s="1"/>
  <c r="BT202" i="42"/>
  <c r="BT204" i="42" s="1"/>
  <c r="BZ196" i="42"/>
  <c r="BT27" i="42"/>
  <c r="BT31" i="42" s="1"/>
  <c r="BT188" i="42"/>
  <c r="BT192" i="42" s="1"/>
  <c r="BT34" i="42"/>
  <c r="BT38" i="42" s="1"/>
  <c r="BT195" i="42"/>
  <c r="BT199" i="42" s="1"/>
  <c r="BT9" i="42"/>
  <c r="BZ189" i="42" l="1"/>
  <c r="BX9" i="42"/>
  <c r="BX183" i="42"/>
  <c r="BY34" i="42"/>
  <c r="BY38" i="42" s="1"/>
  <c r="BY195" i="42"/>
  <c r="BY199" i="42" s="1"/>
  <c r="BU27" i="42"/>
  <c r="BU31" i="42" s="1"/>
  <c r="BK8" i="53"/>
  <c r="BU33" i="42"/>
  <c r="BT9" i="1"/>
  <c r="BT14" i="42"/>
  <c r="BX202" i="42"/>
  <c r="BX204" i="42" s="1"/>
  <c r="BY202" i="42"/>
  <c r="BY204" i="42" s="1"/>
  <c r="BU9" i="42"/>
  <c r="BX188" i="42"/>
  <c r="BX192" i="42" s="1"/>
  <c r="BZ184" i="42"/>
  <c r="BJ8" i="53"/>
  <c r="BY27" i="42"/>
  <c r="BY31" i="42" s="1"/>
  <c r="BY188" i="42"/>
  <c r="BY192" i="42" s="1"/>
  <c r="BZ203" i="42"/>
  <c r="BU40" i="42"/>
  <c r="BX195" i="42"/>
  <c r="BX199" i="42" s="1"/>
  <c r="BU41" i="42" l="1"/>
  <c r="BU43" i="42" s="1"/>
  <c r="BU34" i="42"/>
  <c r="BU38" i="42" s="1"/>
  <c r="BZ35" i="42"/>
  <c r="BX185" i="42"/>
  <c r="BT49" i="42"/>
  <c r="BZ28" i="42"/>
  <c r="BP8" i="53"/>
  <c r="BT14" i="1"/>
  <c r="BF7" i="53"/>
  <c r="BU14" i="42"/>
  <c r="BX41" i="42"/>
  <c r="BX43" i="42" s="1"/>
  <c r="BE33" i="53"/>
  <c r="BX34" i="42"/>
  <c r="BX38" i="42" s="1"/>
  <c r="BX27" i="42"/>
  <c r="BX31" i="42" s="1"/>
  <c r="BU9" i="1"/>
  <c r="BY9" i="42"/>
  <c r="BY183" i="42"/>
  <c r="BX9" i="1"/>
  <c r="BX14" i="42"/>
  <c r="BL8" i="53"/>
  <c r="BO8" i="53"/>
  <c r="BE7" i="53"/>
  <c r="BT15" i="42"/>
  <c r="BT20" i="42"/>
  <c r="BX163" i="42"/>
  <c r="BU8" i="53" l="1"/>
  <c r="BT8" i="53"/>
  <c r="BY185" i="42"/>
  <c r="BU49" i="42"/>
  <c r="BX49" i="42"/>
  <c r="CC15" i="42"/>
  <c r="CM195" i="42"/>
  <c r="CM199" i="42" s="1"/>
  <c r="CI195" i="42"/>
  <c r="CI199" i="42" s="1"/>
  <c r="CI188" i="42"/>
  <c r="CI192" i="42" s="1"/>
  <c r="CI202" i="42"/>
  <c r="CI204" i="42" s="1"/>
  <c r="BT17" i="42"/>
  <c r="BE16" i="53"/>
  <c r="BE38" i="53"/>
  <c r="BJ17" i="53"/>
  <c r="BU20" i="42"/>
  <c r="BX20" i="1"/>
  <c r="BT21" i="42"/>
  <c r="BT23" i="42" s="1"/>
  <c r="BX15" i="42"/>
  <c r="BX20" i="42"/>
  <c r="CC21" i="42" s="1"/>
  <c r="CD183" i="42"/>
  <c r="BY9" i="1"/>
  <c r="BU14" i="1"/>
  <c r="BG7" i="53"/>
  <c r="BT17" i="1"/>
  <c r="BF16" i="53"/>
  <c r="BX14" i="1"/>
  <c r="BJ7" i="53"/>
  <c r="BU15" i="42"/>
  <c r="BU17" i="42" s="1"/>
  <c r="BZ8" i="53" l="1"/>
  <c r="BY8" i="53"/>
  <c r="CX194" i="42"/>
  <c r="CC23" i="42"/>
  <c r="CI27" i="42"/>
  <c r="CI31" i="42" s="1"/>
  <c r="CS195" i="42"/>
  <c r="CS199" i="42" s="1"/>
  <c r="CD185" i="42"/>
  <c r="CC17" i="42"/>
  <c r="CC163" i="42"/>
  <c r="CM188" i="42"/>
  <c r="CM192" i="42" s="1"/>
  <c r="CM202" i="42"/>
  <c r="CM204" i="42" s="1"/>
  <c r="CN202" i="42"/>
  <c r="CN204" i="42" s="1"/>
  <c r="CN195" i="42"/>
  <c r="CN199" i="42" s="1"/>
  <c r="CN188" i="42"/>
  <c r="CN192" i="42" s="1"/>
  <c r="BO17" i="53"/>
  <c r="BX17" i="42"/>
  <c r="CI9" i="42"/>
  <c r="CI183" i="42"/>
  <c r="BT58" i="1"/>
  <c r="BF21" i="53"/>
  <c r="BK7" i="53"/>
  <c r="BX21" i="42"/>
  <c r="BX23" i="42" s="1"/>
  <c r="BJ33" i="53"/>
  <c r="BU21" i="42"/>
  <c r="BU23" i="42" s="1"/>
  <c r="BX17" i="1"/>
  <c r="BJ16" i="53"/>
  <c r="BU17" i="1"/>
  <c r="BU57" i="1" s="1"/>
  <c r="BG16" i="53"/>
  <c r="CD9" i="1"/>
  <c r="BJ22" i="53"/>
  <c r="BE21" i="53"/>
  <c r="CD8" i="53" l="1"/>
  <c r="CE8" i="53"/>
  <c r="BU242" i="1"/>
  <c r="BU253" i="1"/>
  <c r="BU255" i="1" s="1"/>
  <c r="BU256" i="1" s="1"/>
  <c r="BU274" i="1"/>
  <c r="BU327" i="1"/>
  <c r="BU333" i="1"/>
  <c r="BU231" i="1"/>
  <c r="DC194" i="42"/>
  <c r="CI185" i="42"/>
  <c r="CM41" i="42"/>
  <c r="CM43" i="42" s="1"/>
  <c r="CM34" i="42"/>
  <c r="CM38" i="42" s="1"/>
  <c r="CM27" i="42"/>
  <c r="CM31" i="42" s="1"/>
  <c r="CX201" i="42"/>
  <c r="CW201" i="42"/>
  <c r="DB201" i="42" s="1"/>
  <c r="CW194" i="42"/>
  <c r="CX195" i="42"/>
  <c r="CX184" i="42"/>
  <c r="CJ8" i="53" s="1"/>
  <c r="CX187" i="42"/>
  <c r="CW184" i="42"/>
  <c r="CI8" i="53" s="1"/>
  <c r="CW187" i="42"/>
  <c r="BT17" i="53"/>
  <c r="CR188" i="42"/>
  <c r="CR192" i="42" s="1"/>
  <c r="CS202" i="42"/>
  <c r="CS188" i="42"/>
  <c r="CS192" i="42" s="1"/>
  <c r="CC20" i="1"/>
  <c r="BO33" i="53" s="1"/>
  <c r="CM183" i="42"/>
  <c r="CM9" i="42"/>
  <c r="CN9" i="42"/>
  <c r="CN183" i="42"/>
  <c r="CH9" i="1"/>
  <c r="CI9" i="1"/>
  <c r="BS133" i="42"/>
  <c r="BS134" i="42" s="1"/>
  <c r="BS135" i="42" s="1"/>
  <c r="BP7" i="53"/>
  <c r="BJ21" i="53"/>
  <c r="BU67" i="1"/>
  <c r="BE29" i="53"/>
  <c r="BF29" i="53"/>
  <c r="BE24" i="53"/>
  <c r="BU58" i="1"/>
  <c r="BG21" i="53"/>
  <c r="BF27" i="53"/>
  <c r="BU63" i="1"/>
  <c r="BE27" i="53"/>
  <c r="BE23" i="53"/>
  <c r="BO7" i="53"/>
  <c r="BF24" i="53"/>
  <c r="BT133" i="42"/>
  <c r="BT134" i="42" s="1"/>
  <c r="BT135" i="42" s="1"/>
  <c r="BO22" i="53"/>
  <c r="BF23" i="53"/>
  <c r="DG201" i="42" l="1"/>
  <c r="DH194" i="42"/>
  <c r="CR34" i="42"/>
  <c r="CR38" i="42" s="1"/>
  <c r="CR41" i="42"/>
  <c r="CR43" i="42" s="1"/>
  <c r="CR27" i="42"/>
  <c r="CR31" i="42" s="1"/>
  <c r="DB202" i="42"/>
  <c r="DB40" i="42"/>
  <c r="DG42" i="42" s="1"/>
  <c r="DB194" i="42"/>
  <c r="DB184" i="42"/>
  <c r="CN8" i="53" s="1"/>
  <c r="DB187" i="42"/>
  <c r="CN185" i="42"/>
  <c r="DC201" i="42"/>
  <c r="DC184" i="42"/>
  <c r="CO8" i="53" s="1"/>
  <c r="DC187" i="42"/>
  <c r="DC195" i="42"/>
  <c r="CM185" i="42"/>
  <c r="CW35" i="42"/>
  <c r="CW195" i="42"/>
  <c r="CW33" i="42"/>
  <c r="CW34" i="42" s="1"/>
  <c r="CW202" i="42"/>
  <c r="CW40" i="42"/>
  <c r="CX182" i="42"/>
  <c r="CW42" i="42"/>
  <c r="CX188" i="42"/>
  <c r="CW182" i="42"/>
  <c r="CW188" i="42"/>
  <c r="CW26" i="42"/>
  <c r="CW27" i="42" s="1"/>
  <c r="CX202" i="42"/>
  <c r="CW28" i="42"/>
  <c r="BU7" i="53"/>
  <c r="BS141" i="42"/>
  <c r="BT141" i="42"/>
  <c r="BT22" i="53"/>
  <c r="CH20" i="1"/>
  <c r="CR163" i="42"/>
  <c r="CS9" i="42"/>
  <c r="CR9" i="42"/>
  <c r="CR183" i="42"/>
  <c r="CS183" i="42"/>
  <c r="CM14" i="42"/>
  <c r="CM9" i="1"/>
  <c r="CM163" i="42"/>
  <c r="CM242" i="42"/>
  <c r="CM243" i="42"/>
  <c r="CN9" i="1"/>
  <c r="BX71" i="1"/>
  <c r="CH14" i="1"/>
  <c r="BT7" i="53"/>
  <c r="BF30" i="53"/>
  <c r="BS132" i="42"/>
  <c r="BE30" i="53"/>
  <c r="BF28" i="53"/>
  <c r="BG23" i="53"/>
  <c r="BJ23" i="53"/>
  <c r="BE28" i="53"/>
  <c r="BU64" i="1"/>
  <c r="BU65" i="1"/>
  <c r="BU71" i="1"/>
  <c r="BG27" i="53"/>
  <c r="BJ27" i="53"/>
  <c r="BF31" i="53"/>
  <c r="BU59" i="1"/>
  <c r="BU258" i="1" s="1"/>
  <c r="BU68" i="1"/>
  <c r="BG30" i="53" s="1"/>
  <c r="BU69" i="1"/>
  <c r="BU70" i="1" s="1"/>
  <c r="BG29" i="53"/>
  <c r="BO16" i="53"/>
  <c r="BE31" i="53"/>
  <c r="BT98" i="1"/>
  <c r="BT82" i="1"/>
  <c r="BF41" i="53"/>
  <c r="BT132" i="42"/>
  <c r="BJ29" i="53"/>
  <c r="DG194" i="42" l="1"/>
  <c r="DG187" i="42"/>
  <c r="DG184" i="42"/>
  <c r="CS8" i="53" s="1"/>
  <c r="DG202" i="42"/>
  <c r="DG40" i="42"/>
  <c r="DG41" i="42" s="1"/>
  <c r="DG43" i="42" s="1"/>
  <c r="DH201" i="42"/>
  <c r="DH195" i="42"/>
  <c r="DH184" i="42"/>
  <c r="CT8" i="53" s="1"/>
  <c r="DH187" i="42"/>
  <c r="CM244" i="42"/>
  <c r="CR244" i="42"/>
  <c r="CS185" i="42"/>
  <c r="CM147" i="42"/>
  <c r="CM152" i="42"/>
  <c r="CM156" i="42"/>
  <c r="CM160" i="42"/>
  <c r="CR185" i="42"/>
  <c r="BU224" i="1"/>
  <c r="BU240" i="1" s="1"/>
  <c r="BT224" i="1"/>
  <c r="BT240" i="1" s="1"/>
  <c r="BU260" i="1"/>
  <c r="BU261" i="1" s="1"/>
  <c r="BU263" i="1"/>
  <c r="BU265" i="1" s="1"/>
  <c r="BU266" i="1" s="1"/>
  <c r="CW41" i="42"/>
  <c r="CW43" i="42" s="1"/>
  <c r="DB42" i="42"/>
  <c r="DB41" i="42"/>
  <c r="DB195" i="42"/>
  <c r="DB33" i="42"/>
  <c r="DB34" i="42" s="1"/>
  <c r="DB35" i="42"/>
  <c r="DB182" i="42"/>
  <c r="DB188" i="42"/>
  <c r="DB26" i="42"/>
  <c r="DB27" i="42" s="1"/>
  <c r="DB28" i="42"/>
  <c r="DC202" i="42"/>
  <c r="DC188" i="42"/>
  <c r="DC182" i="42"/>
  <c r="BZ7" i="53"/>
  <c r="CM49" i="42"/>
  <c r="CW38" i="42"/>
  <c r="CS9" i="1"/>
  <c r="BY17" i="53"/>
  <c r="CX9" i="42"/>
  <c r="CX183" i="42"/>
  <c r="CW241" i="42"/>
  <c r="CW9" i="42"/>
  <c r="CW183" i="42"/>
  <c r="CW31" i="42"/>
  <c r="BT33" i="53"/>
  <c r="CR14" i="42"/>
  <c r="CR9" i="1"/>
  <c r="CR20" i="1"/>
  <c r="CC72" i="1"/>
  <c r="CM14" i="1"/>
  <c r="BY7" i="53"/>
  <c r="CM20" i="1"/>
  <c r="CM20" i="42"/>
  <c r="CM15" i="42"/>
  <c r="BX73" i="1"/>
  <c r="CC74" i="1" s="1"/>
  <c r="BX72" i="1"/>
  <c r="BX76" i="1"/>
  <c r="BJ30" i="53"/>
  <c r="CH17" i="1"/>
  <c r="BT16" i="53"/>
  <c r="BT84" i="1"/>
  <c r="BF48" i="53" s="1"/>
  <c r="BF42" i="53"/>
  <c r="BE41" i="53"/>
  <c r="BU76" i="1"/>
  <c r="BE42" i="53"/>
  <c r="BG28" i="53"/>
  <c r="BU66" i="1"/>
  <c r="BX132" i="42"/>
  <c r="CC58" i="1"/>
  <c r="BO21" i="53"/>
  <c r="BU132" i="42"/>
  <c r="BU60" i="1"/>
  <c r="BX474" i="42"/>
  <c r="BX473" i="42" s="1"/>
  <c r="CC473" i="42" s="1"/>
  <c r="BJ28" i="53"/>
  <c r="BF43" i="53"/>
  <c r="BF44" i="53" s="1"/>
  <c r="BF46" i="53"/>
  <c r="BJ31" i="53"/>
  <c r="BU72" i="1"/>
  <c r="BU73" i="1"/>
  <c r="BU74" i="1" s="1"/>
  <c r="BG31" i="53"/>
  <c r="BE46" i="53"/>
  <c r="BT99" i="1"/>
  <c r="BE43" i="53"/>
  <c r="BE44" i="53" s="1"/>
  <c r="DG28" i="42" l="1"/>
  <c r="DG26" i="42"/>
  <c r="DG27" i="42" s="1"/>
  <c r="DG188" i="42"/>
  <c r="DG35" i="42"/>
  <c r="DG182" i="42"/>
  <c r="DG195" i="42"/>
  <c r="DG33" i="42"/>
  <c r="DG34" i="42" s="1"/>
  <c r="DH202" i="42"/>
  <c r="DH188" i="42"/>
  <c r="DH182" i="42"/>
  <c r="CR156" i="42"/>
  <c r="CR157" i="42" s="1"/>
  <c r="CR147" i="42"/>
  <c r="CR148" i="42" s="1"/>
  <c r="CR152" i="42"/>
  <c r="CR153" i="42" s="1"/>
  <c r="CR160" i="42"/>
  <c r="CR161" i="42" s="1"/>
  <c r="CS204" i="42"/>
  <c r="CE7" i="53"/>
  <c r="CR49" i="42"/>
  <c r="CD33" i="53"/>
  <c r="CW16" i="42"/>
  <c r="CI17" i="53" s="1"/>
  <c r="CD17" i="53"/>
  <c r="BT225" i="1"/>
  <c r="BU225" i="1"/>
  <c r="BU268" i="1"/>
  <c r="DB43" i="42"/>
  <c r="DB38" i="42"/>
  <c r="DB241" i="42"/>
  <c r="DB31" i="42"/>
  <c r="DB9" i="42"/>
  <c r="DB183" i="42"/>
  <c r="DC9" i="42"/>
  <c r="DC183" i="42"/>
  <c r="BY33" i="53"/>
  <c r="CM17" i="42"/>
  <c r="CX9" i="1"/>
  <c r="BY22" i="53"/>
  <c r="CW9" i="1"/>
  <c r="CW14" i="42"/>
  <c r="DB16" i="42" s="1"/>
  <c r="CN17" i="53" s="1"/>
  <c r="CW242" i="42"/>
  <c r="CW243" i="42"/>
  <c r="CW163" i="42"/>
  <c r="CR14" i="1"/>
  <c r="CD7" i="53"/>
  <c r="CM21" i="42"/>
  <c r="CM23" i="42" s="1"/>
  <c r="CR15" i="42"/>
  <c r="CR20" i="42"/>
  <c r="CC77" i="1"/>
  <c r="CM17" i="1"/>
  <c r="BY16" i="53"/>
  <c r="BX77" i="1"/>
  <c r="BX78" i="1"/>
  <c r="CC79" i="1" s="1"/>
  <c r="BX74" i="1"/>
  <c r="BT86" i="1"/>
  <c r="BT107" i="1" s="1"/>
  <c r="BT109" i="1" s="1"/>
  <c r="BU78" i="1"/>
  <c r="BG41" i="53"/>
  <c r="BU77" i="1"/>
  <c r="BG42" i="53" s="1"/>
  <c r="BU82" i="1"/>
  <c r="BG46" i="53" s="1"/>
  <c r="BU98" i="1"/>
  <c r="BU99" i="1" s="1"/>
  <c r="BU243" i="1" s="1"/>
  <c r="BO23" i="53"/>
  <c r="BO27" i="53"/>
  <c r="BU61" i="1"/>
  <c r="BU133" i="42"/>
  <c r="BU134" i="42" s="1"/>
  <c r="BU135" i="42" s="1"/>
  <c r="BG24" i="53"/>
  <c r="BF47" i="53"/>
  <c r="BU83" i="1"/>
  <c r="BE47" i="53"/>
  <c r="BO30" i="53"/>
  <c r="BO29" i="53"/>
  <c r="CJ7" i="53" l="1"/>
  <c r="DG31" i="42"/>
  <c r="DB242" i="42"/>
  <c r="DG241" i="42"/>
  <c r="DG38" i="42"/>
  <c r="DG183" i="42"/>
  <c r="DG9" i="42"/>
  <c r="DH183" i="42"/>
  <c r="DH9" i="42"/>
  <c r="CR17" i="42"/>
  <c r="CD22" i="53"/>
  <c r="BT122" i="1"/>
  <c r="BU109" i="1"/>
  <c r="BU122" i="1" s="1"/>
  <c r="BU317" i="1" s="1"/>
  <c r="DB163" i="42"/>
  <c r="DB20" i="1" s="1"/>
  <c r="CN33" i="53" s="1"/>
  <c r="DB243" i="42"/>
  <c r="DB14" i="42"/>
  <c r="DG16" i="42" s="1"/>
  <c r="CS17" i="53" s="1"/>
  <c r="DB9" i="1"/>
  <c r="DC9" i="1"/>
  <c r="CW14" i="1"/>
  <c r="CW17" i="1" s="1"/>
  <c r="CW57" i="1" s="1"/>
  <c r="CI7" i="53"/>
  <c r="CW20" i="1"/>
  <c r="CI33" i="53" s="1"/>
  <c r="CR21" i="42"/>
  <c r="CR23" i="42" s="1"/>
  <c r="CW22" i="42"/>
  <c r="CI22" i="53" s="1"/>
  <c r="CW15" i="42"/>
  <c r="CW17" i="42" s="1"/>
  <c r="CW20" i="42"/>
  <c r="BT29" i="53"/>
  <c r="BT21" i="53"/>
  <c r="BU79" i="1"/>
  <c r="BT23" i="53"/>
  <c r="BU141" i="42"/>
  <c r="CR17" i="1"/>
  <c r="CD16" i="53"/>
  <c r="BY21" i="53"/>
  <c r="CM58" i="1"/>
  <c r="BF49" i="53"/>
  <c r="BX79" i="1"/>
  <c r="BT92" i="1"/>
  <c r="BF63" i="53"/>
  <c r="BG43" i="53"/>
  <c r="BG44" i="53" s="1"/>
  <c r="BU86" i="1"/>
  <c r="BE49" i="53"/>
  <c r="BE63" i="53"/>
  <c r="BU62" i="1"/>
  <c r="BG26" i="53" s="1"/>
  <c r="BG25" i="53"/>
  <c r="BE62" i="53"/>
  <c r="BU84" i="1"/>
  <c r="BG47" i="53"/>
  <c r="BF62" i="53"/>
  <c r="BO28" i="53"/>
  <c r="BG63" i="53"/>
  <c r="BE40" i="53"/>
  <c r="BO31" i="53"/>
  <c r="BX167" i="42"/>
  <c r="BX476" i="42"/>
  <c r="DG14" i="42" l="1"/>
  <c r="DG9" i="1"/>
  <c r="DG163" i="42"/>
  <c r="DG243" i="42"/>
  <c r="DG242" i="42"/>
  <c r="DH9" i="1"/>
  <c r="BU301" i="1"/>
  <c r="BU320" i="1" s="1"/>
  <c r="BU300" i="1"/>
  <c r="BU319" i="1" s="1"/>
  <c r="BU107" i="1"/>
  <c r="BU299" i="1"/>
  <c r="BU303" i="1" s="1"/>
  <c r="BU336" i="1"/>
  <c r="CI21" i="53"/>
  <c r="CW253" i="1"/>
  <c r="CW274" i="1"/>
  <c r="CD26" i="53"/>
  <c r="CR274" i="1"/>
  <c r="CR253" i="1"/>
  <c r="BU142" i="1"/>
  <c r="BU138" i="1"/>
  <c r="BU141" i="1" s="1"/>
  <c r="BT142" i="1"/>
  <c r="BT138" i="1"/>
  <c r="BT141" i="1" s="1"/>
  <c r="DB22" i="42"/>
  <c r="CN22" i="53" s="1"/>
  <c r="DB14" i="1"/>
  <c r="CN7" i="53"/>
  <c r="DB20" i="42"/>
  <c r="DG22" i="42" s="1"/>
  <c r="CS22" i="53" s="1"/>
  <c r="DB15" i="42"/>
  <c r="DB17" i="42" s="1"/>
  <c r="CO7" i="53"/>
  <c r="CW21" i="42"/>
  <c r="CW23" i="42" s="1"/>
  <c r="BY29" i="53"/>
  <c r="CI16" i="53"/>
  <c r="CW67" i="1"/>
  <c r="CW63" i="1"/>
  <c r="CW58" i="1"/>
  <c r="CI23" i="53" s="1"/>
  <c r="BT30" i="53"/>
  <c r="CM64" i="1"/>
  <c r="CM474" i="42" s="1"/>
  <c r="BT27" i="53"/>
  <c r="BY23" i="53"/>
  <c r="CD21" i="53"/>
  <c r="CR58" i="1"/>
  <c r="CM68" i="1"/>
  <c r="BY27" i="53"/>
  <c r="CM71" i="1"/>
  <c r="CR72" i="1" s="1"/>
  <c r="BF55" i="53"/>
  <c r="BJ47" i="53"/>
  <c r="BT94" i="1"/>
  <c r="BF53" i="53" s="1"/>
  <c r="CC167" i="42"/>
  <c r="BT103" i="1"/>
  <c r="BF51" i="53"/>
  <c r="BF52" i="53" s="1"/>
  <c r="BT96" i="1"/>
  <c r="BU92" i="1"/>
  <c r="BE51" i="53"/>
  <c r="BE52" i="53" s="1"/>
  <c r="BG49" i="53"/>
  <c r="BE53" i="53"/>
  <c r="BE55" i="53"/>
  <c r="BX24" i="1"/>
  <c r="BX168" i="42"/>
  <c r="BG48" i="53"/>
  <c r="BG62" i="53"/>
  <c r="DG20" i="1" l="1"/>
  <c r="DG14" i="1"/>
  <c r="CS7" i="53"/>
  <c r="DG20" i="42"/>
  <c r="DG21" i="42" s="1"/>
  <c r="DG23" i="42" s="1"/>
  <c r="DG15" i="42"/>
  <c r="DG17" i="42" s="1"/>
  <c r="CT7" i="53"/>
  <c r="DB21" i="42"/>
  <c r="DB23" i="42" s="1"/>
  <c r="CR111" i="1"/>
  <c r="CW111" i="1" s="1"/>
  <c r="BU322" i="1"/>
  <c r="BU324" i="1" s="1"/>
  <c r="BU326" i="1"/>
  <c r="BU329" i="1" s="1"/>
  <c r="BU334" i="1"/>
  <c r="BU338" i="1"/>
  <c r="BU331" i="1"/>
  <c r="BU337" i="1"/>
  <c r="BU335" i="1"/>
  <c r="BU312" i="1"/>
  <c r="BV140" i="1"/>
  <c r="BT143" i="1"/>
  <c r="BU143" i="1"/>
  <c r="BZ140" i="1"/>
  <c r="DB17" i="1"/>
  <c r="DB57" i="1" s="1"/>
  <c r="CN16" i="53"/>
  <c r="CI27" i="53"/>
  <c r="CI29" i="53"/>
  <c r="BY30" i="53"/>
  <c r="CW68" i="1"/>
  <c r="CI30" i="53" s="1"/>
  <c r="CW64" i="1"/>
  <c r="CW71" i="1"/>
  <c r="CD29" i="53"/>
  <c r="CH474" i="42"/>
  <c r="CH473" i="42" s="1"/>
  <c r="CM473" i="42" s="1"/>
  <c r="BY28" i="53"/>
  <c r="BT28" i="53"/>
  <c r="BT31" i="53"/>
  <c r="CD23" i="53"/>
  <c r="CD27" i="53"/>
  <c r="CC24" i="1"/>
  <c r="CC168" i="42"/>
  <c r="BY31" i="53"/>
  <c r="CM73" i="1"/>
  <c r="CR74" i="1" s="1"/>
  <c r="CM72" i="1"/>
  <c r="BG58" i="53"/>
  <c r="BF58" i="53"/>
  <c r="BU96" i="1"/>
  <c r="BG51" i="53"/>
  <c r="BG52" i="53" s="1"/>
  <c r="BU103" i="1"/>
  <c r="BU94" i="1"/>
  <c r="BG53" i="53" s="1"/>
  <c r="BE58" i="53"/>
  <c r="BJ37" i="53"/>
  <c r="BX25" i="1"/>
  <c r="BX169" i="42"/>
  <c r="BX170" i="42"/>
  <c r="BX171" i="42" s="1"/>
  <c r="BG55" i="53"/>
  <c r="DG17" i="1" l="1"/>
  <c r="DG57" i="1" s="1"/>
  <c r="CS16" i="53"/>
  <c r="CS33" i="53"/>
  <c r="CR474" i="42"/>
  <c r="CR473" i="42" s="1"/>
  <c r="CD30" i="53"/>
  <c r="DB253" i="1"/>
  <c r="DB274" i="1"/>
  <c r="CN21" i="53"/>
  <c r="DB58" i="1"/>
  <c r="CN23" i="53" s="1"/>
  <c r="DB67" i="1"/>
  <c r="DB63" i="1"/>
  <c r="CI31" i="53"/>
  <c r="CI28" i="53"/>
  <c r="CW73" i="1"/>
  <c r="CW72" i="1"/>
  <c r="CD28" i="53"/>
  <c r="CC582" i="42"/>
  <c r="CH169" i="42"/>
  <c r="CM167" i="42"/>
  <c r="CM74" i="1"/>
  <c r="CD31" i="53"/>
  <c r="CC25" i="1"/>
  <c r="CC170" i="42"/>
  <c r="CC169" i="42"/>
  <c r="CH24" i="1"/>
  <c r="BE59" i="53"/>
  <c r="BJ38" i="53"/>
  <c r="BO37" i="53"/>
  <c r="CS21" i="53" l="1"/>
  <c r="DG67" i="1"/>
  <c r="DG58" i="1"/>
  <c r="DG253" i="1"/>
  <c r="DG63" i="1"/>
  <c r="DG274" i="1"/>
  <c r="DB111" i="1"/>
  <c r="CN29" i="53"/>
  <c r="DB68" i="1"/>
  <c r="CN30" i="53" s="1"/>
  <c r="CN27" i="53"/>
  <c r="DB71" i="1"/>
  <c r="DB64" i="1"/>
  <c r="CW74" i="1"/>
  <c r="CC171" i="42"/>
  <c r="CH171" i="42"/>
  <c r="CM476" i="42"/>
  <c r="CM24" i="1"/>
  <c r="CH25" i="1"/>
  <c r="BT37" i="53"/>
  <c r="BF59" i="53"/>
  <c r="BE61" i="53"/>
  <c r="BE60" i="53"/>
  <c r="BO38" i="53"/>
  <c r="DG111" i="1" l="1"/>
  <c r="CS23" i="53"/>
  <c r="DG68" i="1"/>
  <c r="CS30" i="53" s="1"/>
  <c r="CS29" i="53"/>
  <c r="CS27" i="53"/>
  <c r="DG71" i="1"/>
  <c r="DG64" i="1"/>
  <c r="CS28" i="53" s="1"/>
  <c r="CN28" i="53"/>
  <c r="CN31" i="53"/>
  <c r="DB73" i="1"/>
  <c r="DB74" i="1" s="1"/>
  <c r="DB72" i="1"/>
  <c r="CR167" i="42"/>
  <c r="BT38" i="53"/>
  <c r="BY37" i="53"/>
  <c r="BG59" i="53"/>
  <c r="BF61" i="53"/>
  <c r="BF60" i="53"/>
  <c r="CS31" i="53" l="1"/>
  <c r="DG73" i="1"/>
  <c r="DG74" i="1" s="1"/>
  <c r="DG72" i="1"/>
  <c r="DB167" i="42"/>
  <c r="CR24" i="1"/>
  <c r="BG61" i="53"/>
  <c r="BG60" i="53"/>
  <c r="DB24" i="1" l="1"/>
  <c r="CW167" i="42"/>
  <c r="CW24" i="1" s="1"/>
  <c r="CD37" i="53"/>
  <c r="BV163" i="42"/>
  <c r="CN37" i="53" l="1"/>
  <c r="CI37" i="53"/>
  <c r="BW163" i="42"/>
  <c r="BW242" i="42"/>
  <c r="BW243" i="42"/>
  <c r="BZ182" i="42"/>
  <c r="BV183" i="42"/>
  <c r="BV185" i="42" s="1"/>
  <c r="BZ201" i="42"/>
  <c r="BZ202" i="42" s="1"/>
  <c r="BZ204" i="42" s="1"/>
  <c r="BV202" i="42"/>
  <c r="BV204" i="42" s="1"/>
  <c r="BW34" i="42"/>
  <c r="BW38" i="42" s="1"/>
  <c r="BW195" i="42"/>
  <c r="BW199" i="42" s="1"/>
  <c r="BZ194" i="42"/>
  <c r="BZ195" i="42" s="1"/>
  <c r="BZ199" i="42" s="1"/>
  <c r="BV195" i="42"/>
  <c r="BV199" i="42" s="1"/>
  <c r="BW41" i="42"/>
  <c r="BW43" i="42" s="1"/>
  <c r="BW27" i="42"/>
  <c r="BW31" i="42" s="1"/>
  <c r="BW188" i="42"/>
  <c r="BW192" i="42" s="1"/>
  <c r="BV20" i="1"/>
  <c r="BV168" i="42"/>
  <c r="BW9" i="42"/>
  <c r="BV9" i="42"/>
  <c r="BV188" i="42"/>
  <c r="BV192" i="42" s="1"/>
  <c r="BZ187" i="42"/>
  <c r="BZ188" i="42" s="1"/>
  <c r="BZ192" i="42" s="1"/>
  <c r="BW183" i="42"/>
  <c r="BW244" i="42" l="1"/>
  <c r="CB244" i="42"/>
  <c r="CE196" i="42"/>
  <c r="BW185" i="42"/>
  <c r="BZ185" i="42" s="1"/>
  <c r="CG202" i="42"/>
  <c r="CG204" i="42" s="1"/>
  <c r="CG195" i="42"/>
  <c r="CG199" i="42" s="1"/>
  <c r="BW20" i="1"/>
  <c r="CE203" i="42"/>
  <c r="BZ183" i="42"/>
  <c r="BZ26" i="42"/>
  <c r="BV27" i="42"/>
  <c r="BV31" i="42" s="1"/>
  <c r="BN8" i="53"/>
  <c r="BV9" i="1"/>
  <c r="BZ9" i="42"/>
  <c r="BV14" i="42"/>
  <c r="CA9" i="42"/>
  <c r="BV169" i="42"/>
  <c r="CB202" i="42"/>
  <c r="CB204" i="42" s="1"/>
  <c r="CE194" i="42"/>
  <c r="CA195" i="42"/>
  <c r="CA199" i="42" s="1"/>
  <c r="CE189" i="42"/>
  <c r="BZ33" i="42"/>
  <c r="BV34" i="42"/>
  <c r="BV38" i="42" s="1"/>
  <c r="CB195" i="42"/>
  <c r="CB199" i="42" s="1"/>
  <c r="CE201" i="42"/>
  <c r="CA202" i="42"/>
  <c r="CA204" i="42" s="1"/>
  <c r="CE187" i="42"/>
  <c r="CA188" i="42"/>
  <c r="CA192" i="42" s="1"/>
  <c r="CE184" i="42"/>
  <c r="BM8" i="53"/>
  <c r="BW9" i="1"/>
  <c r="BW14" i="42"/>
  <c r="BV25" i="1"/>
  <c r="BH33" i="53"/>
  <c r="CB188" i="42"/>
  <c r="CB192" i="42" s="1"/>
  <c r="BV41" i="42"/>
  <c r="BV43" i="42" s="1"/>
  <c r="BZ27" i="42" l="1"/>
  <c r="BZ31" i="42" s="1"/>
  <c r="CE28" i="42"/>
  <c r="CE27" i="42"/>
  <c r="BZ34" i="42"/>
  <c r="BZ38" i="42" s="1"/>
  <c r="CE35" i="42"/>
  <c r="CE34" i="42"/>
  <c r="BW49" i="42"/>
  <c r="BV49" i="42"/>
  <c r="BS8" i="53"/>
  <c r="BW8" i="53"/>
  <c r="BX8" i="53"/>
  <c r="CJ194" i="42"/>
  <c r="CJ195" i="42" s="1"/>
  <c r="CL195" i="42"/>
  <c r="CL199" i="42" s="1"/>
  <c r="CL34" i="42"/>
  <c r="CJ201" i="42"/>
  <c r="CO203" i="42" s="1"/>
  <c r="CL202" i="42"/>
  <c r="CL204" i="42" s="1"/>
  <c r="BR8" i="53"/>
  <c r="BI33" i="53"/>
  <c r="CF41" i="42"/>
  <c r="CF43" i="42" s="1"/>
  <c r="CF202" i="42"/>
  <c r="CF204" i="42" s="1"/>
  <c r="CF195" i="42"/>
  <c r="CF199" i="42" s="1"/>
  <c r="CF34" i="42"/>
  <c r="CF38" i="42" s="1"/>
  <c r="CF188" i="42"/>
  <c r="CF192" i="42" s="1"/>
  <c r="CF27" i="42"/>
  <c r="CF31" i="42" s="1"/>
  <c r="CE195" i="42"/>
  <c r="CE199" i="42" s="1"/>
  <c r="CJ196" i="42"/>
  <c r="CE188" i="42"/>
  <c r="CE192" i="42" s="1"/>
  <c r="CJ189" i="42"/>
  <c r="CG188" i="42"/>
  <c r="CG192" i="42" s="1"/>
  <c r="CJ187" i="42"/>
  <c r="CB34" i="42"/>
  <c r="CB38" i="42" s="1"/>
  <c r="CG34" i="42"/>
  <c r="CB41" i="42"/>
  <c r="CB43" i="42" s="1"/>
  <c r="CG41" i="42"/>
  <c r="CB27" i="42"/>
  <c r="CB31" i="42" s="1"/>
  <c r="CE202" i="42"/>
  <c r="CE204" i="42" s="1"/>
  <c r="CJ203" i="42"/>
  <c r="BH38" i="53"/>
  <c r="BW14" i="1"/>
  <c r="BI7" i="53"/>
  <c r="CB9" i="42"/>
  <c r="CE9" i="42" s="1"/>
  <c r="CB183" i="42"/>
  <c r="CE182" i="42"/>
  <c r="BV20" i="42"/>
  <c r="BV15" i="42"/>
  <c r="BV17" i="42" s="1"/>
  <c r="BZ9" i="1"/>
  <c r="BQ8" i="53"/>
  <c r="CA31" i="42"/>
  <c r="CA43" i="42"/>
  <c r="CA163" i="42"/>
  <c r="CA9" i="1"/>
  <c r="CA14" i="42"/>
  <c r="BV14" i="1"/>
  <c r="BH7" i="53"/>
  <c r="BW20" i="42"/>
  <c r="BW15" i="42"/>
  <c r="CA38" i="42"/>
  <c r="BV170" i="42"/>
  <c r="BV171" i="42" s="1"/>
  <c r="CE228" i="42" l="1"/>
  <c r="CE232" i="42"/>
  <c r="CE223" i="42"/>
  <c r="CE236" i="42"/>
  <c r="CV201" i="42"/>
  <c r="CV194" i="42"/>
  <c r="CL38" i="42"/>
  <c r="CL43" i="42"/>
  <c r="CE31" i="42"/>
  <c r="CB8" i="53"/>
  <c r="CE38" i="42"/>
  <c r="CE243" i="42"/>
  <c r="CF243" i="42"/>
  <c r="CK244" i="42" s="1"/>
  <c r="CJ202" i="42"/>
  <c r="CJ204" i="42" s="1"/>
  <c r="CB185" i="42"/>
  <c r="CE185" i="42" s="1"/>
  <c r="BR17" i="53"/>
  <c r="CA49" i="42"/>
  <c r="CO196" i="42"/>
  <c r="CO194" i="42"/>
  <c r="CL188" i="42"/>
  <c r="CL192" i="42" s="1"/>
  <c r="CK41" i="42"/>
  <c r="CO201" i="42"/>
  <c r="CO187" i="42"/>
  <c r="CF183" i="42"/>
  <c r="CJ188" i="42"/>
  <c r="CJ192" i="42" s="1"/>
  <c r="CO189" i="42"/>
  <c r="CE9" i="1"/>
  <c r="CF9" i="42"/>
  <c r="BW17" i="42"/>
  <c r="CJ26" i="42"/>
  <c r="CG27" i="42"/>
  <c r="CG31" i="42" s="1"/>
  <c r="CJ199" i="42"/>
  <c r="CG183" i="42"/>
  <c r="CG9" i="42"/>
  <c r="CJ182" i="42"/>
  <c r="CG43" i="42"/>
  <c r="CG38" i="42"/>
  <c r="CJ28" i="42"/>
  <c r="CJ184" i="42"/>
  <c r="CA15" i="42"/>
  <c r="CA20" i="42"/>
  <c r="BW21" i="42"/>
  <c r="BW23" i="42" s="1"/>
  <c r="BM17" i="53"/>
  <c r="CB163" i="42"/>
  <c r="CE163" i="42" s="1"/>
  <c r="BW17" i="1"/>
  <c r="BI16" i="53"/>
  <c r="BL7" i="53"/>
  <c r="CE183" i="42"/>
  <c r="BV21" i="42"/>
  <c r="BV23" i="42" s="1"/>
  <c r="BN17" i="53"/>
  <c r="BV17" i="1"/>
  <c r="BH16" i="53"/>
  <c r="CA14" i="1"/>
  <c r="BM7" i="53"/>
  <c r="CA20" i="1"/>
  <c r="CB9" i="1"/>
  <c r="CB14" i="42"/>
  <c r="CC8" i="53" l="1"/>
  <c r="CJ223" i="42"/>
  <c r="CJ224" i="42" s="1"/>
  <c r="CJ228" i="42"/>
  <c r="CJ229" i="42" s="1"/>
  <c r="CJ232" i="42"/>
  <c r="CJ233" i="42" s="1"/>
  <c r="CJ236" i="42"/>
  <c r="CJ237" i="42" s="1"/>
  <c r="DA201" i="42"/>
  <c r="DA194" i="42"/>
  <c r="CV35" i="42"/>
  <c r="CV184" i="42"/>
  <c r="CH8" i="53" s="1"/>
  <c r="CV187" i="42"/>
  <c r="CV202" i="42"/>
  <c r="CV40" i="42"/>
  <c r="CV41" i="42" s="1"/>
  <c r="CV195" i="42"/>
  <c r="CV33" i="42"/>
  <c r="CV34" i="42" s="1"/>
  <c r="CV42" i="42"/>
  <c r="CG185" i="42"/>
  <c r="CA17" i="42"/>
  <c r="CF9" i="1"/>
  <c r="CF244" i="42"/>
  <c r="CF185" i="42"/>
  <c r="CP41" i="42"/>
  <c r="CT201" i="42"/>
  <c r="CT202" i="42" s="1"/>
  <c r="CP195" i="42"/>
  <c r="CP199" i="42" s="1"/>
  <c r="CP34" i="42"/>
  <c r="CP38" i="42" s="1"/>
  <c r="CT194" i="42"/>
  <c r="CT195" i="42" s="1"/>
  <c r="BR22" i="53"/>
  <c r="CE14" i="42"/>
  <c r="CT187" i="42"/>
  <c r="CT188" i="42" s="1"/>
  <c r="CO202" i="42"/>
  <c r="CO204" i="42" s="1"/>
  <c r="CT203" i="42"/>
  <c r="CO195" i="42"/>
  <c r="CO199" i="42" s="1"/>
  <c r="CT196" i="42"/>
  <c r="CO188" i="42"/>
  <c r="CO192" i="42" s="1"/>
  <c r="CT189" i="42"/>
  <c r="CF163" i="42"/>
  <c r="CF242" i="42"/>
  <c r="CB49" i="42"/>
  <c r="CB52" i="42"/>
  <c r="CB54" i="42" s="1"/>
  <c r="CK43" i="42"/>
  <c r="CG242" i="42"/>
  <c r="CK9" i="42"/>
  <c r="CK183" i="42"/>
  <c r="CO182" i="42"/>
  <c r="CK27" i="42"/>
  <c r="CK31" i="42" s="1"/>
  <c r="CK163" i="42"/>
  <c r="CK34" i="42"/>
  <c r="CK38" i="42" s="1"/>
  <c r="CJ27" i="42"/>
  <c r="CJ31" i="42" s="1"/>
  <c r="CO184" i="42"/>
  <c r="CF14" i="42"/>
  <c r="CF49" i="42" s="1"/>
  <c r="BV8" i="53"/>
  <c r="CG243" i="42"/>
  <c r="CL244" i="42" s="1"/>
  <c r="CG163" i="42"/>
  <c r="CG9" i="1"/>
  <c r="CG14" i="42"/>
  <c r="CL15" i="42" s="1"/>
  <c r="CJ9" i="42"/>
  <c r="CJ183" i="42"/>
  <c r="BM22" i="53"/>
  <c r="CA17" i="1"/>
  <c r="BM16" i="53"/>
  <c r="BQ7" i="53"/>
  <c r="CA21" i="42"/>
  <c r="CA23" i="42" s="1"/>
  <c r="CB20" i="42"/>
  <c r="CE20" i="42" s="1"/>
  <c r="CB15" i="42"/>
  <c r="CB20" i="1"/>
  <c r="BM33" i="53"/>
  <c r="BV58" i="1"/>
  <c r="BH21" i="53"/>
  <c r="BW58" i="1"/>
  <c r="BI21" i="53"/>
  <c r="CB14" i="1"/>
  <c r="BN7" i="53"/>
  <c r="BN22" i="53"/>
  <c r="CG8" i="53" l="1"/>
  <c r="DF201" i="42"/>
  <c r="DF194" i="42"/>
  <c r="CL17" i="42"/>
  <c r="CE156" i="42"/>
  <c r="CE152" i="42"/>
  <c r="CE160" i="42"/>
  <c r="CE147" i="42"/>
  <c r="CO236" i="42"/>
  <c r="CO237" i="42" s="1"/>
  <c r="CO232" i="42"/>
  <c r="CO233" i="42" s="1"/>
  <c r="CO223" i="42"/>
  <c r="CO224" i="42" s="1"/>
  <c r="CO228" i="42"/>
  <c r="CO229" i="42" s="1"/>
  <c r="DA40" i="42"/>
  <c r="DA41" i="42" s="1"/>
  <c r="DA202" i="42"/>
  <c r="DA42" i="42"/>
  <c r="CZ201" i="42"/>
  <c r="DA33" i="42"/>
  <c r="DA34" i="42" s="1"/>
  <c r="DA195" i="42"/>
  <c r="DA35" i="42"/>
  <c r="CZ194" i="42"/>
  <c r="DA184" i="42"/>
  <c r="CM8" i="53" s="1"/>
  <c r="DA187" i="42"/>
  <c r="CZ184" i="42"/>
  <c r="CL8" i="53" s="1"/>
  <c r="CZ187" i="42"/>
  <c r="CF14" i="1"/>
  <c r="CF17" i="1" s="1"/>
  <c r="CK185" i="42"/>
  <c r="CO185" i="42" s="1"/>
  <c r="CV38" i="42"/>
  <c r="CV28" i="42"/>
  <c r="CY189" i="42"/>
  <c r="CV43" i="42"/>
  <c r="CV182" i="42"/>
  <c r="CU202" i="42"/>
  <c r="CY201" i="42"/>
  <c r="CZ42" i="42"/>
  <c r="CY196" i="42"/>
  <c r="CY203" i="42"/>
  <c r="CY187" i="42"/>
  <c r="CU188" i="42"/>
  <c r="CU192" i="42" s="1"/>
  <c r="CZ28" i="42"/>
  <c r="CU195" i="42"/>
  <c r="CU199" i="42" s="1"/>
  <c r="CY194" i="42"/>
  <c r="CZ35" i="42"/>
  <c r="CV188" i="42"/>
  <c r="CV26" i="42"/>
  <c r="CV27" i="42" s="1"/>
  <c r="CJ185" i="42"/>
  <c r="CG244" i="42"/>
  <c r="CG49" i="42"/>
  <c r="BR7" i="53"/>
  <c r="BS17" i="53"/>
  <c r="CG20" i="1"/>
  <c r="CF20" i="1"/>
  <c r="CP43" i="42"/>
  <c r="CE49" i="42"/>
  <c r="CP27" i="42"/>
  <c r="CP31" i="42" s="1"/>
  <c r="CT182" i="42"/>
  <c r="CT204" i="42"/>
  <c r="CT199" i="42"/>
  <c r="CT192" i="42"/>
  <c r="CT185" i="42"/>
  <c r="CT184" i="42"/>
  <c r="CA8" i="53"/>
  <c r="CB17" i="42"/>
  <c r="CO183" i="42"/>
  <c r="CK9" i="1"/>
  <c r="CK14" i="42"/>
  <c r="CO9" i="42"/>
  <c r="CG15" i="42"/>
  <c r="BX17" i="53"/>
  <c r="BW17" i="53"/>
  <c r="CF15" i="42"/>
  <c r="CF20" i="42"/>
  <c r="CJ9" i="1"/>
  <c r="CG14" i="1"/>
  <c r="BS7" i="53"/>
  <c r="CG20" i="42"/>
  <c r="CL21" i="42" s="1"/>
  <c r="CL23" i="42" s="1"/>
  <c r="BN33" i="53"/>
  <c r="BH23" i="53"/>
  <c r="CB21" i="42"/>
  <c r="BI23" i="53"/>
  <c r="BH30" i="53"/>
  <c r="BH29" i="53"/>
  <c r="BI30" i="53"/>
  <c r="BI29" i="53"/>
  <c r="BH27" i="53"/>
  <c r="CB17" i="1"/>
  <c r="BN16" i="53"/>
  <c r="BW71" i="1"/>
  <c r="CB72" i="1" s="1"/>
  <c r="BI27" i="53"/>
  <c r="BM21" i="53"/>
  <c r="CT228" i="42" l="1"/>
  <c r="CT229" i="42" s="1"/>
  <c r="CT223" i="42"/>
  <c r="CT224" i="42" s="1"/>
  <c r="CT232" i="42"/>
  <c r="CT233" i="42" s="1"/>
  <c r="CT236" i="42"/>
  <c r="CT237" i="42" s="1"/>
  <c r="DF35" i="42"/>
  <c r="DF195" i="42"/>
  <c r="DF33" i="42"/>
  <c r="DF34" i="42" s="1"/>
  <c r="DF40" i="42"/>
  <c r="DF41" i="42" s="1"/>
  <c r="DF202" i="42"/>
  <c r="DF184" i="42"/>
  <c r="DF187" i="42"/>
  <c r="DF42" i="42"/>
  <c r="DE184" i="42"/>
  <c r="CQ8" i="53" s="1"/>
  <c r="DE187" i="42"/>
  <c r="DE201" i="42"/>
  <c r="DE194" i="42"/>
  <c r="CQ163" i="42"/>
  <c r="CQ20" i="1" s="1"/>
  <c r="CK156" i="42"/>
  <c r="CP157" i="42" s="1"/>
  <c r="CK152" i="42"/>
  <c r="CP153" i="42" s="1"/>
  <c r="CK147" i="42"/>
  <c r="CP148" i="42" s="1"/>
  <c r="CK160" i="42"/>
  <c r="CP161" i="42" s="1"/>
  <c r="CP15" i="42"/>
  <c r="CF8" i="53"/>
  <c r="DA43" i="42"/>
  <c r="CZ202" i="42"/>
  <c r="CZ40" i="42"/>
  <c r="CZ41" i="42" s="1"/>
  <c r="CZ43" i="42" s="1"/>
  <c r="DD201" i="42"/>
  <c r="DA38" i="42"/>
  <c r="CZ195" i="42"/>
  <c r="CZ33" i="42"/>
  <c r="CZ34" i="42" s="1"/>
  <c r="CZ38" i="42" s="1"/>
  <c r="DD194" i="42"/>
  <c r="DA182" i="42"/>
  <c r="DA26" i="42"/>
  <c r="DA27" i="42" s="1"/>
  <c r="DA188" i="42"/>
  <c r="DA28" i="42"/>
  <c r="CZ26" i="42"/>
  <c r="CZ27" i="42" s="1"/>
  <c r="CZ31" i="42" s="1"/>
  <c r="CZ188" i="42"/>
  <c r="DD187" i="42"/>
  <c r="CZ182" i="42"/>
  <c r="CY188" i="42"/>
  <c r="CY192" i="42" s="1"/>
  <c r="DD189" i="42"/>
  <c r="CY195" i="42"/>
  <c r="CY199" i="42" s="1"/>
  <c r="DD196" i="42"/>
  <c r="CY202" i="42"/>
  <c r="CY204" i="42" s="1"/>
  <c r="DD203" i="42"/>
  <c r="BR16" i="53"/>
  <c r="CV31" i="42"/>
  <c r="CK52" i="42"/>
  <c r="CK54" i="42" s="1"/>
  <c r="CB17" i="53"/>
  <c r="CK49" i="42"/>
  <c r="CU34" i="42"/>
  <c r="CU38" i="42" s="1"/>
  <c r="CY184" i="42"/>
  <c r="CK8" i="53" s="1"/>
  <c r="CU41" i="42"/>
  <c r="CU43" i="42" s="1"/>
  <c r="CV9" i="42"/>
  <c r="CV183" i="42"/>
  <c r="CU9" i="42"/>
  <c r="CU183" i="42"/>
  <c r="CY182" i="42"/>
  <c r="CU27" i="42"/>
  <c r="CU31" i="42" s="1"/>
  <c r="CV241" i="42"/>
  <c r="BS33" i="53"/>
  <c r="CG17" i="42"/>
  <c r="CB23" i="42"/>
  <c r="BV7" i="53"/>
  <c r="BS16" i="53"/>
  <c r="CO9" i="1"/>
  <c r="BX22" i="53"/>
  <c r="CF52" i="42"/>
  <c r="CF54" i="42" s="1"/>
  <c r="BS22" i="53"/>
  <c r="BR33" i="53"/>
  <c r="CF17" i="42"/>
  <c r="CP163" i="42"/>
  <c r="CT183" i="42"/>
  <c r="CP9" i="1"/>
  <c r="CT9" i="42"/>
  <c r="CK14" i="1"/>
  <c r="BW7" i="53"/>
  <c r="BX7" i="53"/>
  <c r="CK15" i="42"/>
  <c r="CK20" i="42"/>
  <c r="CK20" i="1"/>
  <c r="BX33" i="53"/>
  <c r="CF21" i="42"/>
  <c r="BW22" i="53"/>
  <c r="CF58" i="1"/>
  <c r="BR29" i="53"/>
  <c r="BR21" i="53"/>
  <c r="CG17" i="1"/>
  <c r="CG21" i="42"/>
  <c r="CG23" i="42" s="1"/>
  <c r="BM23" i="53"/>
  <c r="BH28" i="53"/>
  <c r="BW73" i="1"/>
  <c r="CB74" i="1" s="1"/>
  <c r="BW72" i="1"/>
  <c r="BI31" i="53"/>
  <c r="BV132" i="42"/>
  <c r="CB58" i="1"/>
  <c r="BN21" i="53"/>
  <c r="BW132" i="42"/>
  <c r="BM29" i="53"/>
  <c r="BI28" i="53"/>
  <c r="BH31" i="53"/>
  <c r="DF38" i="42" l="1"/>
  <c r="CU185" i="42"/>
  <c r="DE42" i="42"/>
  <c r="CG17" i="53"/>
  <c r="DF28" i="42"/>
  <c r="DF43" i="42"/>
  <c r="DF182" i="42"/>
  <c r="CR8" i="53"/>
  <c r="DF26" i="42"/>
  <c r="DF27" i="42" s="1"/>
  <c r="DF188" i="42"/>
  <c r="DE35" i="42"/>
  <c r="DE202" i="42"/>
  <c r="DE40" i="42"/>
  <c r="DE41" i="42" s="1"/>
  <c r="DI201" i="42"/>
  <c r="DI202" i="42" s="1"/>
  <c r="DE182" i="42"/>
  <c r="DE28" i="42"/>
  <c r="DE188" i="42"/>
  <c r="DE26" i="42"/>
  <c r="DE27" i="42" s="1"/>
  <c r="DI187" i="42"/>
  <c r="DI188" i="42" s="1"/>
  <c r="DE195" i="42"/>
  <c r="DE33" i="42"/>
  <c r="DE34" i="42" s="1"/>
  <c r="DI194" i="42"/>
  <c r="DI195" i="42" s="1"/>
  <c r="DD202" i="42"/>
  <c r="DD204" i="42" s="1"/>
  <c r="DI203" i="42"/>
  <c r="DD195" i="42"/>
  <c r="DD199" i="42" s="1"/>
  <c r="DI196" i="42"/>
  <c r="DD188" i="42"/>
  <c r="DD192" i="42" s="1"/>
  <c r="DI189" i="42"/>
  <c r="CC33" i="53"/>
  <c r="CV16" i="42"/>
  <c r="CH17" i="53" s="1"/>
  <c r="CP17" i="42"/>
  <c r="CP21" i="42"/>
  <c r="CC17" i="53"/>
  <c r="DA241" i="42"/>
  <c r="DA31" i="42"/>
  <c r="DA9" i="42"/>
  <c r="DA183" i="42"/>
  <c r="CZ9" i="42"/>
  <c r="CZ183" i="42"/>
  <c r="DD182" i="42"/>
  <c r="CZ241" i="42"/>
  <c r="DD184" i="42"/>
  <c r="CP8" i="53" s="1"/>
  <c r="DD185" i="42"/>
  <c r="CK17" i="1"/>
  <c r="CK17" i="42"/>
  <c r="BW33" i="53"/>
  <c r="CU163" i="42"/>
  <c r="CU20" i="1" s="1"/>
  <c r="CV163" i="42"/>
  <c r="CV242" i="42"/>
  <c r="CV243" i="42"/>
  <c r="CY183" i="42"/>
  <c r="CU9" i="1"/>
  <c r="CY9" i="42"/>
  <c r="CU14" i="42"/>
  <c r="CV14" i="42"/>
  <c r="DA16" i="42" s="1"/>
  <c r="CM17" i="53" s="1"/>
  <c r="CV9" i="1"/>
  <c r="CF23" i="42"/>
  <c r="CA7" i="53"/>
  <c r="CT9" i="1"/>
  <c r="CC7" i="53"/>
  <c r="BR23" i="53"/>
  <c r="CP14" i="1"/>
  <c r="CB7" i="53"/>
  <c r="CP20" i="1"/>
  <c r="CK21" i="42"/>
  <c r="CK23" i="42" s="1"/>
  <c r="CB22" i="53"/>
  <c r="BW16" i="53"/>
  <c r="BX16" i="53"/>
  <c r="BM30" i="53"/>
  <c r="CF68" i="1"/>
  <c r="CG58" i="1"/>
  <c r="BS21" i="53"/>
  <c r="BW74" i="1"/>
  <c r="BN23" i="53"/>
  <c r="BN29" i="53"/>
  <c r="BN27" i="53"/>
  <c r="DE43" i="42" l="1"/>
  <c r="CU204" i="42"/>
  <c r="CY185" i="42"/>
  <c r="CZ16" i="42"/>
  <c r="CL17" i="53" s="1"/>
  <c r="CU49" i="42"/>
  <c r="CG33" i="53"/>
  <c r="DF31" i="42"/>
  <c r="DE31" i="42"/>
  <c r="DE38" i="42"/>
  <c r="DA243" i="42"/>
  <c r="DF241" i="42"/>
  <c r="DI199" i="42"/>
  <c r="DI192" i="42"/>
  <c r="DF9" i="42"/>
  <c r="DF183" i="42"/>
  <c r="DE183" i="42"/>
  <c r="DE9" i="42"/>
  <c r="DI182" i="42"/>
  <c r="DI204" i="42"/>
  <c r="DE241" i="42"/>
  <c r="DI185" i="42"/>
  <c r="DI184" i="42"/>
  <c r="CU8" i="53" s="1"/>
  <c r="CC22" i="53"/>
  <c r="CB33" i="53"/>
  <c r="DA242" i="42"/>
  <c r="DA163" i="42"/>
  <c r="DA20" i="1" s="1"/>
  <c r="CM33" i="53" s="1"/>
  <c r="DA14" i="42"/>
  <c r="DF16" i="42" s="1"/>
  <c r="CR17" i="53" s="1"/>
  <c r="DA9" i="1"/>
  <c r="DD183" i="42"/>
  <c r="CZ242" i="42"/>
  <c r="CZ243" i="42"/>
  <c r="CZ163" i="42"/>
  <c r="CZ20" i="1" s="1"/>
  <c r="CL33" i="53" s="1"/>
  <c r="CZ9" i="1"/>
  <c r="CZ14" i="42"/>
  <c r="DE16" i="42" s="1"/>
  <c r="CQ17" i="53" s="1"/>
  <c r="DD9" i="42"/>
  <c r="DD9" i="1" s="1"/>
  <c r="CY9" i="1"/>
  <c r="BW21" i="53"/>
  <c r="CK58" i="1"/>
  <c r="BW29" i="53"/>
  <c r="CV14" i="1"/>
  <c r="CV17" i="1" s="1"/>
  <c r="CV57" i="1" s="1"/>
  <c r="CH7" i="53"/>
  <c r="CU14" i="1"/>
  <c r="CG7" i="53"/>
  <c r="CV22" i="42"/>
  <c r="CH22" i="53" s="1"/>
  <c r="CU15" i="42"/>
  <c r="CU20" i="42"/>
  <c r="CP23" i="42"/>
  <c r="CV20" i="1"/>
  <c r="CH33" i="53" s="1"/>
  <c r="CV15" i="42"/>
  <c r="CV17" i="42" s="1"/>
  <c r="CV20" i="42"/>
  <c r="BS29" i="53"/>
  <c r="CF7" i="53"/>
  <c r="CC16" i="53"/>
  <c r="BR30" i="53"/>
  <c r="CP17" i="1"/>
  <c r="CB16" i="53"/>
  <c r="BS27" i="53"/>
  <c r="BS23" i="53"/>
  <c r="CL58" i="1"/>
  <c r="BN30" i="53"/>
  <c r="BX21" i="53"/>
  <c r="BX29" i="53"/>
  <c r="CG68" i="1"/>
  <c r="CG71" i="1"/>
  <c r="CL72" i="1" s="1"/>
  <c r="BN31" i="53"/>
  <c r="BH63" i="53"/>
  <c r="BW167" i="42"/>
  <c r="BW476" i="42"/>
  <c r="BN28" i="53"/>
  <c r="CB474" i="42"/>
  <c r="BJ63" i="53"/>
  <c r="CP7" i="53" l="1"/>
  <c r="CK7" i="53"/>
  <c r="CG22" i="53"/>
  <c r="CU17" i="1"/>
  <c r="CU17" i="42"/>
  <c r="DF9" i="1"/>
  <c r="DF14" i="42"/>
  <c r="DI183" i="42"/>
  <c r="DF243" i="42"/>
  <c r="DF163" i="42"/>
  <c r="DF242" i="42"/>
  <c r="DE242" i="42"/>
  <c r="DE243" i="42"/>
  <c r="DE163" i="42"/>
  <c r="DE9" i="1"/>
  <c r="DE14" i="42"/>
  <c r="DI9" i="42"/>
  <c r="DI9" i="1" s="1"/>
  <c r="CU7" i="53" s="1"/>
  <c r="CB26" i="53"/>
  <c r="CP253" i="1"/>
  <c r="CP274" i="1"/>
  <c r="CQ253" i="1"/>
  <c r="CQ222" i="1"/>
  <c r="CQ228" i="1" s="1"/>
  <c r="CV228" i="1" s="1"/>
  <c r="DA228" i="1" s="1"/>
  <c r="DF228" i="1" s="1"/>
  <c r="CQ274" i="1"/>
  <c r="CH21" i="53"/>
  <c r="CV253" i="1"/>
  <c r="CV274" i="1"/>
  <c r="CZ22" i="42"/>
  <c r="CL22" i="53" s="1"/>
  <c r="DA22" i="42"/>
  <c r="CM22" i="53" s="1"/>
  <c r="CC26" i="53"/>
  <c r="DA14" i="1"/>
  <c r="CM7" i="53"/>
  <c r="DA15" i="42"/>
  <c r="DA17" i="42" s="1"/>
  <c r="DA20" i="42"/>
  <c r="DF22" i="42" s="1"/>
  <c r="CR22" i="53" s="1"/>
  <c r="CZ15" i="42"/>
  <c r="CZ17" i="42" s="1"/>
  <c r="CZ20" i="42"/>
  <c r="DE22" i="42" s="1"/>
  <c r="CQ22" i="53" s="1"/>
  <c r="CL7" i="53"/>
  <c r="CZ14" i="1"/>
  <c r="CV21" i="42"/>
  <c r="CH16" i="53"/>
  <c r="BW23" i="53"/>
  <c r="BW30" i="53"/>
  <c r="CG16" i="53"/>
  <c r="CV63" i="1"/>
  <c r="CV67" i="1"/>
  <c r="CV58" i="1"/>
  <c r="CH23" i="53" s="1"/>
  <c r="CU21" i="42"/>
  <c r="BS30" i="53"/>
  <c r="CG76" i="1"/>
  <c r="CL77" i="1" s="1"/>
  <c r="CG64" i="1"/>
  <c r="CG72" i="1"/>
  <c r="BX23" i="53"/>
  <c r="CC21" i="53"/>
  <c r="CB21" i="53"/>
  <c r="BX30" i="53"/>
  <c r="BX28" i="53"/>
  <c r="BX27" i="53"/>
  <c r="BI63" i="53"/>
  <c r="BS31" i="53"/>
  <c r="CG73" i="1"/>
  <c r="BI62" i="53"/>
  <c r="BJ62" i="53"/>
  <c r="BW24" i="1"/>
  <c r="BW168" i="42"/>
  <c r="BH62" i="53"/>
  <c r="BH47" i="53"/>
  <c r="BI47" i="53"/>
  <c r="CV23" i="42" l="1"/>
  <c r="CU23" i="42"/>
  <c r="DF20" i="1"/>
  <c r="DF20" i="42"/>
  <c r="DF15" i="42"/>
  <c r="DF17" i="42" s="1"/>
  <c r="DF14" i="1"/>
  <c r="CR7" i="53"/>
  <c r="DE20" i="42"/>
  <c r="DE15" i="42"/>
  <c r="DE17" i="42" s="1"/>
  <c r="CQ7" i="53"/>
  <c r="DE14" i="1"/>
  <c r="DE168" i="42"/>
  <c r="DE20" i="1"/>
  <c r="CR242" i="1"/>
  <c r="CQ242" i="1"/>
  <c r="CP242" i="1"/>
  <c r="CC23" i="53"/>
  <c r="CV111" i="1"/>
  <c r="CZ21" i="42"/>
  <c r="CZ23" i="42" s="1"/>
  <c r="DA21" i="42"/>
  <c r="DA23" i="42" s="1"/>
  <c r="DA17" i="1"/>
  <c r="DA57" i="1" s="1"/>
  <c r="CM16" i="53"/>
  <c r="CZ17" i="1"/>
  <c r="CZ57" i="1" s="1"/>
  <c r="CL16" i="53"/>
  <c r="CH27" i="53"/>
  <c r="CH29" i="53"/>
  <c r="CG74" i="1"/>
  <c r="CL74" i="1"/>
  <c r="CV71" i="1"/>
  <c r="CV64" i="1"/>
  <c r="CV68" i="1"/>
  <c r="CH30" i="53" s="1"/>
  <c r="CC29" i="53"/>
  <c r="CG474" i="42"/>
  <c r="BS28" i="53"/>
  <c r="CB23" i="53"/>
  <c r="CC30" i="53"/>
  <c r="CC27" i="53"/>
  <c r="CB29" i="53"/>
  <c r="CB30" i="53"/>
  <c r="BX31" i="53"/>
  <c r="BW170" i="42"/>
  <c r="BW171" i="42" s="1"/>
  <c r="BW169" i="42"/>
  <c r="BI37" i="53"/>
  <c r="BW25" i="1"/>
  <c r="CU274" i="1" l="1"/>
  <c r="CU58" i="1"/>
  <c r="CU253" i="1"/>
  <c r="CG21" i="53"/>
  <c r="DF17" i="1"/>
  <c r="DF57" i="1" s="1"/>
  <c r="CR16" i="53"/>
  <c r="DF21" i="42"/>
  <c r="DF23" i="42" s="1"/>
  <c r="CR33" i="53"/>
  <c r="DE170" i="42"/>
  <c r="DE17" i="1"/>
  <c r="DE57" i="1" s="1"/>
  <c r="CQ16" i="53"/>
  <c r="CQ33" i="53"/>
  <c r="DE25" i="1"/>
  <c r="CQ38" i="53" s="1"/>
  <c r="DE21" i="42"/>
  <c r="DE23" i="42" s="1"/>
  <c r="CH28" i="53"/>
  <c r="CZ253" i="1"/>
  <c r="CZ274" i="1"/>
  <c r="CR254" i="1"/>
  <c r="CR255" i="1" s="1"/>
  <c r="CR256" i="1" s="1"/>
  <c r="CQ273" i="1"/>
  <c r="CP273" i="1"/>
  <c r="CP254" i="1"/>
  <c r="CP255" i="1" s="1"/>
  <c r="CP256" i="1" s="1"/>
  <c r="CQ254" i="1"/>
  <c r="CQ255" i="1" s="1"/>
  <c r="CQ256" i="1" s="1"/>
  <c r="DA253" i="1"/>
  <c r="DA274" i="1"/>
  <c r="CR273" i="1"/>
  <c r="CM21" i="53"/>
  <c r="DA58" i="1"/>
  <c r="CM23" i="53" s="1"/>
  <c r="DA67" i="1"/>
  <c r="DA63" i="1"/>
  <c r="CL21" i="53"/>
  <c r="CZ58" i="1"/>
  <c r="CL23" i="53" s="1"/>
  <c r="CZ67" i="1"/>
  <c r="CH31" i="53"/>
  <c r="CV72" i="1"/>
  <c r="CV73" i="1"/>
  <c r="CC31" i="53"/>
  <c r="CC28" i="53"/>
  <c r="BI38" i="53"/>
  <c r="CG23" i="53" l="1"/>
  <c r="CU111" i="1"/>
  <c r="CG29" i="53"/>
  <c r="CU68" i="1"/>
  <c r="CR21" i="53"/>
  <c r="DF63" i="1"/>
  <c r="DF58" i="1"/>
  <c r="DF253" i="1"/>
  <c r="DF274" i="1"/>
  <c r="DF67" i="1"/>
  <c r="CQ21" i="53"/>
  <c r="DE58" i="1"/>
  <c r="DE274" i="1"/>
  <c r="DE67" i="1"/>
  <c r="DE253" i="1"/>
  <c r="DA111" i="1"/>
  <c r="CM29" i="53"/>
  <c r="DA68" i="1"/>
  <c r="CM30" i="53" s="1"/>
  <c r="CM27" i="53"/>
  <c r="DA71" i="1"/>
  <c r="DA64" i="1"/>
  <c r="CL29" i="53"/>
  <c r="CZ68" i="1"/>
  <c r="CL30" i="53" s="1"/>
  <c r="CV74" i="1"/>
  <c r="CG30" i="53" l="1"/>
  <c r="CZ111" i="1"/>
  <c r="DF111" i="1"/>
  <c r="CR23" i="53"/>
  <c r="DF68" i="1"/>
  <c r="CR30" i="53" s="1"/>
  <c r="CR29" i="53"/>
  <c r="CR27" i="53"/>
  <c r="DF64" i="1"/>
  <c r="CR28" i="53" s="1"/>
  <c r="DF71" i="1"/>
  <c r="CQ23" i="53"/>
  <c r="CQ29" i="53"/>
  <c r="DE68" i="1"/>
  <c r="CQ30" i="53" s="1"/>
  <c r="CM28" i="53"/>
  <c r="CM31" i="53"/>
  <c r="DA73" i="1"/>
  <c r="DA74" i="1" s="1"/>
  <c r="DA72" i="1"/>
  <c r="BH59" i="53"/>
  <c r="DE111" i="1" l="1"/>
  <c r="CR31" i="53"/>
  <c r="DF73" i="1"/>
  <c r="DF74" i="1" s="1"/>
  <c r="DF72" i="1"/>
  <c r="BH60" i="53"/>
  <c r="BU241" i="42" l="1"/>
  <c r="BT163" i="42"/>
  <c r="BU163" i="42" l="1"/>
  <c r="BT20" i="1"/>
  <c r="BY163" i="42"/>
  <c r="BZ241" i="42"/>
  <c r="CE242" i="42" s="1"/>
  <c r="BU242" i="42"/>
  <c r="BU243" i="42"/>
  <c r="BU244" i="42" s="1"/>
  <c r="CX241" i="42" l="1"/>
  <c r="DC241" i="42" s="1"/>
  <c r="DH241" i="42" s="1"/>
  <c r="BF33" i="53"/>
  <c r="BZ243" i="42"/>
  <c r="BZ242" i="42"/>
  <c r="BY20" i="1"/>
  <c r="BZ163" i="42"/>
  <c r="BU20" i="1"/>
  <c r="DH163" i="42" l="1"/>
  <c r="DI241" i="42"/>
  <c r="DH242" i="42"/>
  <c r="DH243" i="42"/>
  <c r="DC163" i="42"/>
  <c r="DC242" i="42"/>
  <c r="DD241" i="42"/>
  <c r="DC243" i="42"/>
  <c r="CX243" i="42"/>
  <c r="CX242" i="42"/>
  <c r="CX163" i="42"/>
  <c r="CY241" i="42"/>
  <c r="CO241" i="42"/>
  <c r="CI163" i="42"/>
  <c r="CJ163" i="42" s="1"/>
  <c r="CI242" i="42"/>
  <c r="CJ241" i="42"/>
  <c r="CI243" i="42"/>
  <c r="CN244" i="42" s="1"/>
  <c r="CN163" i="42"/>
  <c r="BZ244" i="42"/>
  <c r="CE244" i="42"/>
  <c r="CT241" i="42"/>
  <c r="CS163" i="42"/>
  <c r="CS242" i="42"/>
  <c r="CS243" i="42"/>
  <c r="CS244" i="42" s="1"/>
  <c r="BG33" i="53"/>
  <c r="BZ20" i="1"/>
  <c r="BK33" i="53"/>
  <c r="CD20" i="1"/>
  <c r="DI242" i="42" l="1"/>
  <c r="DI243" i="42"/>
  <c r="DH20" i="1"/>
  <c r="DI163" i="42"/>
  <c r="DI20" i="1" s="1"/>
  <c r="CO243" i="42"/>
  <c r="CJ242" i="42"/>
  <c r="DD243" i="42"/>
  <c r="DD242" i="42"/>
  <c r="DD163" i="42"/>
  <c r="DD20" i="1" s="1"/>
  <c r="DC20" i="1"/>
  <c r="CX20" i="1"/>
  <c r="CJ33" i="53" s="1"/>
  <c r="CY163" i="42"/>
  <c r="CY20" i="1" s="1"/>
  <c r="CK33" i="53" s="1"/>
  <c r="CY242" i="42"/>
  <c r="CY243" i="42"/>
  <c r="CI244" i="42"/>
  <c r="CN20" i="1"/>
  <c r="CI20" i="1"/>
  <c r="CJ20" i="1"/>
  <c r="BV33" i="53" s="1"/>
  <c r="CO163" i="42"/>
  <c r="CO242" i="42"/>
  <c r="CJ243" i="42"/>
  <c r="CS20" i="1"/>
  <c r="CT163" i="42"/>
  <c r="CT242" i="42"/>
  <c r="CT243" i="42"/>
  <c r="BL33" i="53"/>
  <c r="CE20" i="1"/>
  <c r="BP33" i="53"/>
  <c r="CO244" i="42" l="1"/>
  <c r="CT244" i="42"/>
  <c r="CT33" i="53"/>
  <c r="CU33" i="53"/>
  <c r="DI244" i="42"/>
  <c r="CE33" i="53"/>
  <c r="CT20" i="1"/>
  <c r="CF33" i="53" s="1"/>
  <c r="DD244" i="42"/>
  <c r="CP33" i="53"/>
  <c r="CO33" i="53"/>
  <c r="BZ33" i="53"/>
  <c r="CO20" i="1"/>
  <c r="CA33" i="53" s="1"/>
  <c r="CY244" i="42"/>
  <c r="BU33" i="53"/>
  <c r="CJ244" i="42"/>
  <c r="BQ33" i="53"/>
  <c r="BZ42" i="42" l="1"/>
  <c r="BT271" i="42"/>
  <c r="BT273" i="42" s="1"/>
  <c r="BZ251" i="42" l="1"/>
  <c r="BY252" i="42"/>
  <c r="BY10" i="42"/>
  <c r="BY41" i="42"/>
  <c r="BY43" i="42" s="1"/>
  <c r="BZ40" i="42"/>
  <c r="BK10" i="53"/>
  <c r="BZ253" i="42"/>
  <c r="BY271" i="42"/>
  <c r="BY273" i="42" s="1"/>
  <c r="BZ270" i="42"/>
  <c r="BZ272" i="42"/>
  <c r="BZ271" i="42" l="1"/>
  <c r="BZ273" i="42" s="1"/>
  <c r="CE272" i="42"/>
  <c r="CE271" i="42"/>
  <c r="CE253" i="42"/>
  <c r="CE252" i="42"/>
  <c r="BZ41" i="42"/>
  <c r="BZ43" i="42" s="1"/>
  <c r="CE42" i="42"/>
  <c r="CE41" i="42"/>
  <c r="BY254" i="42"/>
  <c r="BZ254" i="42" s="1"/>
  <c r="BP10" i="53"/>
  <c r="BL10" i="53"/>
  <c r="BZ16" i="42"/>
  <c r="BY14" i="42"/>
  <c r="BY10" i="1"/>
  <c r="BZ10" i="42"/>
  <c r="BK17" i="53"/>
  <c r="BZ252" i="42"/>
  <c r="BK22" i="53"/>
  <c r="BZ22" i="42"/>
  <c r="BU10" i="53" l="1"/>
  <c r="CE273" i="42"/>
  <c r="CE43" i="42"/>
  <c r="BY49" i="42"/>
  <c r="CD15" i="42"/>
  <c r="BP17" i="53"/>
  <c r="CI271" i="42"/>
  <c r="CI273" i="42" s="1"/>
  <c r="CJ270" i="42"/>
  <c r="CJ271" i="42" s="1"/>
  <c r="CJ272" i="42"/>
  <c r="CE254" i="42"/>
  <c r="BZ14" i="42"/>
  <c r="BY15" i="42"/>
  <c r="BY20" i="42"/>
  <c r="BQ10" i="53"/>
  <c r="BZ10" i="1"/>
  <c r="BL17" i="53"/>
  <c r="BL22" i="53"/>
  <c r="BK9" i="53"/>
  <c r="BY14" i="1"/>
  <c r="BZ10" i="53" l="1"/>
  <c r="CE15" i="42"/>
  <c r="CE16" i="42"/>
  <c r="CD21" i="42"/>
  <c r="CD17" i="42"/>
  <c r="BZ49" i="42"/>
  <c r="CN271" i="42"/>
  <c r="CN273" i="42" s="1"/>
  <c r="CO270" i="42"/>
  <c r="CO272" i="42"/>
  <c r="CJ251" i="42"/>
  <c r="CJ40" i="42"/>
  <c r="CI10" i="42"/>
  <c r="CI252" i="42"/>
  <c r="BY17" i="42"/>
  <c r="CI41" i="42"/>
  <c r="CI43" i="42" s="1"/>
  <c r="CJ273" i="42"/>
  <c r="CJ253" i="42"/>
  <c r="CJ42" i="42"/>
  <c r="BK16" i="53"/>
  <c r="BY17" i="1"/>
  <c r="CD10" i="1"/>
  <c r="BZ20" i="42"/>
  <c r="CE21" i="42" s="1"/>
  <c r="BY21" i="42"/>
  <c r="BY23" i="42" s="1"/>
  <c r="BL9" i="53"/>
  <c r="BZ14" i="1"/>
  <c r="BZ15" i="42"/>
  <c r="CE10" i="53" l="1"/>
  <c r="CJ301" i="42"/>
  <c r="CJ302" i="42" s="1"/>
  <c r="CJ292" i="42"/>
  <c r="CJ293" i="42" s="1"/>
  <c r="CJ297" i="42"/>
  <c r="CJ298" i="42" s="1"/>
  <c r="CJ305" i="42"/>
  <c r="CJ306" i="42" s="1"/>
  <c r="CI254" i="42"/>
  <c r="CJ254" i="42" s="1"/>
  <c r="CE17" i="42"/>
  <c r="CX270" i="42"/>
  <c r="CX253" i="42"/>
  <c r="CJ10" i="53" s="1"/>
  <c r="CD23" i="42"/>
  <c r="CJ41" i="42"/>
  <c r="CJ43" i="42" s="1"/>
  <c r="CE22" i="42"/>
  <c r="CE23" i="42" s="1"/>
  <c r="CO271" i="42"/>
  <c r="CO273" i="42" s="1"/>
  <c r="CT272" i="42"/>
  <c r="CS271" i="42"/>
  <c r="CT270" i="42"/>
  <c r="CO40" i="42"/>
  <c r="CJ252" i="42"/>
  <c r="CO253" i="42"/>
  <c r="CJ10" i="42"/>
  <c r="CO42" i="42"/>
  <c r="CN43" i="42"/>
  <c r="CI10" i="1"/>
  <c r="CN252" i="42"/>
  <c r="CN10" i="42"/>
  <c r="CO251" i="42"/>
  <c r="BY58" i="1"/>
  <c r="BV10" i="53"/>
  <c r="BZ17" i="42"/>
  <c r="BP22" i="53"/>
  <c r="CE10" i="1"/>
  <c r="BP9" i="53"/>
  <c r="CD14" i="1"/>
  <c r="BL16" i="53"/>
  <c r="BZ17" i="1"/>
  <c r="BZ57" i="1" s="1"/>
  <c r="BK21" i="53"/>
  <c r="BQ17" i="53"/>
  <c r="BZ21" i="42"/>
  <c r="BZ23" i="42" s="1"/>
  <c r="CO297" i="42" l="1"/>
  <c r="CO298" i="42" s="1"/>
  <c r="CO305" i="42"/>
  <c r="CO306" i="42" s="1"/>
  <c r="CO292" i="42"/>
  <c r="CO293" i="42" s="1"/>
  <c r="CO301" i="42"/>
  <c r="CO302" i="42" s="1"/>
  <c r="CT40" i="42"/>
  <c r="BZ242" i="1"/>
  <c r="BZ274" i="1"/>
  <c r="BZ253" i="1"/>
  <c r="BZ255" i="1" s="1"/>
  <c r="BZ256" i="1" s="1"/>
  <c r="BZ333" i="1"/>
  <c r="BZ327" i="1"/>
  <c r="BZ231" i="1"/>
  <c r="CN254" i="42"/>
  <c r="CO254" i="42" s="1"/>
  <c r="DC270" i="42"/>
  <c r="DC253" i="42"/>
  <c r="CO10" i="53" s="1"/>
  <c r="CX42" i="42"/>
  <c r="CS10" i="42"/>
  <c r="CX251" i="42"/>
  <c r="CT271" i="42"/>
  <c r="CT273" i="42" s="1"/>
  <c r="CY272" i="42"/>
  <c r="CX271" i="42"/>
  <c r="CY270" i="42"/>
  <c r="CY271" i="42" s="1"/>
  <c r="CX40" i="42"/>
  <c r="BU9" i="53"/>
  <c r="CO41" i="42"/>
  <c r="CO43" i="42" s="1"/>
  <c r="CS252" i="42"/>
  <c r="CJ10" i="1"/>
  <c r="CT251" i="42"/>
  <c r="CS41" i="42"/>
  <c r="CS43" i="42" s="1"/>
  <c r="CT253" i="42"/>
  <c r="CT42" i="42"/>
  <c r="CA10" i="53"/>
  <c r="CN10" i="1"/>
  <c r="CO10" i="42"/>
  <c r="CO252" i="42"/>
  <c r="BY71" i="1"/>
  <c r="CD72" i="1" s="1"/>
  <c r="BK27" i="53"/>
  <c r="BZ63" i="1"/>
  <c r="CE64" i="1" s="1"/>
  <c r="BK23" i="53"/>
  <c r="BP16" i="53"/>
  <c r="CD17" i="1"/>
  <c r="BQ22" i="53"/>
  <c r="BK29" i="53"/>
  <c r="BZ67" i="1"/>
  <c r="CE68" i="1" s="1"/>
  <c r="BL21" i="53"/>
  <c r="BZ58" i="1"/>
  <c r="BQ9" i="53"/>
  <c r="CE14" i="1"/>
  <c r="CT292" i="42" l="1"/>
  <c r="CT293" i="42" s="1"/>
  <c r="CT297" i="42"/>
  <c r="CT298" i="42" s="1"/>
  <c r="CT301" i="42"/>
  <c r="CT302" i="42" s="1"/>
  <c r="CT305" i="42"/>
  <c r="CT306" i="42" s="1"/>
  <c r="DH270" i="42"/>
  <c r="DH253" i="42"/>
  <c r="CT10" i="53" s="1"/>
  <c r="CS254" i="42"/>
  <c r="CT41" i="42"/>
  <c r="CT43" i="42" s="1"/>
  <c r="CF10" i="53"/>
  <c r="CY42" i="42"/>
  <c r="DC271" i="42"/>
  <c r="DD270" i="42"/>
  <c r="DC40" i="42"/>
  <c r="DD272" i="42"/>
  <c r="DC251" i="42"/>
  <c r="DC42" i="42"/>
  <c r="CS10" i="1"/>
  <c r="CT10" i="42"/>
  <c r="CY273" i="42"/>
  <c r="CT252" i="42"/>
  <c r="CY254" i="42"/>
  <c r="CY253" i="42"/>
  <c r="CK10" i="53" s="1"/>
  <c r="CX10" i="42"/>
  <c r="CX252" i="42"/>
  <c r="CY251" i="42"/>
  <c r="DD253" i="42" s="1"/>
  <c r="CP10" i="53" s="1"/>
  <c r="CX41" i="42"/>
  <c r="CX43" i="42" s="1"/>
  <c r="CY40" i="42"/>
  <c r="BV9" i="53"/>
  <c r="CO10" i="1"/>
  <c r="BZ9" i="53"/>
  <c r="BY73" i="1"/>
  <c r="CD74" i="1" s="1"/>
  <c r="BY72" i="1"/>
  <c r="BK30" i="53"/>
  <c r="BL23" i="53"/>
  <c r="BZ68" i="1"/>
  <c r="BL29" i="53"/>
  <c r="BZ69" i="1"/>
  <c r="BZ70" i="1" s="1"/>
  <c r="BP21" i="53"/>
  <c r="BK28" i="53"/>
  <c r="BY474" i="42"/>
  <c r="BY132" i="42"/>
  <c r="BZ59" i="1"/>
  <c r="BZ258" i="1" s="1"/>
  <c r="BZ64" i="1"/>
  <c r="BL27" i="53"/>
  <c r="BZ65" i="1"/>
  <c r="BZ71" i="1"/>
  <c r="CE72" i="1" s="1"/>
  <c r="BK31" i="53"/>
  <c r="BQ16" i="53"/>
  <c r="CE17" i="1"/>
  <c r="DD271" i="42" l="1"/>
  <c r="DD273" i="42" s="1"/>
  <c r="DI272" i="42"/>
  <c r="DH251" i="42"/>
  <c r="DH271" i="42"/>
  <c r="DI270" i="42"/>
  <c r="DI271" i="42" s="1"/>
  <c r="DI273" i="42" s="1"/>
  <c r="DH40" i="42"/>
  <c r="DI40" i="42" s="1"/>
  <c r="DD40" i="42"/>
  <c r="DD41" i="42" s="1"/>
  <c r="DH42" i="42"/>
  <c r="CS273" i="42"/>
  <c r="CS261" i="42"/>
  <c r="CS268" i="42"/>
  <c r="CT254" i="42"/>
  <c r="CE9" i="53"/>
  <c r="BZ260" i="1"/>
  <c r="BZ261" i="1" s="1"/>
  <c r="BZ263" i="1"/>
  <c r="BZ265" i="1" s="1"/>
  <c r="BZ266" i="1" s="1"/>
  <c r="DC41" i="42"/>
  <c r="DC43" i="42" s="1"/>
  <c r="DC252" i="42"/>
  <c r="DC10" i="42"/>
  <c r="DD251" i="42"/>
  <c r="DD254" i="42"/>
  <c r="DD42" i="42"/>
  <c r="CY41" i="42"/>
  <c r="CY43" i="42" s="1"/>
  <c r="CT10" i="1"/>
  <c r="CF9" i="53" s="1"/>
  <c r="CY252" i="42"/>
  <c r="CX10" i="1"/>
  <c r="CY10" i="42"/>
  <c r="CE57" i="1"/>
  <c r="CA9" i="53"/>
  <c r="BY74" i="1"/>
  <c r="BL30" i="53"/>
  <c r="BL28" i="53"/>
  <c r="BP29" i="53"/>
  <c r="BP30" i="53"/>
  <c r="BZ72" i="1"/>
  <c r="BL31" i="53"/>
  <c r="BZ73" i="1"/>
  <c r="BZ132" i="42"/>
  <c r="BZ60" i="1"/>
  <c r="BP27" i="53"/>
  <c r="BZ66" i="1"/>
  <c r="BP23" i="53"/>
  <c r="DI251" i="42" l="1"/>
  <c r="DI252" i="42" s="1"/>
  <c r="DH252" i="42"/>
  <c r="DH10" i="42"/>
  <c r="DI10" i="42" s="1"/>
  <c r="DI10" i="1" s="1"/>
  <c r="CJ9" i="53"/>
  <c r="DH41" i="42"/>
  <c r="DH43" i="42" s="1"/>
  <c r="DI42" i="42"/>
  <c r="DI41" i="42"/>
  <c r="DI254" i="42"/>
  <c r="DI253" i="42"/>
  <c r="CU10" i="53" s="1"/>
  <c r="CE253" i="1"/>
  <c r="CE255" i="1" s="1"/>
  <c r="CE256" i="1" s="1"/>
  <c r="CE268" i="1" s="1"/>
  <c r="CE242" i="1"/>
  <c r="CE274" i="1"/>
  <c r="CE333" i="1"/>
  <c r="CE327" i="1"/>
  <c r="CE231" i="1"/>
  <c r="BZ268" i="1"/>
  <c r="CE65" i="1"/>
  <c r="CE66" i="1" s="1"/>
  <c r="DD43" i="42"/>
  <c r="DD252" i="42"/>
  <c r="DC10" i="1"/>
  <c r="DD10" i="42"/>
  <c r="DD10" i="1" s="1"/>
  <c r="CY10" i="1"/>
  <c r="CE60" i="1"/>
  <c r="BQ21" i="53"/>
  <c r="CE69" i="1"/>
  <c r="CE70" i="1" s="1"/>
  <c r="CE73" i="1"/>
  <c r="CE74" i="1" s="1"/>
  <c r="CE58" i="1"/>
  <c r="BZ74" i="1"/>
  <c r="BQ29" i="53"/>
  <c r="BL24" i="53"/>
  <c r="BZ61" i="1"/>
  <c r="BZ133" i="42"/>
  <c r="BZ134" i="42" s="1"/>
  <c r="BZ135" i="42" s="1"/>
  <c r="BP28" i="53"/>
  <c r="BP31" i="53"/>
  <c r="DH10" i="1" l="1"/>
  <c r="CT9" i="53" s="1"/>
  <c r="CK9" i="53"/>
  <c r="DI43" i="42"/>
  <c r="CU9" i="53"/>
  <c r="CP9" i="53"/>
  <c r="CO9" i="53"/>
  <c r="CE133" i="42"/>
  <c r="CE134" i="42" s="1"/>
  <c r="CE135" i="42" s="1"/>
  <c r="CE61" i="1"/>
  <c r="BQ23" i="53"/>
  <c r="BK63" i="53"/>
  <c r="BZ141" i="42"/>
  <c r="BL63" i="53"/>
  <c r="BQ30" i="53"/>
  <c r="BK62" i="53"/>
  <c r="BL25" i="53"/>
  <c r="BZ62" i="1"/>
  <c r="CE62" i="1" l="1"/>
  <c r="CE141" i="42"/>
  <c r="BL26" i="53"/>
  <c r="BL62" i="53"/>
  <c r="BT311" i="42" l="1"/>
  <c r="BU311" i="42"/>
  <c r="BT164" i="42"/>
  <c r="BU164" i="42" s="1"/>
  <c r="BT312" i="42"/>
  <c r="BT313" i="42" l="1"/>
  <c r="BY313" i="42"/>
  <c r="BT21" i="1"/>
  <c r="BF34" i="53" s="1"/>
  <c r="BY164" i="42"/>
  <c r="BZ310" i="42"/>
  <c r="CE311" i="42" s="1"/>
  <c r="BU21" i="1"/>
  <c r="BU312" i="42"/>
  <c r="BU313" i="42" s="1"/>
  <c r="BY21" i="1" l="1"/>
  <c r="BK34" i="53" s="1"/>
  <c r="BZ311" i="42"/>
  <c r="CN164" i="42"/>
  <c r="BZ164" i="42"/>
  <c r="BZ312" i="42"/>
  <c r="CE313" i="42" s="1"/>
  <c r="BG34" i="53"/>
  <c r="CX310" i="42" l="1"/>
  <c r="DC310" i="42" s="1"/>
  <c r="DH310" i="42" s="1"/>
  <c r="CI164" i="42"/>
  <c r="CI311" i="42"/>
  <c r="BZ313" i="42"/>
  <c r="CO310" i="42"/>
  <c r="CJ310" i="42"/>
  <c r="CI312" i="42"/>
  <c r="CN313" i="42" s="1"/>
  <c r="CN21" i="1"/>
  <c r="CO164" i="42"/>
  <c r="BZ21" i="1"/>
  <c r="BL34" i="53" s="1"/>
  <c r="CD21" i="1"/>
  <c r="DH164" i="42" l="1"/>
  <c r="DH311" i="42"/>
  <c r="DH312" i="42"/>
  <c r="CJ311" i="42"/>
  <c r="CO312" i="42"/>
  <c r="DC311" i="42"/>
  <c r="DC312" i="42"/>
  <c r="DC164" i="42"/>
  <c r="BZ34" i="53"/>
  <c r="CO21" i="1"/>
  <c r="CA34" i="53" s="1"/>
  <c r="CX164" i="42"/>
  <c r="CX312" i="42"/>
  <c r="CX311" i="42"/>
  <c r="CI313" i="42"/>
  <c r="CI21" i="1"/>
  <c r="CJ164" i="42"/>
  <c r="CS164" i="42"/>
  <c r="CS312" i="42"/>
  <c r="CS313" i="42" s="1"/>
  <c r="CS311" i="42"/>
  <c r="CO311" i="42"/>
  <c r="CJ312" i="42"/>
  <c r="BP34" i="53"/>
  <c r="CE21" i="1"/>
  <c r="DH21" i="1" l="1"/>
  <c r="CO313" i="42"/>
  <c r="DC21" i="1"/>
  <c r="CO34" i="53" s="1"/>
  <c r="CX21" i="1"/>
  <c r="CJ34" i="53" s="1"/>
  <c r="BU34" i="53"/>
  <c r="CJ21" i="1"/>
  <c r="BV34" i="53" s="1"/>
  <c r="CJ313" i="42"/>
  <c r="CS21" i="1"/>
  <c r="BQ34" i="53"/>
  <c r="BT476" i="42"/>
  <c r="BU475" i="42"/>
  <c r="BU476" i="42" s="1"/>
  <c r="BT473" i="42"/>
  <c r="BT167" i="42"/>
  <c r="BU167" i="42" s="1"/>
  <c r="BU24" i="1" s="1"/>
  <c r="CT34" i="53" l="1"/>
  <c r="CE34" i="53"/>
  <c r="BT24" i="1"/>
  <c r="BT25" i="1" s="1"/>
  <c r="BF38" i="53" s="1"/>
  <c r="BU473" i="42"/>
  <c r="BU474" i="42" s="1"/>
  <c r="BT168" i="42"/>
  <c r="BU168" i="42" s="1"/>
  <c r="BU170" i="42" s="1"/>
  <c r="BU171" i="42" s="1"/>
  <c r="BG37" i="53"/>
  <c r="BU25" i="1"/>
  <c r="BG38" i="53" s="1"/>
  <c r="BT474" i="42"/>
  <c r="BY473" i="42"/>
  <c r="CD473" i="42" s="1"/>
  <c r="BF37" i="53" l="1"/>
  <c r="BU169" i="42"/>
  <c r="BT170" i="42"/>
  <c r="BT171" i="42" s="1"/>
  <c r="BT169" i="42"/>
  <c r="BY476" i="42" l="1"/>
  <c r="BZ475" i="42"/>
  <c r="CE476" i="42" s="1"/>
  <c r="BY167" i="42"/>
  <c r="BY24" i="1" l="1"/>
  <c r="BZ167" i="42"/>
  <c r="BY168" i="42"/>
  <c r="CD169" i="42" s="1"/>
  <c r="BZ476" i="42"/>
  <c r="BZ473" i="42"/>
  <c r="CE474" i="42" s="1"/>
  <c r="BZ474" i="42" l="1"/>
  <c r="CD24" i="1"/>
  <c r="BY169" i="42"/>
  <c r="BZ168" i="42"/>
  <c r="BY170" i="42"/>
  <c r="BK37" i="53"/>
  <c r="BY25" i="1"/>
  <c r="BZ24" i="1"/>
  <c r="BY171" i="42" l="1"/>
  <c r="CD171" i="42"/>
  <c r="CD25" i="1"/>
  <c r="BP37" i="53"/>
  <c r="BK38" i="53"/>
  <c r="BL37" i="53"/>
  <c r="BZ25" i="1"/>
  <c r="BZ170" i="42"/>
  <c r="BZ171" i="42" s="1"/>
  <c r="BZ169" i="42"/>
  <c r="BP38" i="53" l="1"/>
  <c r="BL38" i="53"/>
  <c r="BT47" i="42" l="1"/>
  <c r="BT53" i="42"/>
  <c r="BT554" i="42" l="1"/>
  <c r="BT555" i="42"/>
  <c r="BY556" i="42" s="1"/>
  <c r="BT173" i="42"/>
  <c r="BT26" i="1" s="1"/>
  <c r="BU555" i="42"/>
  <c r="BU556" i="42" s="1"/>
  <c r="BT556" i="42" l="1"/>
  <c r="BF39" i="53"/>
  <c r="BY173" i="42"/>
  <c r="BU173" i="42"/>
  <c r="BU554" i="42"/>
  <c r="BZ553" i="42"/>
  <c r="CE554" i="42" s="1"/>
  <c r="BU26" i="1" l="1"/>
  <c r="BZ554" i="42"/>
  <c r="BZ555" i="42"/>
  <c r="BY26" i="1"/>
  <c r="BZ173" i="42"/>
  <c r="BZ556" i="42" l="1"/>
  <c r="CE556" i="42"/>
  <c r="CD26" i="1"/>
  <c r="BG39" i="53"/>
  <c r="BZ26" i="1"/>
  <c r="BK39" i="53"/>
  <c r="BP39" i="53" l="1"/>
  <c r="BL39" i="53"/>
  <c r="CE26" i="1"/>
  <c r="BQ39" i="53" l="1"/>
  <c r="BT583" i="42" l="1"/>
  <c r="BU582" i="42"/>
  <c r="BU583" i="42" s="1"/>
  <c r="BT174" i="42"/>
  <c r="BT27" i="1" s="1"/>
  <c r="BU174" i="42" l="1"/>
  <c r="BF40" i="53"/>
  <c r="BT28" i="1"/>
  <c r="BT175" i="42"/>
  <c r="BU27" i="1" l="1"/>
  <c r="BT176" i="42"/>
  <c r="BT177" i="42"/>
  <c r="BU175" i="42"/>
  <c r="BU28" i="1" l="1"/>
  <c r="BG40" i="53"/>
  <c r="BU177" i="42"/>
  <c r="BU176" i="42"/>
  <c r="BT178" i="42"/>
  <c r="BU178" i="42" l="1"/>
  <c r="BM27" i="53" l="1"/>
  <c r="CA71" i="1"/>
  <c r="CA73" i="1" l="1"/>
  <c r="CA74" i="1" s="1"/>
  <c r="CA72" i="1"/>
  <c r="CF64" i="1"/>
  <c r="BR27" i="53"/>
  <c r="CF71" i="1"/>
  <c r="BM31" i="53"/>
  <c r="BQ27" i="53"/>
  <c r="BM28" i="53"/>
  <c r="CA474" i="42"/>
  <c r="CA473" i="42" s="1"/>
  <c r="CZ65" i="1" l="1"/>
  <c r="CK72" i="1"/>
  <c r="BW27" i="53"/>
  <c r="CF474" i="42"/>
  <c r="CF473" i="42" s="1"/>
  <c r="CK473" i="42" s="1"/>
  <c r="CP473" i="42" s="1"/>
  <c r="CF73" i="1"/>
  <c r="CF76" i="1"/>
  <c r="BR28" i="53"/>
  <c r="BR31" i="53"/>
  <c r="CF72" i="1"/>
  <c r="BQ31" i="53"/>
  <c r="BQ28" i="53"/>
  <c r="CG27" i="53" l="1"/>
  <c r="CZ63" i="1"/>
  <c r="CZ64" i="1" s="1"/>
  <c r="DE65" i="1"/>
  <c r="DE63" i="1" s="1"/>
  <c r="CU64" i="1"/>
  <c r="CU71" i="1"/>
  <c r="CK77" i="1"/>
  <c r="CF74" i="1"/>
  <c r="CK74" i="1"/>
  <c r="CB27" i="53"/>
  <c r="BW31" i="53"/>
  <c r="BW28" i="53"/>
  <c r="CF82" i="1"/>
  <c r="CF476" i="42"/>
  <c r="CA476" i="42"/>
  <c r="CA167" i="42"/>
  <c r="CZ71" i="1" l="1"/>
  <c r="CZ72" i="1" s="1"/>
  <c r="CL27" i="53"/>
  <c r="CG31" i="53"/>
  <c r="CQ27" i="53"/>
  <c r="DE71" i="1"/>
  <c r="DE64" i="1"/>
  <c r="CQ28" i="53" s="1"/>
  <c r="CG28" i="53"/>
  <c r="CU73" i="1"/>
  <c r="CU74" i="1" s="1"/>
  <c r="CL28" i="53"/>
  <c r="CU72" i="1"/>
  <c r="CB31" i="53"/>
  <c r="CB28" i="53"/>
  <c r="CF84" i="1"/>
  <c r="BR48" i="53" s="1"/>
  <c r="CF86" i="1"/>
  <c r="CK167" i="42"/>
  <c r="CF167" i="42"/>
  <c r="CA24" i="1"/>
  <c r="CA168" i="42"/>
  <c r="CL31" i="53" l="1"/>
  <c r="CZ73" i="1"/>
  <c r="CZ74" i="1" s="1"/>
  <c r="CQ31" i="53"/>
  <c r="DE73" i="1"/>
  <c r="DE72" i="1"/>
  <c r="CF107" i="1"/>
  <c r="CF109" i="1" s="1"/>
  <c r="CF145" i="1"/>
  <c r="CK168" i="42"/>
  <c r="CF168" i="42"/>
  <c r="CK476" i="42"/>
  <c r="CF24" i="1"/>
  <c r="CK24" i="1"/>
  <c r="CA169" i="42"/>
  <c r="CA170" i="42"/>
  <c r="CA171" i="42" s="1"/>
  <c r="CA25" i="1"/>
  <c r="BM37" i="53"/>
  <c r="DE74" i="1" l="1"/>
  <c r="CF148" i="1"/>
  <c r="CF161" i="1" s="1"/>
  <c r="CF122" i="1"/>
  <c r="CK170" i="42"/>
  <c r="CZ167" i="42"/>
  <c r="CK169" i="42"/>
  <c r="CP167" i="42"/>
  <c r="CF169" i="42"/>
  <c r="CF170" i="42"/>
  <c r="CF25" i="1"/>
  <c r="CK25" i="1"/>
  <c r="BW37" i="53"/>
  <c r="BR37" i="53"/>
  <c r="BM38" i="53"/>
  <c r="CP168" i="42" l="1"/>
  <c r="CF142" i="1"/>
  <c r="CF138" i="1"/>
  <c r="CF168" i="1"/>
  <c r="CF179" i="1"/>
  <c r="CK171" i="42"/>
  <c r="CU167" i="42"/>
  <c r="CU24" i="1" s="1"/>
  <c r="CZ168" i="42"/>
  <c r="DE169" i="42" s="1"/>
  <c r="CZ24" i="1"/>
  <c r="CF171" i="42"/>
  <c r="BR38" i="53"/>
  <c r="CP24" i="1"/>
  <c r="BW38" i="53"/>
  <c r="BH24" i="53"/>
  <c r="BV133" i="42"/>
  <c r="BV134" i="42" s="1"/>
  <c r="BV135" i="42" s="1"/>
  <c r="BV61" i="1"/>
  <c r="CA62" i="1" s="1"/>
  <c r="BM26" i="53" s="1"/>
  <c r="BV76" i="1"/>
  <c r="BV98" i="1" s="1"/>
  <c r="BV224" i="1" s="1"/>
  <c r="BV240" i="1" s="1"/>
  <c r="CP170" i="42" l="1"/>
  <c r="CP171" i="42" s="1"/>
  <c r="CP169" i="42"/>
  <c r="CB37" i="53"/>
  <c r="CU168" i="42"/>
  <c r="CU169" i="42" s="1"/>
  <c r="CZ25" i="1"/>
  <c r="CL38" i="53" s="1"/>
  <c r="CL37" i="53"/>
  <c r="CZ170" i="42"/>
  <c r="DE171" i="42" s="1"/>
  <c r="CP25" i="1"/>
  <c r="CU25" i="1"/>
  <c r="CG37" i="53"/>
  <c r="BV141" i="42"/>
  <c r="BH61" i="53"/>
  <c r="BH41" i="53"/>
  <c r="BV77" i="1"/>
  <c r="BH42" i="53" s="1"/>
  <c r="BV78" i="1"/>
  <c r="BV99" i="1"/>
  <c r="BV225" i="1" s="1"/>
  <c r="BH25" i="53"/>
  <c r="BV62" i="1"/>
  <c r="BH26" i="53" s="1"/>
  <c r="BV82" i="1"/>
  <c r="BV84" i="1" s="1"/>
  <c r="BH48" i="53" s="1"/>
  <c r="BV582" i="42"/>
  <c r="CG38" i="53" l="1"/>
  <c r="CB38" i="53"/>
  <c r="CU170" i="42"/>
  <c r="CU171" i="42" s="1"/>
  <c r="CZ169" i="42"/>
  <c r="BV79" i="1"/>
  <c r="BH43" i="53"/>
  <c r="BH44" i="53" s="1"/>
  <c r="BV583" i="42"/>
  <c r="BV174" i="42"/>
  <c r="BM25" i="53"/>
  <c r="BH46" i="53"/>
  <c r="BV86" i="1"/>
  <c r="BV107" i="1" l="1"/>
  <c r="BV109" i="1" s="1"/>
  <c r="BV145" i="1"/>
  <c r="CZ171" i="42"/>
  <c r="CB25" i="53"/>
  <c r="CK133" i="42"/>
  <c r="CK134" i="42" s="1"/>
  <c r="BW25" i="53"/>
  <c r="BR24" i="53"/>
  <c r="BR25" i="53"/>
  <c r="BV27" i="1"/>
  <c r="BV175" i="42"/>
  <c r="BV92" i="1"/>
  <c r="BH49" i="53"/>
  <c r="BM24" i="53"/>
  <c r="CA133" i="42"/>
  <c r="CA134" i="42" s="1"/>
  <c r="CA135" i="42" s="1"/>
  <c r="CA76" i="1"/>
  <c r="CE76" i="1" s="1"/>
  <c r="CB24" i="53" l="1"/>
  <c r="CP133" i="42"/>
  <c r="CP134" i="42" s="1"/>
  <c r="CP135" i="42" s="1"/>
  <c r="BV148" i="1"/>
  <c r="BV161" i="1" s="1"/>
  <c r="BV122" i="1"/>
  <c r="CZ61" i="1"/>
  <c r="DE61" i="1" s="1"/>
  <c r="CG25" i="53"/>
  <c r="BW24" i="53"/>
  <c r="CE82" i="1"/>
  <c r="CE98" i="1"/>
  <c r="CE78" i="1"/>
  <c r="CA141" i="42"/>
  <c r="CP582" i="42"/>
  <c r="CP132" i="42"/>
  <c r="CK132" i="42"/>
  <c r="CF582" i="42"/>
  <c r="CF133" i="42"/>
  <c r="CF134" i="42" s="1"/>
  <c r="CF135" i="42" s="1"/>
  <c r="BV176" i="42"/>
  <c r="BV177" i="42"/>
  <c r="BV178" i="42" s="1"/>
  <c r="BH40" i="53"/>
  <c r="BV28" i="1"/>
  <c r="BM41" i="53"/>
  <c r="CA78" i="1"/>
  <c r="CA98" i="1"/>
  <c r="CA582" i="42"/>
  <c r="CA77" i="1"/>
  <c r="CA132" i="42"/>
  <c r="BV103" i="1"/>
  <c r="BV94" i="1"/>
  <c r="BH53" i="53" s="1"/>
  <c r="BV96" i="1"/>
  <c r="BH51" i="53"/>
  <c r="BH52" i="53" s="1"/>
  <c r="CG24" i="53" l="1"/>
  <c r="CQ25" i="53"/>
  <c r="DE60" i="1"/>
  <c r="CP258" i="1"/>
  <c r="BV142" i="1"/>
  <c r="BH58" i="53" s="1"/>
  <c r="BV138" i="1"/>
  <c r="BV141" i="1" s="1"/>
  <c r="BV179" i="1"/>
  <c r="BV181" i="1" s="1"/>
  <c r="BV168" i="1"/>
  <c r="CU133" i="42"/>
  <c r="CU134" i="42" s="1"/>
  <c r="CU135" i="42" s="1"/>
  <c r="CU76" i="1"/>
  <c r="CL25" i="53"/>
  <c r="CZ60" i="1"/>
  <c r="CK135" i="42"/>
  <c r="CK582" i="42"/>
  <c r="CB41" i="53"/>
  <c r="CE99" i="1"/>
  <c r="CE243" i="1" s="1"/>
  <c r="CE84" i="1"/>
  <c r="CE86" i="1"/>
  <c r="CF141" i="42"/>
  <c r="CB46" i="53"/>
  <c r="CP98" i="1"/>
  <c r="BW41" i="53"/>
  <c r="CB42" i="53"/>
  <c r="CF78" i="1"/>
  <c r="CF77" i="1"/>
  <c r="BM42" i="53"/>
  <c r="CF98" i="1"/>
  <c r="BR41" i="53"/>
  <c r="CF132" i="42"/>
  <c r="BM43" i="53"/>
  <c r="BM44" i="53" s="1"/>
  <c r="CA79" i="1"/>
  <c r="CA583" i="42"/>
  <c r="CA174" i="42"/>
  <c r="CF583" i="42"/>
  <c r="CF174" i="42"/>
  <c r="CA99" i="1"/>
  <c r="BH55" i="53"/>
  <c r="CG41" i="53" l="1"/>
  <c r="CQ24" i="53"/>
  <c r="DE59" i="1"/>
  <c r="DE133" i="42"/>
  <c r="DE134" i="42" s="1"/>
  <c r="DE76" i="1"/>
  <c r="CK583" i="42"/>
  <c r="CP583" i="42"/>
  <c r="CU258" i="1"/>
  <c r="CE107" i="1"/>
  <c r="CE299" i="1"/>
  <c r="CE336" i="1"/>
  <c r="CE301" i="1"/>
  <c r="CE320" i="1" s="1"/>
  <c r="CE300" i="1"/>
  <c r="CE319" i="1" s="1"/>
  <c r="CU98" i="1"/>
  <c r="BW140" i="1"/>
  <c r="BV143" i="1"/>
  <c r="CU582" i="42"/>
  <c r="CU77" i="1"/>
  <c r="CU132" i="42"/>
  <c r="CU78" i="1"/>
  <c r="CG43" i="53" s="1"/>
  <c r="CU82" i="1"/>
  <c r="CU84" i="1" s="1"/>
  <c r="CG48" i="53" s="1"/>
  <c r="CL24" i="53"/>
  <c r="CZ133" i="42"/>
  <c r="CZ134" i="42" s="1"/>
  <c r="CZ76" i="1"/>
  <c r="CZ59" i="1"/>
  <c r="BR43" i="53"/>
  <c r="BR44" i="53" s="1"/>
  <c r="CK79" i="1"/>
  <c r="CK174" i="42"/>
  <c r="BW42" i="53"/>
  <c r="CP99" i="1"/>
  <c r="CP174" i="42"/>
  <c r="CB43" i="53"/>
  <c r="CE92" i="1"/>
  <c r="CB47" i="53"/>
  <c r="BR42" i="53"/>
  <c r="BR46" i="53"/>
  <c r="BW43" i="53"/>
  <c r="CF79" i="1"/>
  <c r="CF99" i="1"/>
  <c r="BM63" i="53"/>
  <c r="CF27" i="1"/>
  <c r="CF175" i="42"/>
  <c r="CA27" i="1"/>
  <c r="CA175" i="42"/>
  <c r="CU99" i="1" l="1"/>
  <c r="CU583" i="42"/>
  <c r="CG42" i="53"/>
  <c r="CG46" i="53"/>
  <c r="DE135" i="42"/>
  <c r="DE132" i="42"/>
  <c r="DE258" i="1"/>
  <c r="DE98" i="1"/>
  <c r="DE99" i="1" s="1"/>
  <c r="DE582" i="42"/>
  <c r="DE174" i="42" s="1"/>
  <c r="DE82" i="1"/>
  <c r="DE78" i="1"/>
  <c r="CQ43" i="53" s="1"/>
  <c r="CQ41" i="53"/>
  <c r="DE77" i="1"/>
  <c r="CQ42" i="53" s="1"/>
  <c r="CZ135" i="42"/>
  <c r="CP27" i="1"/>
  <c r="CB40" i="53" s="1"/>
  <c r="CE303" i="1"/>
  <c r="CE326" i="1" s="1"/>
  <c r="CE329" i="1" s="1"/>
  <c r="CZ258" i="1"/>
  <c r="CP211" i="1"/>
  <c r="CP264" i="1"/>
  <c r="CP272" i="1"/>
  <c r="CP259" i="1"/>
  <c r="CP260" i="1" s="1"/>
  <c r="CP261" i="1" s="1"/>
  <c r="CP263" i="1"/>
  <c r="CP270" i="1"/>
  <c r="CP271" i="1" s="1"/>
  <c r="CU174" i="42"/>
  <c r="CU27" i="1" s="1"/>
  <c r="CG44" i="53"/>
  <c r="CU79" i="1"/>
  <c r="CL41" i="53"/>
  <c r="CZ98" i="1"/>
  <c r="CZ78" i="1"/>
  <c r="CZ77" i="1"/>
  <c r="CL42" i="53" s="1"/>
  <c r="CZ582" i="42"/>
  <c r="CZ82" i="1"/>
  <c r="CZ132" i="42"/>
  <c r="CK175" i="42"/>
  <c r="CK176" i="42" s="1"/>
  <c r="CK27" i="1"/>
  <c r="CP175" i="42"/>
  <c r="CB44" i="53"/>
  <c r="CE103" i="1"/>
  <c r="CE94" i="1"/>
  <c r="BW44" i="53"/>
  <c r="BR47" i="53"/>
  <c r="CF28" i="1"/>
  <c r="BR40" i="53"/>
  <c r="CA176" i="42"/>
  <c r="CA177" i="42"/>
  <c r="CA178" i="42" s="1"/>
  <c r="CF176" i="42"/>
  <c r="CF177" i="42"/>
  <c r="CA28" i="1"/>
  <c r="BM40" i="53"/>
  <c r="BM62" i="53"/>
  <c r="DE79" i="1" l="1"/>
  <c r="CU28" i="1"/>
  <c r="DE27" i="1"/>
  <c r="DE175" i="42"/>
  <c r="CQ46" i="53"/>
  <c r="DE83" i="1"/>
  <c r="DE583" i="42"/>
  <c r="CE337" i="1"/>
  <c r="CE335" i="1"/>
  <c r="CE331" i="1"/>
  <c r="CE312" i="1"/>
  <c r="CE338" i="1"/>
  <c r="CP28" i="1"/>
  <c r="CK28" i="1"/>
  <c r="CU175" i="42"/>
  <c r="CE334" i="1"/>
  <c r="CP265" i="1"/>
  <c r="CP266" i="1" s="1"/>
  <c r="CP268" i="1" s="1"/>
  <c r="CG40" i="53"/>
  <c r="CZ99" i="1"/>
  <c r="CG47" i="53"/>
  <c r="CU86" i="1"/>
  <c r="CZ174" i="42"/>
  <c r="CZ583" i="42"/>
  <c r="CZ79" i="1"/>
  <c r="CL43" i="53"/>
  <c r="CL46" i="53"/>
  <c r="CZ83" i="1"/>
  <c r="BW40" i="53"/>
  <c r="CK177" i="42"/>
  <c r="CK178" i="42" s="1"/>
  <c r="CP177" i="42"/>
  <c r="CP176" i="42"/>
  <c r="CB49" i="53"/>
  <c r="BR49" i="53"/>
  <c r="CF178" i="42"/>
  <c r="CU107" i="1" l="1"/>
  <c r="DE177" i="42"/>
  <c r="DE86" i="1"/>
  <c r="CQ47" i="53"/>
  <c r="CQ40" i="53"/>
  <c r="DE28" i="1"/>
  <c r="CL44" i="53"/>
  <c r="CQ44" i="53"/>
  <c r="CU176" i="42"/>
  <c r="CU177" i="42"/>
  <c r="CU178" i="42" s="1"/>
  <c r="CG49" i="53"/>
  <c r="CZ175" i="42"/>
  <c r="DE176" i="42" s="1"/>
  <c r="CZ27" i="1"/>
  <c r="CZ86" i="1"/>
  <c r="CZ107" i="1" s="1"/>
  <c r="CL47" i="53"/>
  <c r="CP178" i="42"/>
  <c r="BI24" i="53"/>
  <c r="BW133" i="42"/>
  <c r="BW134" i="42" s="1"/>
  <c r="BW135" i="42" s="1"/>
  <c r="BW61" i="1"/>
  <c r="CB62" i="1" s="1"/>
  <c r="BW76" i="1"/>
  <c r="CB77" i="1" s="1"/>
  <c r="CQ49" i="53" l="1"/>
  <c r="DE107" i="1"/>
  <c r="CL49" i="53"/>
  <c r="CZ28" i="1"/>
  <c r="CL40" i="53"/>
  <c r="CZ176" i="42"/>
  <c r="CZ177" i="42"/>
  <c r="DE178" i="42" s="1"/>
  <c r="BW141" i="42"/>
  <c r="BI25" i="53"/>
  <c r="BW62" i="1"/>
  <c r="BW98" i="1"/>
  <c r="BW224" i="1" s="1"/>
  <c r="BW240" i="1" s="1"/>
  <c r="BI41" i="53"/>
  <c r="BW78" i="1"/>
  <c r="CB79" i="1" s="1"/>
  <c r="BW582" i="42"/>
  <c r="BW77" i="1"/>
  <c r="BW82" i="1"/>
  <c r="CZ178" i="42" l="1"/>
  <c r="BI26" i="53"/>
  <c r="BI42" i="53"/>
  <c r="BW583" i="42"/>
  <c r="BW174" i="42"/>
  <c r="BW79" i="1"/>
  <c r="BI43" i="53"/>
  <c r="BI44" i="53" s="1"/>
  <c r="BW99" i="1"/>
  <c r="BW225" i="1" s="1"/>
  <c r="BI46" i="53"/>
  <c r="BW84" i="1"/>
  <c r="BW86" i="1"/>
  <c r="BW107" i="1" l="1"/>
  <c r="BW109" i="1" s="1"/>
  <c r="BW145" i="1"/>
  <c r="BI48" i="53"/>
  <c r="BI49" i="53"/>
  <c r="BW92" i="1"/>
  <c r="BW27" i="1"/>
  <c r="BW175" i="42"/>
  <c r="BW148" i="1" l="1"/>
  <c r="BW161" i="1" s="1"/>
  <c r="BW122" i="1"/>
  <c r="BI40" i="53"/>
  <c r="BW28" i="1"/>
  <c r="BW96" i="1"/>
  <c r="BI51" i="53"/>
  <c r="BI52" i="53" s="1"/>
  <c r="BW103" i="1"/>
  <c r="BW94" i="1"/>
  <c r="BW176" i="42"/>
  <c r="BW177" i="42"/>
  <c r="BW178" i="42" s="1"/>
  <c r="BW138" i="1" l="1"/>
  <c r="BW141" i="1" s="1"/>
  <c r="BW142" i="1"/>
  <c r="BI58" i="53" s="1"/>
  <c r="BW179" i="1"/>
  <c r="BW181" i="1" s="1"/>
  <c r="BW168" i="1"/>
  <c r="BI53" i="53"/>
  <c r="BI55" i="53"/>
  <c r="BX140" i="1" l="1"/>
  <c r="BW143" i="1"/>
  <c r="BI59" i="53" l="1"/>
  <c r="BI60" i="53" l="1"/>
  <c r="BI61" i="53"/>
  <c r="BW474" i="42" l="1"/>
  <c r="CB473" i="42"/>
  <c r="CB167" i="42" l="1"/>
  <c r="CB476" i="42"/>
  <c r="CG473" i="42"/>
  <c r="CL473" i="42" s="1"/>
  <c r="CQ473" i="42" s="1"/>
  <c r="CE167" i="42" l="1"/>
  <c r="CB168" i="42"/>
  <c r="CE168" i="42" s="1"/>
  <c r="CB24" i="1"/>
  <c r="CE169" i="42" l="1"/>
  <c r="CE170" i="42"/>
  <c r="CE171" i="42" s="1"/>
  <c r="CG476" i="42"/>
  <c r="CG167" i="42"/>
  <c r="CE24" i="1"/>
  <c r="CB25" i="1"/>
  <c r="BN37" i="53"/>
  <c r="CB169" i="42"/>
  <c r="CB170" i="42"/>
  <c r="CB171" i="42" s="1"/>
  <c r="CL167" i="42" l="1"/>
  <c r="CG24" i="1"/>
  <c r="CG168" i="42"/>
  <c r="CG582" i="42" s="1"/>
  <c r="BN38" i="53"/>
  <c r="BQ37" i="53"/>
  <c r="CE25" i="1"/>
  <c r="CQ476" i="42" l="1"/>
  <c r="CQ167" i="42"/>
  <c r="CQ24" i="1" s="1"/>
  <c r="DA167" i="42"/>
  <c r="CL168" i="42"/>
  <c r="CL24" i="1"/>
  <c r="BS37" i="53"/>
  <c r="CG25" i="1"/>
  <c r="CG169" i="42"/>
  <c r="CG170" i="42"/>
  <c r="CG171" i="42" s="1"/>
  <c r="BQ38" i="53"/>
  <c r="BX37" i="53" l="1"/>
  <c r="CV167" i="42"/>
  <c r="CV24" i="1" s="1"/>
  <c r="CL169" i="42"/>
  <c r="CL170" i="42"/>
  <c r="CL171" i="42" s="1"/>
  <c r="DA24" i="1"/>
  <c r="CL25" i="1"/>
  <c r="CC37" i="53"/>
  <c r="BS38" i="53"/>
  <c r="CM37" i="53" l="1"/>
  <c r="BX38" i="53"/>
  <c r="CH37" i="53"/>
  <c r="BJ24" i="53"/>
  <c r="BX133" i="42"/>
  <c r="BX134" i="42" s="1"/>
  <c r="BX61" i="1"/>
  <c r="CC62" i="1" s="1"/>
  <c r="BO26" i="53" s="1"/>
  <c r="BX135" i="42" l="1"/>
  <c r="CC135" i="42"/>
  <c r="BJ41" i="53"/>
  <c r="BX582" i="42"/>
  <c r="CC583" i="42" s="1"/>
  <c r="BJ25" i="53"/>
  <c r="BX62" i="1"/>
  <c r="BX82" i="1"/>
  <c r="BX98" i="1"/>
  <c r="BX224" i="1" s="1"/>
  <c r="BX240" i="1" s="1"/>
  <c r="CC141" i="42" l="1"/>
  <c r="BX141" i="42"/>
  <c r="BX84" i="1"/>
  <c r="BX99" i="1"/>
  <c r="BX225" i="1" s="1"/>
  <c r="BJ26" i="53"/>
  <c r="BJ43" i="53"/>
  <c r="BJ44" i="53" s="1"/>
  <c r="BJ46" i="53"/>
  <c r="BX86" i="1"/>
  <c r="BX583" i="42"/>
  <c r="BX174" i="42"/>
  <c r="BO25" i="53"/>
  <c r="CW61" i="1"/>
  <c r="DB61" i="1" s="1"/>
  <c r="DG61" i="1" s="1"/>
  <c r="BJ42" i="53"/>
  <c r="CS25" i="53" l="1"/>
  <c r="DG60" i="1"/>
  <c r="BX107" i="1"/>
  <c r="BX109" i="1" s="1"/>
  <c r="BX145" i="1"/>
  <c r="BX148" i="1" s="1"/>
  <c r="BX161" i="1" s="1"/>
  <c r="CN25" i="53"/>
  <c r="DB60" i="1"/>
  <c r="CW60" i="1"/>
  <c r="CI24" i="53" s="1"/>
  <c r="CI25" i="53"/>
  <c r="CD25" i="53"/>
  <c r="BY25" i="53"/>
  <c r="BJ48" i="53"/>
  <c r="BO24" i="53"/>
  <c r="BJ49" i="53"/>
  <c r="BX92" i="1"/>
  <c r="BX27" i="1"/>
  <c r="BX175" i="42"/>
  <c r="BT25" i="53"/>
  <c r="DG59" i="1" l="1"/>
  <c r="DG133" i="42"/>
  <c r="DG134" i="42" s="1"/>
  <c r="CS24" i="53"/>
  <c r="DG76" i="1"/>
  <c r="CD24" i="53"/>
  <c r="BX179" i="1"/>
  <c r="BX181" i="1" s="1"/>
  <c r="BX168" i="1"/>
  <c r="BX122" i="1"/>
  <c r="CN24" i="53"/>
  <c r="DB133" i="42"/>
  <c r="DB134" i="42" s="1"/>
  <c r="DB59" i="1"/>
  <c r="DB76" i="1"/>
  <c r="BY24" i="53"/>
  <c r="CW59" i="1"/>
  <c r="CW76" i="1"/>
  <c r="CI41" i="53" s="1"/>
  <c r="CW133" i="42"/>
  <c r="CW134" i="42" s="1"/>
  <c r="CH133" i="42"/>
  <c r="CH134" i="42" s="1"/>
  <c r="CH135" i="42" s="1"/>
  <c r="CR76" i="1"/>
  <c r="CR82" i="1" s="1"/>
  <c r="CR133" i="42"/>
  <c r="CR134" i="42" s="1"/>
  <c r="CM76" i="1"/>
  <c r="CM133" i="42"/>
  <c r="CM134" i="42" s="1"/>
  <c r="BX176" i="42"/>
  <c r="BX177" i="42"/>
  <c r="BX178" i="42" s="1"/>
  <c r="BX103" i="1"/>
  <c r="BX94" i="1"/>
  <c r="BJ51" i="53"/>
  <c r="BJ52" i="53" s="1"/>
  <c r="BX96" i="1"/>
  <c r="BO41" i="53"/>
  <c r="BO42" i="53"/>
  <c r="CC174" i="42"/>
  <c r="CC175" i="42" s="1"/>
  <c r="BT24" i="53"/>
  <c r="BJ40" i="53"/>
  <c r="BX28" i="1"/>
  <c r="DG77" i="1" l="1"/>
  <c r="CS42" i="53" s="1"/>
  <c r="DG135" i="42"/>
  <c r="CS41" i="53"/>
  <c r="DG98" i="1"/>
  <c r="DG99" i="1" s="1"/>
  <c r="DG78" i="1"/>
  <c r="CS43" i="53" s="1"/>
  <c r="DG82" i="1"/>
  <c r="DG258" i="1"/>
  <c r="DG132" i="42"/>
  <c r="DB258" i="1"/>
  <c r="CW258" i="1"/>
  <c r="CR258" i="1"/>
  <c r="BX138" i="1"/>
  <c r="BX141" i="1" s="1"/>
  <c r="BX142" i="1"/>
  <c r="BJ58" i="53" s="1"/>
  <c r="CN41" i="53"/>
  <c r="DB98" i="1"/>
  <c r="DB77" i="1"/>
  <c r="CN42" i="53" s="1"/>
  <c r="DB78" i="1"/>
  <c r="DB82" i="1"/>
  <c r="DB132" i="42"/>
  <c r="DB135" i="42"/>
  <c r="CW132" i="42"/>
  <c r="CW135" i="42"/>
  <c r="CW78" i="1"/>
  <c r="CI43" i="53" s="1"/>
  <c r="CW82" i="1"/>
  <c r="CI46" i="53" s="1"/>
  <c r="CW77" i="1"/>
  <c r="CI42" i="53" s="1"/>
  <c r="CW98" i="1"/>
  <c r="CD41" i="53"/>
  <c r="CH141" i="42"/>
  <c r="CH582" i="42"/>
  <c r="CH583" i="42" s="1"/>
  <c r="CH132" i="42"/>
  <c r="CR78" i="1"/>
  <c r="CR135" i="42"/>
  <c r="CR84" i="1"/>
  <c r="CD48" i="53" s="1"/>
  <c r="CR98" i="1"/>
  <c r="CR132" i="42"/>
  <c r="BY41" i="53"/>
  <c r="CR77" i="1"/>
  <c r="BJ53" i="53"/>
  <c r="CC176" i="42"/>
  <c r="CC177" i="42"/>
  <c r="CC178" i="42" s="1"/>
  <c r="CC27" i="1"/>
  <c r="CM132" i="42"/>
  <c r="CM98" i="1"/>
  <c r="CM78" i="1"/>
  <c r="CM77" i="1"/>
  <c r="CM135" i="42"/>
  <c r="BJ55" i="53"/>
  <c r="BT41" i="53"/>
  <c r="CH98" i="1"/>
  <c r="BT42" i="53"/>
  <c r="BO43" i="53"/>
  <c r="BO44" i="53" s="1"/>
  <c r="BO46" i="53"/>
  <c r="DG83" i="1" l="1"/>
  <c r="CS46" i="53"/>
  <c r="DG79" i="1"/>
  <c r="CD46" i="53"/>
  <c r="CD42" i="53"/>
  <c r="DB99" i="1"/>
  <c r="CW99" i="1"/>
  <c r="BY140" i="1"/>
  <c r="BX143" i="1"/>
  <c r="CN46" i="53"/>
  <c r="DB83" i="1"/>
  <c r="DB86" i="1" s="1"/>
  <c r="DB107" i="1" s="1"/>
  <c r="DB79" i="1"/>
  <c r="CN43" i="53"/>
  <c r="CM99" i="1"/>
  <c r="BY42" i="53"/>
  <c r="CW79" i="1"/>
  <c r="CW83" i="1"/>
  <c r="CI47" i="53" s="1"/>
  <c r="CR99" i="1"/>
  <c r="CD43" i="53"/>
  <c r="CI44" i="53" s="1"/>
  <c r="CH174" i="42"/>
  <c r="CH175" i="42" s="1"/>
  <c r="BY43" i="53"/>
  <c r="CR79" i="1"/>
  <c r="CC28" i="1"/>
  <c r="CM79" i="1"/>
  <c r="BO49" i="53"/>
  <c r="BT43" i="53"/>
  <c r="BT46" i="53"/>
  <c r="BO47" i="53"/>
  <c r="CH99" i="1"/>
  <c r="DG86" i="1" l="1"/>
  <c r="CS47" i="53"/>
  <c r="CN44" i="53"/>
  <c r="CS44" i="53"/>
  <c r="CR86" i="1"/>
  <c r="CN49" i="53"/>
  <c r="CN47" i="53"/>
  <c r="CW86" i="1"/>
  <c r="CW107" i="1" s="1"/>
  <c r="CD44" i="53"/>
  <c r="CH176" i="42"/>
  <c r="CH177" i="42"/>
  <c r="CH178" i="42" s="1"/>
  <c r="CD47" i="53"/>
  <c r="BT44" i="53"/>
  <c r="BY44" i="53"/>
  <c r="BO40" i="53"/>
  <c r="BJ59" i="53"/>
  <c r="BT47" i="53"/>
  <c r="CH27" i="1"/>
  <c r="CS49" i="53" l="1"/>
  <c r="DG107" i="1"/>
  <c r="CD49" i="53"/>
  <c r="CR145" i="1"/>
  <c r="CR107" i="1"/>
  <c r="CI49" i="53"/>
  <c r="BT49" i="53"/>
  <c r="BJ60" i="53"/>
  <c r="BJ61" i="53"/>
  <c r="CH28" i="1"/>
  <c r="BT40" i="53"/>
  <c r="BK59" i="53"/>
  <c r="CR148" i="1" l="1"/>
  <c r="CR161" i="1" s="1"/>
  <c r="CR168" i="1" s="1"/>
  <c r="BL59" i="53"/>
  <c r="CR179" i="1" l="1"/>
  <c r="BL60" i="53"/>
  <c r="BK60" i="53" l="1"/>
  <c r="BK45" i="53"/>
  <c r="BZ81" i="1"/>
  <c r="BZ295" i="1" s="1"/>
  <c r="BZ288" i="1" l="1"/>
  <c r="BZ289" i="1" s="1"/>
  <c r="BZ296" i="1"/>
  <c r="BL45" i="53"/>
  <c r="BK47" i="53" l="1"/>
  <c r="BZ83" i="1"/>
  <c r="BL47" i="53" l="1"/>
  <c r="BK24" i="53" l="1"/>
  <c r="BY133" i="42"/>
  <c r="BY134" i="42" s="1"/>
  <c r="BY76" i="1"/>
  <c r="CD77" i="1" s="1"/>
  <c r="BY135" i="42" l="1"/>
  <c r="CD135" i="42"/>
  <c r="BY82" i="1"/>
  <c r="BY86" i="1" s="1"/>
  <c r="BY107" i="1" s="1"/>
  <c r="BY109" i="1" s="1"/>
  <c r="BK25" i="53"/>
  <c r="BY78" i="1"/>
  <c r="CD79" i="1" s="1"/>
  <c r="BY77" i="1"/>
  <c r="BK41" i="53"/>
  <c r="BY582" i="42"/>
  <c r="CD583" i="42" s="1"/>
  <c r="BZ76" i="1"/>
  <c r="CE77" i="1" s="1"/>
  <c r="BY98" i="1"/>
  <c r="BY224" i="1" l="1"/>
  <c r="BY240" i="1" s="1"/>
  <c r="BZ224" i="1"/>
  <c r="BZ240" i="1" s="1"/>
  <c r="CA224" i="1"/>
  <c r="CA240" i="1" s="1"/>
  <c r="BY122" i="1"/>
  <c r="BZ109" i="1"/>
  <c r="BZ122" i="1" s="1"/>
  <c r="BZ317" i="1" s="1"/>
  <c r="CD141" i="42"/>
  <c r="BY141" i="42"/>
  <c r="BK46" i="53"/>
  <c r="BY84" i="1"/>
  <c r="BK26" i="53"/>
  <c r="BL41" i="53"/>
  <c r="BZ77" i="1"/>
  <c r="BZ98" i="1"/>
  <c r="BZ82" i="1"/>
  <c r="BZ78" i="1"/>
  <c r="CE79" i="1" s="1"/>
  <c r="BK43" i="53"/>
  <c r="BK44" i="53" s="1"/>
  <c r="BY79" i="1"/>
  <c r="BK49" i="53"/>
  <c r="BY92" i="1"/>
  <c r="BY99" i="1"/>
  <c r="BL61" i="53"/>
  <c r="BK61" i="53"/>
  <c r="BY583" i="42"/>
  <c r="BZ582" i="42"/>
  <c r="BZ583" i="42" s="1"/>
  <c r="BY174" i="42"/>
  <c r="BK42" i="53"/>
  <c r="BZ225" i="1" l="1"/>
  <c r="BY225" i="1"/>
  <c r="CA225" i="1"/>
  <c r="BZ138" i="1"/>
  <c r="BZ141" i="1" s="1"/>
  <c r="BZ142" i="1"/>
  <c r="BY142" i="1"/>
  <c r="BY138" i="1"/>
  <c r="BY141" i="1" s="1"/>
  <c r="BK48" i="53"/>
  <c r="BL46" i="53"/>
  <c r="BZ84" i="1"/>
  <c r="BZ86" i="1"/>
  <c r="BZ99" i="1"/>
  <c r="BZ243" i="1" s="1"/>
  <c r="BL42" i="53"/>
  <c r="BY27" i="1"/>
  <c r="BZ174" i="42"/>
  <c r="BY175" i="42"/>
  <c r="CD176" i="42" s="1"/>
  <c r="BY103" i="1"/>
  <c r="BY96" i="1"/>
  <c r="BY94" i="1"/>
  <c r="BK53" i="53" s="1"/>
  <c r="BK51" i="53"/>
  <c r="BK52" i="53" s="1"/>
  <c r="BL43" i="53"/>
  <c r="BL44" i="53" s="1"/>
  <c r="BZ79" i="1"/>
  <c r="BZ301" i="1" l="1"/>
  <c r="BZ320" i="1" s="1"/>
  <c r="BZ300" i="1"/>
  <c r="BZ319" i="1" s="1"/>
  <c r="BZ322" i="1" s="1"/>
  <c r="BZ324" i="1" s="1"/>
  <c r="BZ107" i="1"/>
  <c r="BZ299" i="1"/>
  <c r="BZ336" i="1"/>
  <c r="CA140" i="1"/>
  <c r="BY143" i="1"/>
  <c r="CE140" i="1"/>
  <c r="BZ143" i="1"/>
  <c r="BZ27" i="1"/>
  <c r="BL49" i="53"/>
  <c r="BZ92" i="1"/>
  <c r="CE96" i="1" s="1"/>
  <c r="BY28" i="1"/>
  <c r="BK40" i="53"/>
  <c r="BL48" i="53"/>
  <c r="BY176" i="42"/>
  <c r="BZ175" i="42"/>
  <c r="BY177" i="42"/>
  <c r="BK55" i="53"/>
  <c r="BK58" i="53"/>
  <c r="BZ303" i="1" l="1"/>
  <c r="BZ326" i="1"/>
  <c r="BZ329" i="1" s="1"/>
  <c r="BZ334" i="1"/>
  <c r="BZ338" i="1"/>
  <c r="BZ312" i="1"/>
  <c r="BZ335" i="1"/>
  <c r="BZ331" i="1"/>
  <c r="BZ337" i="1"/>
  <c r="BY178" i="42"/>
  <c r="CD178" i="42"/>
  <c r="BZ176" i="42"/>
  <c r="BZ177" i="42"/>
  <c r="BZ178" i="42" s="1"/>
  <c r="BZ28" i="1"/>
  <c r="BL40" i="53"/>
  <c r="BP47" i="53"/>
  <c r="BZ103" i="1"/>
  <c r="BZ94" i="1"/>
  <c r="BL53" i="53" s="1"/>
  <c r="BL51" i="53"/>
  <c r="BL52" i="53" s="1"/>
  <c r="BZ96" i="1"/>
  <c r="BL55" i="53"/>
  <c r="BL58" i="53"/>
  <c r="CA82" i="1" l="1"/>
  <c r="BM46" i="53" l="1"/>
  <c r="CA84" i="1"/>
  <c r="BM48" i="53" s="1"/>
  <c r="BM45" i="53"/>
  <c r="BM47" i="53" l="1"/>
  <c r="CA86" i="1"/>
  <c r="BQ45" i="53"/>
  <c r="CA145" i="1" l="1"/>
  <c r="CA107" i="1"/>
  <c r="CA109" i="1" s="1"/>
  <c r="BM49" i="53"/>
  <c r="CA92" i="1"/>
  <c r="CA122" i="1" l="1"/>
  <c r="CA148" i="1"/>
  <c r="CA161" i="1" s="1"/>
  <c r="CA94" i="1"/>
  <c r="BM53" i="53" s="1"/>
  <c r="CA103" i="1"/>
  <c r="BM51" i="53"/>
  <c r="CA96" i="1"/>
  <c r="CA138" i="1" l="1"/>
  <c r="CA141" i="1" s="1"/>
  <c r="CA142" i="1"/>
  <c r="BM58" i="53" s="1"/>
  <c r="CA168" i="1"/>
  <c r="CA179" i="1"/>
  <c r="CA181" i="1" s="1"/>
  <c r="BM52" i="53"/>
  <c r="BM55" i="53"/>
  <c r="CA143" i="1" l="1"/>
  <c r="CB140" i="1"/>
  <c r="BM59" i="53" l="1"/>
  <c r="BM61" i="53" l="1"/>
  <c r="BM60" i="53"/>
  <c r="CA349" i="1" l="1"/>
  <c r="CE349" i="1" s="1"/>
  <c r="CA348" i="1"/>
  <c r="CE89" i="1" l="1"/>
  <c r="CE351" i="1"/>
  <c r="CA351" i="1"/>
  <c r="BN50" i="53" l="1"/>
  <c r="BO50" i="53" l="1"/>
  <c r="CC92" i="1"/>
  <c r="BP50" i="53"/>
  <c r="CC96" i="1" l="1"/>
  <c r="CC103" i="1"/>
  <c r="BO51" i="53"/>
  <c r="BO52" i="53" s="1"/>
  <c r="CC94" i="1"/>
  <c r="BQ50" i="53"/>
  <c r="BO53" i="53" l="1"/>
  <c r="BS50" i="53" l="1"/>
  <c r="BR50" i="53"/>
  <c r="CF92" i="1"/>
  <c r="CJ89" i="1"/>
  <c r="CF96" i="1" l="1"/>
  <c r="CF103" i="1"/>
  <c r="CF94" i="1"/>
  <c r="BR51" i="53"/>
  <c r="BR52" i="53" s="1"/>
  <c r="BT50" i="53"/>
  <c r="CH92" i="1"/>
  <c r="CJ88" i="1"/>
  <c r="BR53" i="53" l="1"/>
  <c r="BU50" i="53"/>
  <c r="CH103" i="1"/>
  <c r="BT51" i="53"/>
  <c r="BT52" i="53" s="1"/>
  <c r="CH96" i="1"/>
  <c r="CH94" i="1"/>
  <c r="BT53" i="53" l="1"/>
  <c r="CJ90" i="1"/>
  <c r="BV50" i="53" l="1"/>
  <c r="CJ236" i="1"/>
  <c r="CJ93" i="1"/>
  <c r="CJ108" i="1" l="1"/>
  <c r="BW50" i="53"/>
  <c r="BX50" i="53"/>
  <c r="CO348" i="1"/>
  <c r="CO88" i="1" l="1"/>
  <c r="CO349" i="1"/>
  <c r="CO89" i="1" s="1"/>
  <c r="BZ50" i="53" l="1"/>
  <c r="CO350" i="1"/>
  <c r="CO351" i="1" s="1"/>
  <c r="BY50" i="53"/>
  <c r="CO90" i="1" l="1"/>
  <c r="CO236" i="1" s="1"/>
  <c r="CA50" i="53" l="1"/>
  <c r="CO93" i="1"/>
  <c r="CO108" i="1" s="1"/>
  <c r="CP236" i="1" l="1"/>
  <c r="CP218" i="1"/>
  <c r="CC50" i="53"/>
  <c r="CB50" i="53"/>
  <c r="CR133" i="1"/>
  <c r="CR136" i="1" s="1"/>
  <c r="CR108" i="1"/>
  <c r="CR109" i="1" s="1"/>
  <c r="CT348" i="1"/>
  <c r="CP92" i="1"/>
  <c r="CB132" i="42"/>
  <c r="CD50" i="53" l="1"/>
  <c r="CV348" i="1"/>
  <c r="CT88" i="1"/>
  <c r="CB51" i="53"/>
  <c r="CR92" i="1"/>
  <c r="CP103" i="1"/>
  <c r="CP94" i="1"/>
  <c r="CT349" i="1"/>
  <c r="CT89" i="1" s="1"/>
  <c r="CB53" i="53" l="1"/>
  <c r="CT133" i="1"/>
  <c r="CT136" i="1" s="1"/>
  <c r="CE50" i="53"/>
  <c r="CU133" i="1"/>
  <c r="CV88" i="1"/>
  <c r="CV349" i="1"/>
  <c r="CW348" i="1"/>
  <c r="CD51" i="53"/>
  <c r="CT350" i="1"/>
  <c r="CR94" i="1"/>
  <c r="CR103" i="1"/>
  <c r="BQ24" i="53"/>
  <c r="CD53" i="53" l="1"/>
  <c r="CU136" i="1"/>
  <c r="CX348" i="1"/>
  <c r="CW88" i="1"/>
  <c r="CW349" i="1"/>
  <c r="CV350" i="1"/>
  <c r="CV90" i="1" s="1"/>
  <c r="CV89" i="1"/>
  <c r="CV133" i="1" s="1"/>
  <c r="CV136" i="1" s="1"/>
  <c r="CT90" i="1"/>
  <c r="CT351" i="1"/>
  <c r="BN63" i="53"/>
  <c r="BR63" i="53"/>
  <c r="BP63" i="53"/>
  <c r="BO63" i="53"/>
  <c r="BO62" i="53"/>
  <c r="BQ25" i="53"/>
  <c r="BP62" i="53"/>
  <c r="BN62" i="53"/>
  <c r="CG50" i="53" l="1"/>
  <c r="CU108" i="1"/>
  <c r="CU109" i="1" s="1"/>
  <c r="CH50" i="53"/>
  <c r="CV108" i="1"/>
  <c r="CX349" i="1"/>
  <c r="CY348" i="1"/>
  <c r="CZ348" i="1" s="1"/>
  <c r="CX88" i="1"/>
  <c r="CU92" i="1"/>
  <c r="CW350" i="1"/>
  <c r="CW90" i="1" s="1"/>
  <c r="CW89" i="1"/>
  <c r="CW133" i="1" s="1"/>
  <c r="CW136" i="1" s="1"/>
  <c r="BQ63" i="53"/>
  <c r="CF50" i="53"/>
  <c r="CT93" i="1"/>
  <c r="CT108" i="1" s="1"/>
  <c r="BQ26" i="53"/>
  <c r="BR62" i="53"/>
  <c r="BQ62" i="53"/>
  <c r="CI50" i="53" l="1"/>
  <c r="CW108" i="1"/>
  <c r="CW109" i="1" s="1"/>
  <c r="DA348" i="1"/>
  <c r="CZ88" i="1"/>
  <c r="CZ349" i="1"/>
  <c r="CY88" i="1"/>
  <c r="CG51" i="53"/>
  <c r="CG52" i="53" s="1"/>
  <c r="CW92" i="1"/>
  <c r="CY349" i="1"/>
  <c r="CY89" i="1" s="1"/>
  <c r="CX350" i="1"/>
  <c r="CX90" i="1" s="1"/>
  <c r="CX89" i="1"/>
  <c r="CX133" i="1" s="1"/>
  <c r="CX136" i="1" s="1"/>
  <c r="CU94" i="1"/>
  <c r="CU103" i="1"/>
  <c r="CU96" i="1"/>
  <c r="BO58" i="53"/>
  <c r="BO55" i="53"/>
  <c r="CG53" i="53" l="1"/>
  <c r="CI51" i="53"/>
  <c r="CI52" i="53" s="1"/>
  <c r="CY133" i="1"/>
  <c r="CY136" i="1" s="1"/>
  <c r="CJ50" i="53"/>
  <c r="CX108" i="1"/>
  <c r="CZ89" i="1"/>
  <c r="CZ133" i="1" s="1"/>
  <c r="CZ350" i="1"/>
  <c r="DB348" i="1"/>
  <c r="DA88" i="1"/>
  <c r="DA349" i="1"/>
  <c r="CW94" i="1"/>
  <c r="CI53" i="53" s="1"/>
  <c r="CW103" i="1"/>
  <c r="CW96" i="1"/>
  <c r="CY350" i="1"/>
  <c r="BR55" i="53"/>
  <c r="BR58" i="53"/>
  <c r="CZ136" i="1" l="1"/>
  <c r="DA89" i="1"/>
  <c r="DA133" i="1" s="1"/>
  <c r="DA136" i="1" s="1"/>
  <c r="DA350" i="1"/>
  <c r="DA90" i="1" s="1"/>
  <c r="CZ90" i="1"/>
  <c r="CZ93" i="1" s="1"/>
  <c r="DB88" i="1"/>
  <c r="DB349" i="1"/>
  <c r="DC348" i="1"/>
  <c r="CY351" i="1"/>
  <c r="CY90" i="1"/>
  <c r="CK50" i="53" s="1"/>
  <c r="BN26" i="53"/>
  <c r="BN25" i="53"/>
  <c r="BN24" i="53"/>
  <c r="DA93" i="1" l="1"/>
  <c r="DA108" i="1" s="1"/>
  <c r="CZ108" i="1"/>
  <c r="CZ109" i="1" s="1"/>
  <c r="CL50" i="53"/>
  <c r="CZ92" i="1"/>
  <c r="DC349" i="1"/>
  <c r="DD348" i="1"/>
  <c r="DC88" i="1"/>
  <c r="CM50" i="53"/>
  <c r="DB89" i="1"/>
  <c r="DB133" i="1" s="1"/>
  <c r="DB136" i="1" s="1"/>
  <c r="DB350" i="1"/>
  <c r="CY93" i="1"/>
  <c r="CY108" i="1" s="1"/>
  <c r="CB133" i="42"/>
  <c r="CB134" i="42" s="1"/>
  <c r="CB135" i="42" s="1"/>
  <c r="DD88" i="1" l="1"/>
  <c r="DE348" i="1"/>
  <c r="CL51" i="53"/>
  <c r="CZ96" i="1"/>
  <c r="CZ94" i="1"/>
  <c r="CL53" i="53" s="1"/>
  <c r="CZ103" i="1"/>
  <c r="DB90" i="1"/>
  <c r="DC89" i="1"/>
  <c r="DC133" i="1" s="1"/>
  <c r="DC136" i="1" s="1"/>
  <c r="DC350" i="1"/>
  <c r="DC90" i="1" s="1"/>
  <c r="DD349" i="1"/>
  <c r="DD89" i="1" s="1"/>
  <c r="CB141" i="42"/>
  <c r="CB98" i="1"/>
  <c r="BN42" i="53"/>
  <c r="CB582" i="42"/>
  <c r="CE582" i="42" s="1"/>
  <c r="BN41" i="53"/>
  <c r="CB82" i="1"/>
  <c r="DC93" i="1" l="1"/>
  <c r="DC108" i="1" s="1"/>
  <c r="DB93" i="1"/>
  <c r="DB108" i="1" s="1"/>
  <c r="DB109" i="1" s="1"/>
  <c r="DE88" i="1"/>
  <c r="DE349" i="1"/>
  <c r="DF348" i="1"/>
  <c r="CL52" i="53"/>
  <c r="CB224" i="1"/>
  <c r="CB240" i="1" s="1"/>
  <c r="CE224" i="1"/>
  <c r="CE240" i="1" s="1"/>
  <c r="CD224" i="1"/>
  <c r="CD240" i="1" s="1"/>
  <c r="CC224" i="1"/>
  <c r="CC240" i="1" s="1"/>
  <c r="CF224" i="1"/>
  <c r="CF240" i="1" s="1"/>
  <c r="DD133" i="1"/>
  <c r="DD136" i="1" s="1"/>
  <c r="CE583" i="42"/>
  <c r="CO50" i="53"/>
  <c r="DD350" i="1"/>
  <c r="CN50" i="53"/>
  <c r="DB92" i="1"/>
  <c r="CG132" i="42"/>
  <c r="CB84" i="1"/>
  <c r="CB583" i="42"/>
  <c r="CB174" i="42"/>
  <c r="CE174" i="42" s="1"/>
  <c r="CB99" i="1"/>
  <c r="BN46" i="53"/>
  <c r="CB86" i="1"/>
  <c r="BN43" i="53"/>
  <c r="BN44" i="53" s="1"/>
  <c r="DF88" i="1" l="1"/>
  <c r="DG348" i="1"/>
  <c r="DF349" i="1"/>
  <c r="DE89" i="1"/>
  <c r="DE350" i="1"/>
  <c r="CB225" i="1"/>
  <c r="CC225" i="1"/>
  <c r="CD225" i="1"/>
  <c r="CE225" i="1"/>
  <c r="CF225" i="1"/>
  <c r="CB107" i="1"/>
  <c r="CB109" i="1" s="1"/>
  <c r="CB145" i="1"/>
  <c r="CN51" i="53"/>
  <c r="DB94" i="1"/>
  <c r="CN53" i="53" s="1"/>
  <c r="DB103" i="1"/>
  <c r="DB96" i="1"/>
  <c r="DD90" i="1"/>
  <c r="DD351" i="1"/>
  <c r="BN48" i="53"/>
  <c r="BN49" i="53"/>
  <c r="CB92" i="1"/>
  <c r="CB175" i="42"/>
  <c r="CB27" i="1"/>
  <c r="BN47" i="53"/>
  <c r="DF89" i="1" l="1"/>
  <c r="DF350" i="1"/>
  <c r="DF90" i="1" s="1"/>
  <c r="DF93" i="1" s="1"/>
  <c r="DH348" i="1"/>
  <c r="DG349" i="1"/>
  <c r="DG88" i="1"/>
  <c r="DE133" i="1"/>
  <c r="DE90" i="1"/>
  <c r="DE93" i="1" s="1"/>
  <c r="CN52" i="53"/>
  <c r="CB148" i="1"/>
  <c r="CB161" i="1" s="1"/>
  <c r="CC145" i="1"/>
  <c r="CB122" i="1"/>
  <c r="CE109" i="1"/>
  <c r="CE122" i="1" s="1"/>
  <c r="CE317" i="1" s="1"/>
  <c r="CE322" i="1" s="1"/>
  <c r="CE324" i="1" s="1"/>
  <c r="CP50" i="53"/>
  <c r="DD93" i="1"/>
  <c r="DD108" i="1" s="1"/>
  <c r="CE175" i="42"/>
  <c r="BT63" i="53"/>
  <c r="BQ47" i="53"/>
  <c r="BN40" i="53"/>
  <c r="CB28" i="1"/>
  <c r="BN51" i="53"/>
  <c r="BN52" i="53" s="1"/>
  <c r="CB96" i="1"/>
  <c r="CB103" i="1"/>
  <c r="CB94" i="1"/>
  <c r="CB177" i="42"/>
  <c r="CB178" i="42" s="1"/>
  <c r="CB176" i="42"/>
  <c r="DG89" i="1" l="1"/>
  <c r="DG350" i="1"/>
  <c r="DH349" i="1"/>
  <c r="DI349" i="1" s="1"/>
  <c r="DI89" i="1" s="1"/>
  <c r="DH88" i="1"/>
  <c r="DI348" i="1"/>
  <c r="DI88" i="1" s="1"/>
  <c r="CR50" i="53"/>
  <c r="DF108" i="1"/>
  <c r="DE136" i="1"/>
  <c r="CQ50" i="53"/>
  <c r="DE108" i="1"/>
  <c r="DE109" i="1" s="1"/>
  <c r="DE92" i="1"/>
  <c r="DF133" i="1"/>
  <c r="CE138" i="1"/>
  <c r="CE141" i="1" s="1"/>
  <c r="CE142" i="1"/>
  <c r="CB138" i="1"/>
  <c r="CB141" i="1" s="1"/>
  <c r="CB142" i="1"/>
  <c r="BN58" i="53" s="1"/>
  <c r="CC148" i="1"/>
  <c r="CC161" i="1" s="1"/>
  <c r="CD145" i="1"/>
  <c r="CD148" i="1" s="1"/>
  <c r="CD161" i="1" s="1"/>
  <c r="CB179" i="1"/>
  <c r="CB181" i="1" s="1"/>
  <c r="CB168" i="1"/>
  <c r="BN53" i="53"/>
  <c r="BT62" i="53"/>
  <c r="BS62" i="53"/>
  <c r="BS63" i="53"/>
  <c r="CE177" i="42"/>
  <c r="CE178" i="42" s="1"/>
  <c r="CE176" i="42"/>
  <c r="BN55" i="53"/>
  <c r="DH89" i="1" l="1"/>
  <c r="DH350" i="1"/>
  <c r="DH90" i="1" s="1"/>
  <c r="DH93" i="1" s="1"/>
  <c r="DF136" i="1"/>
  <c r="CQ51" i="53"/>
  <c r="CQ52" i="53" s="1"/>
  <c r="DE103" i="1"/>
  <c r="DE94" i="1"/>
  <c r="CQ53" i="53" s="1"/>
  <c r="DE96" i="1"/>
  <c r="DG90" i="1"/>
  <c r="DG93" i="1" s="1"/>
  <c r="DG133" i="1"/>
  <c r="CC179" i="1"/>
  <c r="CC181" i="1" s="1"/>
  <c r="CC168" i="1"/>
  <c r="CC140" i="1"/>
  <c r="CC141" i="1" s="1"/>
  <c r="CB143" i="1"/>
  <c r="CD179" i="1"/>
  <c r="CD181" i="1" s="1"/>
  <c r="CD168" i="1"/>
  <c r="CJ140" i="1"/>
  <c r="CE143" i="1"/>
  <c r="DG136" i="1" l="1"/>
  <c r="CT50" i="53"/>
  <c r="DH108" i="1"/>
  <c r="DH133" i="1"/>
  <c r="DI133" i="1" s="1"/>
  <c r="DI350" i="1"/>
  <c r="DG108" i="1"/>
  <c r="DG109" i="1" s="1"/>
  <c r="CS50" i="53"/>
  <c r="DG92" i="1"/>
  <c r="CF180" i="1"/>
  <c r="CF181" i="1" s="1"/>
  <c r="CG180" i="1"/>
  <c r="CH180" i="1"/>
  <c r="CI180" i="1"/>
  <c r="CD140" i="1"/>
  <c r="CD141" i="1" s="1"/>
  <c r="CC143" i="1"/>
  <c r="BT55" i="53"/>
  <c r="BT58" i="53"/>
  <c r="BN59" i="53"/>
  <c r="DI351" i="1" l="1"/>
  <c r="DI90" i="1"/>
  <c r="DI93" i="1" s="1"/>
  <c r="CS51" i="53"/>
  <c r="CS52" i="53" s="1"/>
  <c r="DG94" i="1"/>
  <c r="CS53" i="53" s="1"/>
  <c r="DG103" i="1"/>
  <c r="DG96" i="1"/>
  <c r="DI136" i="1"/>
  <c r="DH136" i="1"/>
  <c r="CF140" i="1"/>
  <c r="CF141" i="1" s="1"/>
  <c r="CD143" i="1"/>
  <c r="BN60" i="53"/>
  <c r="BN61" i="53"/>
  <c r="BO59" i="53"/>
  <c r="CU50" i="53" l="1"/>
  <c r="CF143" i="1"/>
  <c r="CG140" i="1"/>
  <c r="BO61" i="53"/>
  <c r="BO60" i="53"/>
  <c r="DI108" i="1" l="1"/>
  <c r="BP26" i="53"/>
  <c r="BP25" i="53"/>
  <c r="BP24" i="53" l="1"/>
  <c r="BP41" i="53" l="1"/>
  <c r="BP42" i="53"/>
  <c r="BP48" i="53" l="1"/>
  <c r="BP46" i="53"/>
  <c r="BP43" i="53"/>
  <c r="BP44" i="53" s="1"/>
  <c r="BQ41" i="53"/>
  <c r="BQ42" i="53"/>
  <c r="CD27" i="1" l="1"/>
  <c r="BQ46" i="53"/>
  <c r="BP49" i="53"/>
  <c r="CD92" i="1"/>
  <c r="BQ43" i="53"/>
  <c r="BQ44" i="53" s="1"/>
  <c r="CD103" i="1" l="1"/>
  <c r="CD96" i="1"/>
  <c r="CD94" i="1"/>
  <c r="BQ49" i="53"/>
  <c r="BQ48" i="53"/>
  <c r="CD28" i="1"/>
  <c r="BP40" i="53"/>
  <c r="BP51" i="53"/>
  <c r="BP52" i="53" s="1"/>
  <c r="CE27" i="1"/>
  <c r="BP53" i="53" l="1"/>
  <c r="BP58" i="53"/>
  <c r="BP55" i="53"/>
  <c r="BQ51" i="53"/>
  <c r="BQ52" i="53" s="1"/>
  <c r="BQ53" i="53"/>
  <c r="BQ40" i="53"/>
  <c r="CE28" i="1"/>
  <c r="BQ58" i="53" l="1"/>
  <c r="BQ55" i="53"/>
  <c r="BP59" i="53" l="1"/>
  <c r="BQ59" i="53" l="1"/>
  <c r="BP61" i="53"/>
  <c r="BP60" i="53"/>
  <c r="BR59" i="53" l="1"/>
  <c r="BQ61" i="53"/>
  <c r="BQ60" i="53"/>
  <c r="BR61" i="53" l="1"/>
  <c r="BR60" i="53"/>
  <c r="CJ35" i="42" l="1"/>
  <c r="CE332" i="42"/>
  <c r="CE333" i="42" s="1"/>
  <c r="CE337" i="42" s="1"/>
  <c r="BU12" i="53" l="1"/>
  <c r="CJ334" i="42"/>
  <c r="CI333" i="42"/>
  <c r="CI337" i="42" s="1"/>
  <c r="CJ332" i="42"/>
  <c r="CJ333" i="42" s="1"/>
  <c r="CJ322" i="42"/>
  <c r="CI11" i="42" l="1"/>
  <c r="CI14" i="42" s="1"/>
  <c r="BU17" i="53"/>
  <c r="CJ337" i="42"/>
  <c r="CI165" i="42"/>
  <c r="CI321" i="42"/>
  <c r="CJ320" i="42"/>
  <c r="CO334" i="42"/>
  <c r="CJ16" i="42"/>
  <c r="BV12" i="53"/>
  <c r="CO332" i="42"/>
  <c r="CO333" i="42" s="1"/>
  <c r="CN333" i="42"/>
  <c r="BU22" i="53"/>
  <c r="CJ22" i="42"/>
  <c r="CJ33" i="42"/>
  <c r="CI34" i="42"/>
  <c r="CI38" i="42" s="1"/>
  <c r="BZ12" i="53"/>
  <c r="CE12" i="53" l="1"/>
  <c r="CJ361" i="42"/>
  <c r="CJ362" i="42" s="1"/>
  <c r="CJ366" i="42"/>
  <c r="CJ367" i="42" s="1"/>
  <c r="CJ370" i="42"/>
  <c r="CJ371" i="42" s="1"/>
  <c r="CJ374" i="42"/>
  <c r="CJ375" i="42" s="1"/>
  <c r="CI49" i="42"/>
  <c r="CX332" i="42"/>
  <c r="CX322" i="42"/>
  <c r="CJ12" i="53" s="1"/>
  <c r="CI11" i="1"/>
  <c r="CJ11" i="42"/>
  <c r="CJ321" i="42"/>
  <c r="BV17" i="53"/>
  <c r="CJ34" i="42"/>
  <c r="CJ38" i="42" s="1"/>
  <c r="BV22" i="53"/>
  <c r="CI381" i="42"/>
  <c r="CN382" i="42" s="1"/>
  <c r="CJ379" i="42"/>
  <c r="CI380" i="42"/>
  <c r="CO322" i="42"/>
  <c r="CO337" i="42"/>
  <c r="CN321" i="42"/>
  <c r="CN11" i="42"/>
  <c r="CO320" i="42"/>
  <c r="CI15" i="42"/>
  <c r="CI20" i="42"/>
  <c r="CJ14" i="42"/>
  <c r="CN34" i="42"/>
  <c r="CN38" i="42" s="1"/>
  <c r="CO33" i="42"/>
  <c r="CT332" i="42"/>
  <c r="CS333" i="42"/>
  <c r="CJ165" i="42"/>
  <c r="CI22" i="1"/>
  <c r="CO35" i="42"/>
  <c r="CT334" i="42"/>
  <c r="CX35" i="42" l="1"/>
  <c r="CJ49" i="42"/>
  <c r="CJ147" i="42"/>
  <c r="CJ148" i="42" s="1"/>
  <c r="CJ152" i="42"/>
  <c r="CJ153" i="42" s="1"/>
  <c r="CJ160" i="42"/>
  <c r="CJ161" i="42" s="1"/>
  <c r="CJ156" i="42"/>
  <c r="CJ157" i="42" s="1"/>
  <c r="CO366" i="42"/>
  <c r="CO367" i="42" s="1"/>
  <c r="CO361" i="42"/>
  <c r="CO362" i="42" s="1"/>
  <c r="CO370" i="42"/>
  <c r="CO371" i="42" s="1"/>
  <c r="CO374" i="42"/>
  <c r="CO375" i="42" s="1"/>
  <c r="CN323" i="42"/>
  <c r="DC332" i="42"/>
  <c r="DC322" i="42"/>
  <c r="CO12" i="53" s="1"/>
  <c r="BU11" i="53"/>
  <c r="CA12" i="53"/>
  <c r="CJ11" i="1"/>
  <c r="CJ14" i="1" s="1"/>
  <c r="CX333" i="42"/>
  <c r="CY332" i="42"/>
  <c r="CY333" i="42" s="1"/>
  <c r="CX33" i="42"/>
  <c r="CT333" i="42"/>
  <c r="CT337" i="42" s="1"/>
  <c r="CY334" i="42"/>
  <c r="CX320" i="42"/>
  <c r="CI382" i="42"/>
  <c r="CI14" i="1"/>
  <c r="CI17" i="42"/>
  <c r="CJ381" i="42"/>
  <c r="CO34" i="42"/>
  <c r="CO38" i="42" s="1"/>
  <c r="CJ22" i="1"/>
  <c r="BV35" i="53" s="1"/>
  <c r="CJ380" i="42"/>
  <c r="CT35" i="42"/>
  <c r="CT33" i="42"/>
  <c r="CS34" i="42"/>
  <c r="CS38" i="42" s="1"/>
  <c r="CJ15" i="42"/>
  <c r="BU35" i="53"/>
  <c r="CJ20" i="42"/>
  <c r="CI21" i="42"/>
  <c r="CO321" i="42"/>
  <c r="CS11" i="42"/>
  <c r="CS321" i="42"/>
  <c r="CT320" i="42"/>
  <c r="CO11" i="42"/>
  <c r="CN11" i="1"/>
  <c r="CT322" i="42"/>
  <c r="CT366" i="42" l="1"/>
  <c r="CT367" i="42" s="1"/>
  <c r="CT361" i="42"/>
  <c r="CT362" i="42" s="1"/>
  <c r="CT370" i="42"/>
  <c r="CT371" i="42" s="1"/>
  <c r="CT374" i="42"/>
  <c r="CT375" i="42" s="1"/>
  <c r="DH332" i="42"/>
  <c r="DH322" i="42"/>
  <c r="CT12" i="53" s="1"/>
  <c r="CS323" i="42"/>
  <c r="CF12" i="53"/>
  <c r="CY35" i="42"/>
  <c r="CN337" i="42"/>
  <c r="CO323" i="42"/>
  <c r="DC333" i="42"/>
  <c r="DD332" i="42"/>
  <c r="DC33" i="42"/>
  <c r="DD334" i="42"/>
  <c r="DC320" i="42"/>
  <c r="DC35" i="42"/>
  <c r="BV11" i="53"/>
  <c r="CY337" i="42"/>
  <c r="CX34" i="42"/>
  <c r="CX38" i="42" s="1"/>
  <c r="CY33" i="42"/>
  <c r="CY323" i="42"/>
  <c r="CY322" i="42"/>
  <c r="CK12" i="53" s="1"/>
  <c r="CX321" i="42"/>
  <c r="CX11" i="42"/>
  <c r="CY320" i="42"/>
  <c r="DD323" i="42" s="1"/>
  <c r="BU16" i="53"/>
  <c r="CI17" i="1"/>
  <c r="CI23" i="42"/>
  <c r="CJ17" i="1"/>
  <c r="CJ17" i="42"/>
  <c r="CO11" i="1"/>
  <c r="CJ382" i="42"/>
  <c r="CT34" i="42"/>
  <c r="CT38" i="42" s="1"/>
  <c r="BV16" i="53"/>
  <c r="CJ21" i="42"/>
  <c r="BZ11" i="53"/>
  <c r="CT11" i="42"/>
  <c r="CS11" i="1"/>
  <c r="CT321" i="42"/>
  <c r="DD333" i="42" l="1"/>
  <c r="DD337" i="42" s="1"/>
  <c r="DI334" i="42"/>
  <c r="DH320" i="42"/>
  <c r="DI320" i="42" s="1"/>
  <c r="DH333" i="42"/>
  <c r="DI332" i="42"/>
  <c r="DI333" i="42" s="1"/>
  <c r="DH33" i="42"/>
  <c r="DI33" i="42" s="1"/>
  <c r="DD33" i="42"/>
  <c r="DD34" i="42" s="1"/>
  <c r="DH35" i="42"/>
  <c r="CT323" i="42"/>
  <c r="CS337" i="42"/>
  <c r="DC34" i="42"/>
  <c r="DC38" i="42" s="1"/>
  <c r="DD322" i="42"/>
  <c r="CP12" i="53" s="1"/>
  <c r="DC321" i="42"/>
  <c r="DC11" i="42"/>
  <c r="DD320" i="42"/>
  <c r="CY34" i="42"/>
  <c r="CY38" i="42" s="1"/>
  <c r="DD35" i="42"/>
  <c r="CX11" i="1"/>
  <c r="CY11" i="42"/>
  <c r="CY321" i="42"/>
  <c r="CI58" i="1"/>
  <c r="BU21" i="53"/>
  <c r="CA11" i="53"/>
  <c r="CJ23" i="42"/>
  <c r="CJ57" i="1"/>
  <c r="CT11" i="1"/>
  <c r="CE11" i="53"/>
  <c r="DH321" i="42" l="1"/>
  <c r="DH11" i="42"/>
  <c r="DH11" i="1" s="1"/>
  <c r="CJ11" i="53"/>
  <c r="DI337" i="42"/>
  <c r="DH34" i="42"/>
  <c r="DH38" i="42" s="1"/>
  <c r="DI35" i="42"/>
  <c r="DI34" i="42"/>
  <c r="DI321" i="42"/>
  <c r="DI322" i="42"/>
  <c r="CU12" i="53" s="1"/>
  <c r="DI323" i="42"/>
  <c r="CJ253" i="1"/>
  <c r="CJ255" i="1" s="1"/>
  <c r="CJ256" i="1" s="1"/>
  <c r="CJ242" i="1"/>
  <c r="CJ327" i="1"/>
  <c r="CJ333" i="1"/>
  <c r="CJ274" i="1"/>
  <c r="CJ231" i="1"/>
  <c r="DD321" i="42"/>
  <c r="DC11" i="1"/>
  <c r="DD11" i="42"/>
  <c r="DD11" i="1" s="1"/>
  <c r="DD38" i="42"/>
  <c r="CY11" i="1"/>
  <c r="CI71" i="1"/>
  <c r="BU27" i="53"/>
  <c r="CI68" i="1"/>
  <c r="CI64" i="1"/>
  <c r="CJ67" i="1"/>
  <c r="CJ63" i="1"/>
  <c r="BU23" i="53"/>
  <c r="BU29" i="53"/>
  <c r="CF11" i="53"/>
  <c r="BV21" i="53"/>
  <c r="CJ58" i="1"/>
  <c r="DI11" i="42" l="1"/>
  <c r="DI11" i="1" s="1"/>
  <c r="CU11" i="53" s="1"/>
  <c r="CK11" i="53"/>
  <c r="DI38" i="42"/>
  <c r="CT11" i="53"/>
  <c r="CP11" i="53"/>
  <c r="CO11" i="53"/>
  <c r="BU28" i="53"/>
  <c r="CI72" i="1"/>
  <c r="BU30" i="53"/>
  <c r="CI474" i="42"/>
  <c r="CI473" i="42" s="1"/>
  <c r="CJ69" i="1"/>
  <c r="CJ70" i="1" s="1"/>
  <c r="BV27" i="53"/>
  <c r="BV29" i="53"/>
  <c r="CJ68" i="1"/>
  <c r="BV30" i="53" s="1"/>
  <c r="BU31" i="53"/>
  <c r="CJ71" i="1"/>
  <c r="CI73" i="1"/>
  <c r="CI74" i="1" s="1"/>
  <c r="CJ64" i="1"/>
  <c r="CJ65" i="1"/>
  <c r="CJ66" i="1" s="1"/>
  <c r="BV23" i="53"/>
  <c r="BV28" i="53" l="1"/>
  <c r="CJ72" i="1"/>
  <c r="BV31" i="53"/>
  <c r="CJ73" i="1"/>
  <c r="CJ74" i="1" s="1"/>
  <c r="CJ475" i="42"/>
  <c r="CI167" i="42"/>
  <c r="CI476" i="42"/>
  <c r="CJ473" i="42" l="1"/>
  <c r="CJ474" i="42" s="1"/>
  <c r="CI24" i="1"/>
  <c r="CJ167" i="42"/>
  <c r="CI168" i="42"/>
  <c r="BU63" i="53"/>
  <c r="CJ476" i="42"/>
  <c r="BV63" i="53"/>
  <c r="CJ24" i="1" l="1"/>
  <c r="BV37" i="53" s="1"/>
  <c r="BU37" i="53"/>
  <c r="CI25" i="1"/>
  <c r="CI170" i="42"/>
  <c r="CI171" i="42" s="1"/>
  <c r="CI169" i="42"/>
  <c r="CJ168" i="42"/>
  <c r="CJ25" i="1" l="1"/>
  <c r="BV38" i="53" s="1"/>
  <c r="CJ170" i="42"/>
  <c r="CJ171" i="42" s="1"/>
  <c r="CJ169" i="42"/>
  <c r="BU38" i="53"/>
  <c r="BS26" i="53" l="1"/>
  <c r="BS24" i="53"/>
  <c r="BS25" i="53"/>
  <c r="CG133" i="42" l="1"/>
  <c r="CG134" i="42" s="1"/>
  <c r="CG135" i="42" s="1"/>
  <c r="CG98" i="1"/>
  <c r="CG78" i="1"/>
  <c r="CL79" i="1" s="1"/>
  <c r="BS41" i="53"/>
  <c r="CG77" i="1"/>
  <c r="CG82" i="1"/>
  <c r="CG224" i="1" l="1"/>
  <c r="CG240" i="1" s="1"/>
  <c r="CH224" i="1"/>
  <c r="CH240" i="1" s="1"/>
  <c r="CG141" i="42"/>
  <c r="CG84" i="1"/>
  <c r="BS48" i="53" s="1"/>
  <c r="BS42" i="53"/>
  <c r="CG79" i="1"/>
  <c r="BS43" i="53"/>
  <c r="BS44" i="53" s="1"/>
  <c r="BS46" i="53"/>
  <c r="CG86" i="1"/>
  <c r="CG99" i="1"/>
  <c r="CG174" i="42"/>
  <c r="CG583" i="42"/>
  <c r="BX25" i="53"/>
  <c r="CV61" i="1"/>
  <c r="DA61" i="1" s="1"/>
  <c r="DF61" i="1" s="1"/>
  <c r="CL582" i="42"/>
  <c r="CR25" i="53" l="1"/>
  <c r="DF60" i="1"/>
  <c r="CL583" i="42"/>
  <c r="CG225" i="1"/>
  <c r="CH225" i="1"/>
  <c r="CG107" i="1"/>
  <c r="CG109" i="1" s="1"/>
  <c r="CG145" i="1"/>
  <c r="CM25" i="53"/>
  <c r="DA60" i="1"/>
  <c r="CV60" i="1"/>
  <c r="CH24" i="53" s="1"/>
  <c r="CH25" i="53"/>
  <c r="CG27" i="1"/>
  <c r="CG175" i="42"/>
  <c r="BS49" i="53"/>
  <c r="CG92" i="1"/>
  <c r="BX24" i="53"/>
  <c r="CL133" i="42"/>
  <c r="CL134" i="42" s="1"/>
  <c r="CL135" i="42" s="1"/>
  <c r="BS47" i="53"/>
  <c r="CC25" i="53"/>
  <c r="CQ133" i="42"/>
  <c r="CQ134" i="42" s="1"/>
  <c r="CR24" i="53" l="1"/>
  <c r="DF59" i="1"/>
  <c r="DF133" i="42"/>
  <c r="DF134" i="42" s="1"/>
  <c r="DF76" i="1"/>
  <c r="CQ135" i="42"/>
  <c r="CH145" i="1"/>
  <c r="CG148" i="1"/>
  <c r="CG161" i="1" s="1"/>
  <c r="CG122" i="1"/>
  <c r="CM24" i="53"/>
  <c r="DA59" i="1"/>
  <c r="DA133" i="42"/>
  <c r="DA134" i="42" s="1"/>
  <c r="DA76" i="1"/>
  <c r="CV76" i="1"/>
  <c r="CH41" i="53" s="1"/>
  <c r="CV59" i="1"/>
  <c r="CV133" i="42"/>
  <c r="CV134" i="42" s="1"/>
  <c r="BS40" i="53"/>
  <c r="CG28" i="1"/>
  <c r="BS51" i="53"/>
  <c r="BS52" i="53" s="1"/>
  <c r="CG94" i="1"/>
  <c r="CG96" i="1"/>
  <c r="CG103" i="1"/>
  <c r="CL132" i="42"/>
  <c r="CG176" i="42"/>
  <c r="CG177" i="42"/>
  <c r="CG178" i="42" s="1"/>
  <c r="CC24" i="53"/>
  <c r="CQ132" i="42"/>
  <c r="BX42" i="53"/>
  <c r="CL174" i="42"/>
  <c r="CL98" i="1"/>
  <c r="BX41" i="53"/>
  <c r="DF77" i="1" l="1"/>
  <c r="CR42" i="53" s="1"/>
  <c r="DF135" i="42"/>
  <c r="CR41" i="53"/>
  <c r="DF82" i="1"/>
  <c r="DF78" i="1"/>
  <c r="CR43" i="53" s="1"/>
  <c r="DF98" i="1"/>
  <c r="DF99" i="1" s="1"/>
  <c r="DF132" i="42"/>
  <c r="DF258" i="1"/>
  <c r="DA258" i="1"/>
  <c r="CQ258" i="1"/>
  <c r="CQ223" i="1"/>
  <c r="CV258" i="1"/>
  <c r="CG138" i="1"/>
  <c r="CG141" i="1" s="1"/>
  <c r="CG142" i="1"/>
  <c r="CG168" i="1"/>
  <c r="CG179" i="1"/>
  <c r="CG181" i="1" s="1"/>
  <c r="CH148" i="1"/>
  <c r="CH161" i="1" s="1"/>
  <c r="DA135" i="42"/>
  <c r="CM41" i="53"/>
  <c r="DA77" i="1"/>
  <c r="CM42" i="53" s="1"/>
  <c r="DA98" i="1"/>
  <c r="DA78" i="1"/>
  <c r="DA82" i="1"/>
  <c r="DA132" i="42"/>
  <c r="CV78" i="1"/>
  <c r="CH43" i="53" s="1"/>
  <c r="CV98" i="1"/>
  <c r="CV77" i="1"/>
  <c r="CH42" i="53" s="1"/>
  <c r="CL175" i="42"/>
  <c r="CL27" i="1"/>
  <c r="CV132" i="42"/>
  <c r="CV82" i="1"/>
  <c r="CH46" i="53" s="1"/>
  <c r="CV135" i="42"/>
  <c r="BS53" i="53"/>
  <c r="BS55" i="53"/>
  <c r="BS58" i="53"/>
  <c r="CL99" i="1"/>
  <c r="BX43" i="53"/>
  <c r="BX44" i="53" s="1"/>
  <c r="BX46" i="53"/>
  <c r="CQ98" i="1"/>
  <c r="CC41" i="53"/>
  <c r="CC42" i="53"/>
  <c r="DF79" i="1" l="1"/>
  <c r="DF83" i="1"/>
  <c r="DF86" i="1" s="1"/>
  <c r="CR46" i="53"/>
  <c r="CQ230" i="1"/>
  <c r="CV230" i="1" s="1"/>
  <c r="DA230" i="1" s="1"/>
  <c r="DF230" i="1" s="1"/>
  <c r="CQ229" i="1"/>
  <c r="CV229" i="1" s="1"/>
  <c r="DA229" i="1" s="1"/>
  <c r="DF229" i="1" s="1"/>
  <c r="DA99" i="1"/>
  <c r="CH168" i="1"/>
  <c r="CH179" i="1"/>
  <c r="CH181" i="1" s="1"/>
  <c r="CG143" i="1"/>
  <c r="CH140" i="1"/>
  <c r="CH141" i="1" s="1"/>
  <c r="CV79" i="1"/>
  <c r="DA83" i="1"/>
  <c r="DA86" i="1" s="1"/>
  <c r="CM46" i="53"/>
  <c r="DA79" i="1"/>
  <c r="CM43" i="53"/>
  <c r="CV99" i="1"/>
  <c r="CL28" i="1"/>
  <c r="CL176" i="42"/>
  <c r="CL177" i="42"/>
  <c r="CL178" i="42" s="1"/>
  <c r="CV83" i="1"/>
  <c r="CH47" i="53" s="1"/>
  <c r="BX49" i="53"/>
  <c r="CL92" i="1"/>
  <c r="CQ99" i="1"/>
  <c r="CC43" i="53"/>
  <c r="BX47" i="53"/>
  <c r="CC46" i="53"/>
  <c r="DF107" i="1" l="1"/>
  <c r="DF109" i="1" s="1"/>
  <c r="CR49" i="53"/>
  <c r="DF92" i="1"/>
  <c r="CR47" i="53"/>
  <c r="CM44" i="53"/>
  <c r="CR44" i="53"/>
  <c r="CR211" i="1"/>
  <c r="CR263" i="1"/>
  <c r="CR270" i="1"/>
  <c r="CR271" i="1" s="1"/>
  <c r="CR272" i="1"/>
  <c r="CQ211" i="1"/>
  <c r="CR264" i="1"/>
  <c r="CQ264" i="1"/>
  <c r="CR259" i="1"/>
  <c r="CR260" i="1" s="1"/>
  <c r="CR261" i="1" s="1"/>
  <c r="CQ263" i="1"/>
  <c r="CQ272" i="1"/>
  <c r="CQ270" i="1"/>
  <c r="CQ271" i="1" s="1"/>
  <c r="CQ259" i="1"/>
  <c r="CQ260" i="1" s="1"/>
  <c r="CQ261" i="1" s="1"/>
  <c r="CI140" i="1"/>
  <c r="CH143" i="1"/>
  <c r="DA92" i="1"/>
  <c r="DA107" i="1"/>
  <c r="DA109" i="1" s="1"/>
  <c r="CM49" i="53"/>
  <c r="CM47" i="53"/>
  <c r="CV86" i="1"/>
  <c r="CC44" i="53"/>
  <c r="CH44" i="53"/>
  <c r="CC47" i="53"/>
  <c r="BX40" i="53"/>
  <c r="BS59" i="53"/>
  <c r="CL96" i="1"/>
  <c r="BX51" i="53"/>
  <c r="BX52" i="53" s="1"/>
  <c r="CL103" i="1"/>
  <c r="CL94" i="1"/>
  <c r="CR51" i="53" l="1"/>
  <c r="DF94" i="1"/>
  <c r="CR53" i="53" s="1"/>
  <c r="DF103" i="1"/>
  <c r="DF96" i="1"/>
  <c r="CQ265" i="1"/>
  <c r="CQ266" i="1" s="1"/>
  <c r="CQ268" i="1" s="1"/>
  <c r="CR265" i="1"/>
  <c r="CR266" i="1" s="1"/>
  <c r="CR268" i="1" s="1"/>
  <c r="CR218" i="1"/>
  <c r="CQ236" i="1"/>
  <c r="DA94" i="1"/>
  <c r="CM53" i="53" s="1"/>
  <c r="DA103" i="1"/>
  <c r="CQ218" i="1"/>
  <c r="CH49" i="53"/>
  <c r="CV107" i="1"/>
  <c r="CV109" i="1" s="1"/>
  <c r="CM51" i="53"/>
  <c r="BX53" i="53"/>
  <c r="CV92" i="1"/>
  <c r="BS60" i="53"/>
  <c r="BS61" i="53"/>
  <c r="CC49" i="53"/>
  <c r="CQ92" i="1"/>
  <c r="BT59" i="53"/>
  <c r="CR52" i="53" l="1"/>
  <c r="CR236" i="1"/>
  <c r="DA96" i="1"/>
  <c r="CH51" i="53"/>
  <c r="CM52" i="53" s="1"/>
  <c r="CV103" i="1"/>
  <c r="CV94" i="1"/>
  <c r="CH53" i="53" s="1"/>
  <c r="CV96" i="1"/>
  <c r="CQ94" i="1"/>
  <c r="CC51" i="53"/>
  <c r="CQ96" i="1"/>
  <c r="CQ103" i="1"/>
  <c r="BT61" i="53"/>
  <c r="BT60" i="53"/>
  <c r="CC53" i="53" l="1"/>
  <c r="CC52" i="53"/>
  <c r="CH52" i="53"/>
  <c r="CJ81" i="1" l="1"/>
  <c r="CJ295" i="1" s="1"/>
  <c r="BU45" i="53"/>
  <c r="CJ296" i="1" l="1"/>
  <c r="CJ288" i="1"/>
  <c r="CJ289" i="1" s="1"/>
  <c r="BV45" i="53"/>
  <c r="BU59" i="53" l="1"/>
  <c r="BV59" i="53" l="1"/>
  <c r="BU60" i="53"/>
  <c r="BV60" i="53" l="1"/>
  <c r="CJ394" i="42" l="1"/>
  <c r="CO396" i="42" l="1"/>
  <c r="CO28" i="42"/>
  <c r="CJ395" i="42"/>
  <c r="CJ399" i="42" s="1"/>
  <c r="CI395" i="42"/>
  <c r="CI399" i="42" s="1"/>
  <c r="CO394" i="42" l="1"/>
  <c r="CO395" i="42" s="1"/>
  <c r="CO399" i="42" s="1"/>
  <c r="CO391" i="42"/>
  <c r="BZ14" i="53"/>
  <c r="BZ17" i="53" l="1"/>
  <c r="CT396" i="42"/>
  <c r="CX391" i="42"/>
  <c r="CJ14" i="53" s="1"/>
  <c r="CX394" i="42"/>
  <c r="CO389" i="42"/>
  <c r="CT392" i="42" s="1"/>
  <c r="CN390" i="42"/>
  <c r="CN12" i="42"/>
  <c r="CO26" i="42"/>
  <c r="CN27" i="42"/>
  <c r="CN31" i="42" s="1"/>
  <c r="CE14" i="53"/>
  <c r="CO22" i="42"/>
  <c r="BZ22" i="53"/>
  <c r="CA14" i="53"/>
  <c r="CO16" i="42"/>
  <c r="CS395" i="42"/>
  <c r="CS399" i="42" s="1"/>
  <c r="CT394" i="42"/>
  <c r="CX28" i="42" l="1"/>
  <c r="CO435" i="42"/>
  <c r="CO436" i="42" s="1"/>
  <c r="CO439" i="42"/>
  <c r="CO440" i="42" s="1"/>
  <c r="CO430" i="42"/>
  <c r="CO431" i="42" s="1"/>
  <c r="CO443" i="42"/>
  <c r="CO444" i="42" s="1"/>
  <c r="CT391" i="42"/>
  <c r="CN392" i="42"/>
  <c r="CO392" i="42" s="1"/>
  <c r="DC391" i="42"/>
  <c r="CO14" i="53" s="1"/>
  <c r="DC394" i="42"/>
  <c r="CA17" i="53"/>
  <c r="CA22" i="53"/>
  <c r="CX389" i="42"/>
  <c r="CX395" i="42"/>
  <c r="CY394" i="42"/>
  <c r="CY395" i="42" s="1"/>
  <c r="CX26" i="42"/>
  <c r="CT395" i="42"/>
  <c r="CT399" i="42" s="1"/>
  <c r="CY396" i="42"/>
  <c r="CT389" i="42"/>
  <c r="CS12" i="42"/>
  <c r="CN14" i="42"/>
  <c r="CO12" i="42"/>
  <c r="CN12" i="1"/>
  <c r="CT26" i="42"/>
  <c r="CS27" i="42"/>
  <c r="CS31" i="42" s="1"/>
  <c r="CO27" i="42"/>
  <c r="CO31" i="42" s="1"/>
  <c r="CT28" i="42"/>
  <c r="CO390" i="42"/>
  <c r="CT430" i="42" l="1"/>
  <c r="CT431" i="42" s="1"/>
  <c r="CT435" i="42"/>
  <c r="CT436" i="42" s="1"/>
  <c r="CT439" i="42"/>
  <c r="CT440" i="42" s="1"/>
  <c r="CT443" i="42"/>
  <c r="CT444" i="42" s="1"/>
  <c r="CN156" i="42"/>
  <c r="CN160" i="42"/>
  <c r="CN147" i="42"/>
  <c r="CN152" i="42"/>
  <c r="DH391" i="42"/>
  <c r="CT14" i="53" s="1"/>
  <c r="DH394" i="42"/>
  <c r="CF14" i="53"/>
  <c r="CY28" i="42"/>
  <c r="DC395" i="42"/>
  <c r="DD394" i="42"/>
  <c r="DC26" i="42"/>
  <c r="DD396" i="42"/>
  <c r="DC389" i="42"/>
  <c r="DC28" i="42"/>
  <c r="CN49" i="42"/>
  <c r="CY399" i="42"/>
  <c r="CY392" i="42"/>
  <c r="CY391" i="42"/>
  <c r="CK14" i="53" s="1"/>
  <c r="CX27" i="42"/>
  <c r="CX31" i="42" s="1"/>
  <c r="CY26" i="42"/>
  <c r="CX12" i="42"/>
  <c r="CX390" i="42"/>
  <c r="CY389" i="42"/>
  <c r="DD391" i="42" s="1"/>
  <c r="CP14" i="53" s="1"/>
  <c r="BZ13" i="53"/>
  <c r="CN14" i="1"/>
  <c r="CT12" i="42"/>
  <c r="CS12" i="1"/>
  <c r="CS14" i="42"/>
  <c r="CN15" i="42"/>
  <c r="CN20" i="42"/>
  <c r="CO14" i="42"/>
  <c r="CO12" i="1"/>
  <c r="CT27" i="42"/>
  <c r="CT31" i="42" s="1"/>
  <c r="CT390" i="42"/>
  <c r="CS156" i="42" l="1"/>
  <c r="CS157" i="42" s="1"/>
  <c r="CS147" i="42"/>
  <c r="CS148" i="42" s="1"/>
  <c r="CS152" i="42"/>
  <c r="CS153" i="42" s="1"/>
  <c r="CS160" i="42"/>
  <c r="CS161" i="42" s="1"/>
  <c r="DH389" i="42"/>
  <c r="DI389" i="42" s="1"/>
  <c r="DD395" i="42"/>
  <c r="DD399" i="42" s="1"/>
  <c r="DI396" i="42"/>
  <c r="DH395" i="42"/>
  <c r="DI394" i="42"/>
  <c r="DI395" i="42" s="1"/>
  <c r="DH26" i="42"/>
  <c r="DI26" i="42" s="1"/>
  <c r="DD26" i="42"/>
  <c r="DD27" i="42" s="1"/>
  <c r="DH28" i="42"/>
  <c r="CS49" i="42"/>
  <c r="CE17" i="53"/>
  <c r="CX16" i="42"/>
  <c r="CJ17" i="53" s="1"/>
  <c r="CO152" i="42"/>
  <c r="CO153" i="42" s="1"/>
  <c r="CO160" i="42"/>
  <c r="CO161" i="42" s="1"/>
  <c r="CO147" i="42"/>
  <c r="CO148" i="42" s="1"/>
  <c r="CO156" i="42"/>
  <c r="CO157" i="42" s="1"/>
  <c r="DC27" i="42"/>
  <c r="DC31" i="42" s="1"/>
  <c r="DC12" i="42"/>
  <c r="DD389" i="42"/>
  <c r="DC390" i="42"/>
  <c r="DD392" i="42"/>
  <c r="CY27" i="42"/>
  <c r="CY31" i="42" s="1"/>
  <c r="DD28" i="42"/>
  <c r="CO49" i="42"/>
  <c r="CN17" i="42"/>
  <c r="CX12" i="1"/>
  <c r="CY12" i="42"/>
  <c r="CX14" i="42"/>
  <c r="CY390" i="42"/>
  <c r="CO14" i="1"/>
  <c r="CA13" i="53"/>
  <c r="CE13" i="53"/>
  <c r="CS14" i="1"/>
  <c r="CT12" i="1"/>
  <c r="BZ16" i="53"/>
  <c r="CN17" i="1"/>
  <c r="CO15" i="42"/>
  <c r="CT16" i="42"/>
  <c r="CO20" i="42"/>
  <c r="CN21" i="42"/>
  <c r="CN23" i="42" s="1"/>
  <c r="CT14" i="42"/>
  <c r="CS15" i="42"/>
  <c r="DH12" i="42" l="1"/>
  <c r="DH14" i="42" s="1"/>
  <c r="CT156" i="42"/>
  <c r="CT157" i="42" s="1"/>
  <c r="CT160" i="42"/>
  <c r="CT161" i="42" s="1"/>
  <c r="CT152" i="42"/>
  <c r="CT153" i="42" s="1"/>
  <c r="CT147" i="42"/>
  <c r="CT148" i="42" s="1"/>
  <c r="DH390" i="42"/>
  <c r="DI399" i="42"/>
  <c r="DI27" i="42"/>
  <c r="DH27" i="42"/>
  <c r="DH31" i="42" s="1"/>
  <c r="DI28" i="42"/>
  <c r="DI14" i="42"/>
  <c r="DI392" i="42"/>
  <c r="DI391" i="42"/>
  <c r="CU14" i="53" s="1"/>
  <c r="DI390" i="42"/>
  <c r="DH12" i="1"/>
  <c r="DI12" i="42"/>
  <c r="DI12" i="1" s="1"/>
  <c r="CT49" i="42"/>
  <c r="CS17" i="42"/>
  <c r="CY16" i="42"/>
  <c r="CK17" i="53" s="1"/>
  <c r="CF17" i="53"/>
  <c r="DD390" i="42"/>
  <c r="DC12" i="1"/>
  <c r="DD12" i="42"/>
  <c r="DD12" i="1" s="1"/>
  <c r="DC14" i="42"/>
  <c r="DD31" i="42"/>
  <c r="DC16" i="42"/>
  <c r="CO17" i="53" s="1"/>
  <c r="CN58" i="1"/>
  <c r="CY12" i="1"/>
  <c r="CO21" i="42"/>
  <c r="CO23" i="42" s="1"/>
  <c r="CX14" i="1"/>
  <c r="CJ13" i="53"/>
  <c r="CX15" i="42"/>
  <c r="CX17" i="42" s="1"/>
  <c r="CY14" i="42"/>
  <c r="CO17" i="42"/>
  <c r="CF13" i="53"/>
  <c r="CT14" i="1"/>
  <c r="CE16" i="53"/>
  <c r="CE22" i="53"/>
  <c r="CT22" i="42"/>
  <c r="CO17" i="1"/>
  <c r="CA16" i="53"/>
  <c r="CT15" i="42"/>
  <c r="CK13" i="53" l="1"/>
  <c r="DI31" i="42"/>
  <c r="CU13" i="53"/>
  <c r="DI14" i="1"/>
  <c r="CU16" i="53" s="1"/>
  <c r="CT13" i="53"/>
  <c r="DH14" i="1"/>
  <c r="CT16" i="53" s="1"/>
  <c r="DH16" i="42"/>
  <c r="CT17" i="53" s="1"/>
  <c r="DH15" i="42"/>
  <c r="CF22" i="53"/>
  <c r="CS222" i="1"/>
  <c r="CS228" i="1" s="1"/>
  <c r="CX228" i="1" s="1"/>
  <c r="DC228" i="1" s="1"/>
  <c r="DH228" i="1" s="1"/>
  <c r="CS274" i="1"/>
  <c r="CV222" i="1"/>
  <c r="CW222" i="1"/>
  <c r="DD14" i="42"/>
  <c r="DC15" i="42"/>
  <c r="DC17" i="42" s="1"/>
  <c r="CP13" i="53"/>
  <c r="DD14" i="1"/>
  <c r="CO13" i="53"/>
  <c r="DC14" i="1"/>
  <c r="DD16" i="42"/>
  <c r="CP17" i="53" s="1"/>
  <c r="CO63" i="1"/>
  <c r="BZ21" i="53"/>
  <c r="CY14" i="1"/>
  <c r="CJ16" i="53"/>
  <c r="CY15" i="42"/>
  <c r="CY17" i="42" s="1"/>
  <c r="BZ23" i="53"/>
  <c r="CO57" i="1"/>
  <c r="CS58" i="1"/>
  <c r="CE21" i="53"/>
  <c r="CT17" i="42"/>
  <c r="CF16" i="53"/>
  <c r="DH17" i="42" l="1"/>
  <c r="DI15" i="42"/>
  <c r="DI16" i="42"/>
  <c r="CU17" i="53" s="1"/>
  <c r="CS253" i="1"/>
  <c r="CT222" i="1"/>
  <c r="CW187" i="1"/>
  <c r="CW242" i="1"/>
  <c r="CS242" i="1"/>
  <c r="CU242" i="1"/>
  <c r="CO253" i="1"/>
  <c r="CO255" i="1" s="1"/>
  <c r="CO256" i="1" s="1"/>
  <c r="CO327" i="1"/>
  <c r="CO333" i="1"/>
  <c r="CO274" i="1"/>
  <c r="CO242" i="1"/>
  <c r="CO231" i="1"/>
  <c r="CV187" i="1"/>
  <c r="CV242" i="1"/>
  <c r="CR114" i="1"/>
  <c r="DD15" i="42"/>
  <c r="DD17" i="42" s="1"/>
  <c r="CP16" i="53"/>
  <c r="CO16" i="53"/>
  <c r="BZ27" i="53"/>
  <c r="CN64" i="1"/>
  <c r="CO67" i="1"/>
  <c r="BZ29" i="53"/>
  <c r="CN68" i="1"/>
  <c r="CN71" i="1"/>
  <c r="CK16" i="53"/>
  <c r="CO65" i="1"/>
  <c r="CA27" i="53"/>
  <c r="CO64" i="1"/>
  <c r="CE23" i="53"/>
  <c r="CO58" i="1"/>
  <c r="CA21" i="53"/>
  <c r="CE27" i="53"/>
  <c r="CT63" i="1"/>
  <c r="CE29" i="53"/>
  <c r="CT67" i="1"/>
  <c r="DI17" i="42" l="1"/>
  <c r="CS72" i="1"/>
  <c r="BZ30" i="53"/>
  <c r="CS474" i="42"/>
  <c r="CT111" i="1"/>
  <c r="CE30" i="53"/>
  <c r="CN474" i="42"/>
  <c r="CN473" i="42" s="1"/>
  <c r="CV114" i="1"/>
  <c r="BZ28" i="53"/>
  <c r="CT187" i="1"/>
  <c r="CS273" i="1"/>
  <c r="CS254" i="1"/>
  <c r="CS255" i="1" s="1"/>
  <c r="CS256" i="1" s="1"/>
  <c r="CV273" i="1"/>
  <c r="CW254" i="1"/>
  <c r="CW255" i="1" s="1"/>
  <c r="CW256" i="1" s="1"/>
  <c r="CU273" i="1"/>
  <c r="CV254" i="1"/>
  <c r="CV255" i="1" s="1"/>
  <c r="CV256" i="1" s="1"/>
  <c r="CW273" i="1"/>
  <c r="CW114" i="1"/>
  <c r="CN72" i="1"/>
  <c r="CO69" i="1"/>
  <c r="CO70" i="1" s="1"/>
  <c r="CO71" i="1"/>
  <c r="CA29" i="53"/>
  <c r="CO68" i="1"/>
  <c r="CA30" i="53" s="1"/>
  <c r="BZ31" i="53"/>
  <c r="CN73" i="1"/>
  <c r="CT68" i="1"/>
  <c r="CF30" i="53" s="1"/>
  <c r="CF29" i="53"/>
  <c r="CE31" i="53"/>
  <c r="CA23" i="53"/>
  <c r="CO66" i="1"/>
  <c r="CF27" i="53"/>
  <c r="CT64" i="1"/>
  <c r="CT71" i="1"/>
  <c r="CA28" i="53"/>
  <c r="CE28" i="53"/>
  <c r="CN74" i="1" l="1"/>
  <c r="CS74" i="1"/>
  <c r="CS473" i="42"/>
  <c r="CT254" i="1"/>
  <c r="CU254" i="1"/>
  <c r="CU255" i="1" s="1"/>
  <c r="CU256" i="1" s="1"/>
  <c r="CT273" i="1"/>
  <c r="CT228" i="1"/>
  <c r="CU114" i="1"/>
  <c r="CT114" i="1"/>
  <c r="CS167" i="42"/>
  <c r="CO73" i="1"/>
  <c r="CO74" i="1" s="1"/>
  <c r="CO72" i="1"/>
  <c r="CA31" i="53"/>
  <c r="CT72" i="1"/>
  <c r="CF31" i="53"/>
  <c r="CN476" i="42"/>
  <c r="CO475" i="42"/>
  <c r="CN167" i="42"/>
  <c r="CF28" i="53"/>
  <c r="CO473" i="42" l="1"/>
  <c r="CO474" i="42" s="1"/>
  <c r="CT475" i="42"/>
  <c r="CN24" i="1"/>
  <c r="CO167" i="42"/>
  <c r="CO476" i="42"/>
  <c r="CT167" i="42"/>
  <c r="CS24" i="1"/>
  <c r="CT473" i="42" l="1"/>
  <c r="CT474" i="42" s="1"/>
  <c r="CT476" i="42"/>
  <c r="CT24" i="1"/>
  <c r="CF37" i="53" s="1"/>
  <c r="CY475" i="42"/>
  <c r="CX167" i="42"/>
  <c r="CX24" i="1" s="1"/>
  <c r="CO24" i="1"/>
  <c r="CA37" i="53" s="1"/>
  <c r="BZ37" i="53"/>
  <c r="CE37" i="53"/>
  <c r="DD475" i="42" l="1"/>
  <c r="DI476" i="42" s="1"/>
  <c r="DC167" i="42"/>
  <c r="DC24" i="1" s="1"/>
  <c r="CO37" i="53" s="1"/>
  <c r="CY476" i="42"/>
  <c r="CY167" i="42"/>
  <c r="CY24" i="1" s="1"/>
  <c r="CK37" i="53" s="1"/>
  <c r="CJ37" i="53"/>
  <c r="DD476" i="42" l="1"/>
  <c r="DD167" i="42"/>
  <c r="DD24" i="1" s="1"/>
  <c r="CP37" i="53" s="1"/>
  <c r="CJ553" i="42" l="1"/>
  <c r="CO553" i="42"/>
  <c r="CI555" i="42"/>
  <c r="CN556" i="42" s="1"/>
  <c r="CI173" i="42"/>
  <c r="CJ555" i="42" l="1"/>
  <c r="CJ556" i="42" s="1"/>
  <c r="CO554" i="42"/>
  <c r="CO555" i="42"/>
  <c r="CI556" i="42"/>
  <c r="CI26" i="1"/>
  <c r="CJ554" i="42"/>
  <c r="CI554" i="42"/>
  <c r="CJ173" i="42"/>
  <c r="CN173" i="42"/>
  <c r="CO556" i="42" l="1"/>
  <c r="BU39" i="53"/>
  <c r="CJ26" i="1"/>
  <c r="CN26" i="1"/>
  <c r="CO173" i="42"/>
  <c r="CS554" i="42"/>
  <c r="CS173" i="42"/>
  <c r="CO26" i="1" l="1"/>
  <c r="CA39" i="53" s="1"/>
  <c r="CS26" i="1"/>
  <c r="BZ39" i="53"/>
  <c r="BV39" i="53"/>
  <c r="CE39" i="53" l="1"/>
  <c r="BU24" i="53" l="1"/>
  <c r="CI133" i="42"/>
  <c r="CI134" i="42" s="1"/>
  <c r="CI76" i="1"/>
  <c r="CI135" i="42" l="1"/>
  <c r="CI78" i="1"/>
  <c r="CI582" i="42"/>
  <c r="BU41" i="53"/>
  <c r="CI77" i="1"/>
  <c r="CI98" i="1"/>
  <c r="CJ59" i="1"/>
  <c r="CJ258" i="1" s="1"/>
  <c r="CJ76" i="1"/>
  <c r="CI132" i="42"/>
  <c r="CI82" i="1"/>
  <c r="CJ260" i="1" l="1"/>
  <c r="CJ261" i="1" s="1"/>
  <c r="CJ263" i="1"/>
  <c r="CJ265" i="1" s="1"/>
  <c r="CJ266" i="1" s="1"/>
  <c r="CI224" i="1"/>
  <c r="CI240" i="1" s="1"/>
  <c r="CJ224" i="1"/>
  <c r="CJ240" i="1" s="1"/>
  <c r="BV61" i="53" s="1"/>
  <c r="CK224" i="1"/>
  <c r="CK240" i="1" s="1"/>
  <c r="CL224" i="1"/>
  <c r="CL240" i="1" s="1"/>
  <c r="CM224" i="1"/>
  <c r="CM240" i="1" s="1"/>
  <c r="CI84" i="1"/>
  <c r="BU48" i="53" s="1"/>
  <c r="BX63" i="53"/>
  <c r="BU61" i="53"/>
  <c r="CI141" i="42"/>
  <c r="CI99" i="1"/>
  <c r="CJ582" i="42"/>
  <c r="CI583" i="42"/>
  <c r="CI174" i="42"/>
  <c r="BU46" i="53"/>
  <c r="CI86" i="1"/>
  <c r="CI79" i="1"/>
  <c r="BU43" i="53"/>
  <c r="CJ132" i="42"/>
  <c r="CJ60" i="1"/>
  <c r="BU42" i="53"/>
  <c r="CJ78" i="1"/>
  <c r="CJ77" i="1"/>
  <c r="BV42" i="53" s="1"/>
  <c r="BV41" i="53"/>
  <c r="CJ82" i="1"/>
  <c r="CJ98" i="1"/>
  <c r="CI225" i="1" l="1"/>
  <c r="CJ225" i="1"/>
  <c r="CK225" i="1"/>
  <c r="CL225" i="1"/>
  <c r="CM225" i="1"/>
  <c r="CJ268" i="1"/>
  <c r="CI107" i="1"/>
  <c r="CI109" i="1" s="1"/>
  <c r="CI145" i="1"/>
  <c r="CI148" i="1" s="1"/>
  <c r="CI161" i="1" s="1"/>
  <c r="BW63" i="53"/>
  <c r="BU49" i="53"/>
  <c r="CI92" i="1"/>
  <c r="CI175" i="42"/>
  <c r="CI27" i="1"/>
  <c r="CJ174" i="42"/>
  <c r="BU62" i="53"/>
  <c r="BV46" i="53"/>
  <c r="BX62" i="53"/>
  <c r="BU44" i="53"/>
  <c r="BU47" i="53"/>
  <c r="CJ83" i="1"/>
  <c r="CJ99" i="1"/>
  <c r="CJ243" i="1" s="1"/>
  <c r="BV43" i="53"/>
  <c r="CJ79" i="1"/>
  <c r="BW62" i="53"/>
  <c r="CJ61" i="1"/>
  <c r="CJ133" i="42"/>
  <c r="CJ134" i="42" s="1"/>
  <c r="BV24" i="53"/>
  <c r="CJ583" i="42"/>
  <c r="CI179" i="1" l="1"/>
  <c r="CI181" i="1" s="1"/>
  <c r="CI168" i="1"/>
  <c r="CI122" i="1"/>
  <c r="CJ109" i="1"/>
  <c r="CJ122" i="1" s="1"/>
  <c r="CJ317" i="1" s="1"/>
  <c r="BY63" i="53"/>
  <c r="BX58" i="53"/>
  <c r="CJ27" i="1"/>
  <c r="BV62" i="53"/>
  <c r="BY62" i="53"/>
  <c r="BV44" i="53"/>
  <c r="BV47" i="53"/>
  <c r="CJ84" i="1"/>
  <c r="CI28" i="1"/>
  <c r="BU40" i="53"/>
  <c r="CI94" i="1"/>
  <c r="BU51" i="53"/>
  <c r="CI96" i="1"/>
  <c r="CI103" i="1"/>
  <c r="CJ135" i="42"/>
  <c r="CJ62" i="1"/>
  <c r="BV26" i="53" s="1"/>
  <c r="BV25" i="53"/>
  <c r="CJ86" i="1"/>
  <c r="CI176" i="42"/>
  <c r="CJ175" i="42"/>
  <c r="CI177" i="42"/>
  <c r="CJ301" i="1" l="1"/>
  <c r="CJ320" i="1" s="1"/>
  <c r="CJ300" i="1"/>
  <c r="CJ319" i="1" s="1"/>
  <c r="CJ322" i="1" s="1"/>
  <c r="CJ324" i="1" s="1"/>
  <c r="CJ107" i="1"/>
  <c r="CJ299" i="1"/>
  <c r="CJ303" i="1" s="1"/>
  <c r="CJ336" i="1"/>
  <c r="CJ138" i="1"/>
  <c r="CJ141" i="1" s="1"/>
  <c r="CJ142" i="1"/>
  <c r="CI138" i="1"/>
  <c r="CI141" i="1" s="1"/>
  <c r="CI142" i="1"/>
  <c r="BU58" i="53" s="1"/>
  <c r="CL180" i="1"/>
  <c r="CM180" i="1"/>
  <c r="CK180" i="1"/>
  <c r="CN180" i="1"/>
  <c r="BX55" i="53"/>
  <c r="CI178" i="42"/>
  <c r="BU55" i="53"/>
  <c r="BU52" i="53"/>
  <c r="BU53" i="53"/>
  <c r="CJ28" i="1"/>
  <c r="BV40" i="53"/>
  <c r="CJ176" i="42"/>
  <c r="CJ177" i="42"/>
  <c r="BV49" i="53"/>
  <c r="CJ92" i="1"/>
  <c r="BV48" i="53"/>
  <c r="CJ312" i="1" l="1"/>
  <c r="CJ331" i="1"/>
  <c r="CJ335" i="1"/>
  <c r="CJ337" i="1"/>
  <c r="CJ326" i="1"/>
  <c r="CJ329" i="1" s="1"/>
  <c r="CJ334" i="1"/>
  <c r="CJ338" i="1"/>
  <c r="CK140" i="1"/>
  <c r="CI143" i="1"/>
  <c r="CO140" i="1"/>
  <c r="CJ143" i="1"/>
  <c r="CJ178" i="42"/>
  <c r="BV51" i="53"/>
  <c r="CJ94" i="1"/>
  <c r="BV53" i="53" s="1"/>
  <c r="CJ103" i="1"/>
  <c r="CJ96" i="1"/>
  <c r="BV58" i="53"/>
  <c r="BV55" i="53"/>
  <c r="BV52" i="53" l="1"/>
  <c r="BU25" i="53" l="1"/>
  <c r="BU26" i="53"/>
  <c r="CN76" i="1" l="1"/>
  <c r="CN78" i="1" s="1"/>
  <c r="CN133" i="42"/>
  <c r="CN134" i="42" s="1"/>
  <c r="CN135" i="42" s="1"/>
  <c r="BZ24" i="53"/>
  <c r="BZ25" i="53"/>
  <c r="CN77" i="1"/>
  <c r="CN141" i="42" l="1"/>
  <c r="CO76" i="1"/>
  <c r="CO78" i="1" s="1"/>
  <c r="CN98" i="1"/>
  <c r="BZ41" i="53"/>
  <c r="BZ42" i="53"/>
  <c r="CN79" i="1"/>
  <c r="BZ43" i="53"/>
  <c r="BZ44" i="53" s="1"/>
  <c r="CN132" i="42"/>
  <c r="CO59" i="1"/>
  <c r="CO258" i="1" s="1"/>
  <c r="CP224" i="1" l="1"/>
  <c r="CR224" i="1"/>
  <c r="CN224" i="1"/>
  <c r="CN240" i="1" s="1"/>
  <c r="CO224" i="1"/>
  <c r="CO240" i="1" s="1"/>
  <c r="CQ224" i="1"/>
  <c r="CO263" i="1"/>
  <c r="CO265" i="1" s="1"/>
  <c r="CO266" i="1" s="1"/>
  <c r="CO260" i="1"/>
  <c r="CO261" i="1" s="1"/>
  <c r="CO98" i="1"/>
  <c r="CO99" i="1" s="1"/>
  <c r="CO243" i="1" s="1"/>
  <c r="CA41" i="53"/>
  <c r="CN99" i="1"/>
  <c r="CO77" i="1"/>
  <c r="CA42" i="53" s="1"/>
  <c r="CO132" i="42"/>
  <c r="CO60" i="1"/>
  <c r="CS76" i="1"/>
  <c r="CE24" i="53"/>
  <c r="CS133" i="42"/>
  <c r="CO79" i="1"/>
  <c r="CA43" i="53"/>
  <c r="CA44" i="53" s="1"/>
  <c r="CR117" i="1"/>
  <c r="CP225" i="1" l="1"/>
  <c r="CR225" i="1"/>
  <c r="CN225" i="1"/>
  <c r="CO225" i="1"/>
  <c r="CQ225" i="1"/>
  <c r="CT223" i="1"/>
  <c r="CS223" i="1"/>
  <c r="CS258" i="1"/>
  <c r="CV223" i="1"/>
  <c r="CW223" i="1"/>
  <c r="CO268" i="1"/>
  <c r="CR115" i="1"/>
  <c r="CR119" i="1" s="1"/>
  <c r="CD63" i="53"/>
  <c r="CS78" i="1"/>
  <c r="CE41" i="53"/>
  <c r="CS98" i="1"/>
  <c r="CU224" i="1" s="1"/>
  <c r="CS77" i="1"/>
  <c r="CS82" i="1"/>
  <c r="CT76" i="1"/>
  <c r="CT59" i="1"/>
  <c r="CT258" i="1" s="1"/>
  <c r="CS132" i="42"/>
  <c r="CB63" i="53"/>
  <c r="CO133" i="42"/>
  <c r="CO134" i="42" s="1"/>
  <c r="CO135" i="42" s="1"/>
  <c r="CO61" i="1"/>
  <c r="CA24" i="53"/>
  <c r="CC63" i="53"/>
  <c r="CS230" i="1" l="1"/>
  <c r="CX230" i="1" s="1"/>
  <c r="DC230" i="1" s="1"/>
  <c r="DH230" i="1" s="1"/>
  <c r="CS229" i="1"/>
  <c r="CX229" i="1" s="1"/>
  <c r="DC229" i="1" s="1"/>
  <c r="DH229" i="1" s="1"/>
  <c r="CS84" i="1"/>
  <c r="CE48" i="53" s="1"/>
  <c r="CE42" i="53"/>
  <c r="CR120" i="1"/>
  <c r="CW188" i="1"/>
  <c r="CW205" i="1"/>
  <c r="CV188" i="1"/>
  <c r="CV205" i="1"/>
  <c r="CS224" i="1"/>
  <c r="CT224" i="1"/>
  <c r="CV224" i="1"/>
  <c r="CW224" i="1"/>
  <c r="CT117" i="1"/>
  <c r="BZ63" i="53"/>
  <c r="CA63" i="53"/>
  <c r="CE46" i="53"/>
  <c r="CD62" i="53"/>
  <c r="BZ62" i="53"/>
  <c r="CS79" i="1"/>
  <c r="CE43" i="53"/>
  <c r="CC62" i="53"/>
  <c r="CS99" i="1"/>
  <c r="CU225" i="1" s="1"/>
  <c r="CO62" i="1"/>
  <c r="CA26" i="53" s="1"/>
  <c r="CA25" i="53"/>
  <c r="CT132" i="42"/>
  <c r="CF41" i="53"/>
  <c r="CT77" i="1"/>
  <c r="CF42" i="53" s="1"/>
  <c r="CT82" i="1"/>
  <c r="CT98" i="1"/>
  <c r="CT120" i="1" l="1"/>
  <c r="CR122" i="1"/>
  <c r="CW115" i="1"/>
  <c r="CV115" i="1"/>
  <c r="CU270" i="1"/>
  <c r="CU271" i="1" s="1"/>
  <c r="CU272" i="1"/>
  <c r="CV259" i="1"/>
  <c r="CV260" i="1" s="1"/>
  <c r="CV261" i="1" s="1"/>
  <c r="CV211" i="1"/>
  <c r="CW264" i="1"/>
  <c r="CW211" i="1"/>
  <c r="CV263" i="1"/>
  <c r="CW259" i="1"/>
  <c r="CW260" i="1" s="1"/>
  <c r="CW261" i="1" s="1"/>
  <c r="CV270" i="1"/>
  <c r="CV271" i="1" s="1"/>
  <c r="CV272" i="1"/>
  <c r="CH63" i="53" s="1"/>
  <c r="CW117" i="1"/>
  <c r="CS263" i="1"/>
  <c r="CT188" i="1"/>
  <c r="CS270" i="1"/>
  <c r="CS271" i="1" s="1"/>
  <c r="CS272" i="1"/>
  <c r="CS259" i="1"/>
  <c r="CS260" i="1" s="1"/>
  <c r="CS261" i="1" s="1"/>
  <c r="CW263" i="1"/>
  <c r="CW270" i="1"/>
  <c r="CW271" i="1" s="1"/>
  <c r="CW272" i="1"/>
  <c r="CI63" i="53" s="1"/>
  <c r="CT115" i="1"/>
  <c r="CT119" i="1" s="1"/>
  <c r="CT318" i="1" s="1"/>
  <c r="CV264" i="1"/>
  <c r="CU211" i="1"/>
  <c r="CT225" i="1"/>
  <c r="CS225" i="1"/>
  <c r="CW225" i="1"/>
  <c r="CV225" i="1"/>
  <c r="CS211" i="1"/>
  <c r="CT205" i="1"/>
  <c r="CU117" i="1" s="1"/>
  <c r="CS264" i="1"/>
  <c r="CV117" i="1"/>
  <c r="CE44" i="53"/>
  <c r="CT83" i="1"/>
  <c r="CT86" i="1" s="1"/>
  <c r="CE47" i="53"/>
  <c r="CT99" i="1"/>
  <c r="CD55" i="53"/>
  <c r="CB62" i="53"/>
  <c r="CF46" i="53"/>
  <c r="CS86" i="1"/>
  <c r="CA62" i="53"/>
  <c r="CS107" i="1" l="1"/>
  <c r="CS109" i="1" s="1"/>
  <c r="CS122" i="1" s="1"/>
  <c r="CS145" i="1"/>
  <c r="CS148" i="1" s="1"/>
  <c r="CS161" i="1" s="1"/>
  <c r="CG63" i="53"/>
  <c r="CE63" i="53"/>
  <c r="CS236" i="1"/>
  <c r="CR142" i="1"/>
  <c r="CD58" i="53" s="1"/>
  <c r="CR138" i="1"/>
  <c r="CW119" i="1"/>
  <c r="CW122" i="1" s="1"/>
  <c r="CW138" i="1" s="1"/>
  <c r="CS265" i="1"/>
  <c r="CS266" i="1" s="1"/>
  <c r="CS268" i="1" s="1"/>
  <c r="CV119" i="1"/>
  <c r="CV122" i="1" s="1"/>
  <c r="CV138" i="1" s="1"/>
  <c r="CV265" i="1"/>
  <c r="CV266" i="1" s="1"/>
  <c r="CV268" i="1" s="1"/>
  <c r="CT229" i="1"/>
  <c r="CT259" i="1"/>
  <c r="CT260" i="1" s="1"/>
  <c r="CT261" i="1" s="1"/>
  <c r="CT270" i="1"/>
  <c r="CT271" i="1" s="1"/>
  <c r="CT272" i="1"/>
  <c r="CF63" i="53" s="1"/>
  <c r="CU259" i="1"/>
  <c r="CU260" i="1" s="1"/>
  <c r="CU261" i="1" s="1"/>
  <c r="CT263" i="1"/>
  <c r="CT107" i="1"/>
  <c r="CT299" i="1"/>
  <c r="CP192" i="1"/>
  <c r="CP239" i="1"/>
  <c r="CT230" i="1"/>
  <c r="CT211" i="1"/>
  <c r="CU264" i="1"/>
  <c r="CT264" i="1"/>
  <c r="CW265" i="1"/>
  <c r="CW266" i="1" s="1"/>
  <c r="CW268" i="1" s="1"/>
  <c r="CU263" i="1"/>
  <c r="CU115" i="1"/>
  <c r="CI62" i="53"/>
  <c r="CH62" i="53"/>
  <c r="CC55" i="53"/>
  <c r="CC58" i="53"/>
  <c r="CE62" i="53"/>
  <c r="CS92" i="1"/>
  <c r="CE49" i="53"/>
  <c r="CF49" i="53"/>
  <c r="CT92" i="1"/>
  <c r="CT84" i="1"/>
  <c r="CF47" i="53"/>
  <c r="CS168" i="1" l="1"/>
  <c r="CS179" i="1"/>
  <c r="CS138" i="1"/>
  <c r="CS142" i="1"/>
  <c r="CT216" i="1"/>
  <c r="CT336" i="1" s="1"/>
  <c r="CS218" i="1"/>
  <c r="CT109" i="1"/>
  <c r="CT122" i="1" s="1"/>
  <c r="CT317" i="1" s="1"/>
  <c r="CW142" i="1"/>
  <c r="CV142" i="1"/>
  <c r="CT265" i="1"/>
  <c r="CT266" i="1" s="1"/>
  <c r="CU265" i="1"/>
  <c r="CU266" i="1" s="1"/>
  <c r="CU268" i="1" s="1"/>
  <c r="CP240" i="1"/>
  <c r="CP241" i="1"/>
  <c r="CT300" i="1"/>
  <c r="CT319" i="1" s="1"/>
  <c r="CT301" i="1"/>
  <c r="CT320" i="1" s="1"/>
  <c r="CQ192" i="1"/>
  <c r="CQ239" i="1"/>
  <c r="CP234" i="1"/>
  <c r="CP276" i="1"/>
  <c r="CP277" i="1" s="1"/>
  <c r="CP235" i="1"/>
  <c r="CU119" i="1"/>
  <c r="CG62" i="53"/>
  <c r="CI55" i="53"/>
  <c r="CH55" i="53"/>
  <c r="CF48" i="53"/>
  <c r="CS94" i="1"/>
  <c r="CS103" i="1"/>
  <c r="CE51" i="53"/>
  <c r="CF62" i="53"/>
  <c r="CB58" i="53"/>
  <c r="CB55" i="53"/>
  <c r="CT94" i="1"/>
  <c r="CF53" i="53" s="1"/>
  <c r="CT103" i="1"/>
  <c r="CF51" i="53"/>
  <c r="CT218" i="1" l="1"/>
  <c r="CT236" i="1"/>
  <c r="CT138" i="1"/>
  <c r="CT142" i="1"/>
  <c r="CE53" i="53"/>
  <c r="CR291" i="1"/>
  <c r="CT322" i="1"/>
  <c r="CT303" i="1"/>
  <c r="CT335" i="1" s="1"/>
  <c r="CQ240" i="1"/>
  <c r="CQ241" i="1"/>
  <c r="CQ234" i="1"/>
  <c r="CQ235" i="1"/>
  <c r="CQ276" i="1"/>
  <c r="CQ277" i="1" s="1"/>
  <c r="CR192" i="1"/>
  <c r="CR239" i="1"/>
  <c r="CV216" i="1"/>
  <c r="CU236" i="1"/>
  <c r="CU218" i="1"/>
  <c r="CH58" i="53"/>
  <c r="CI58" i="53"/>
  <c r="CE55" i="53"/>
  <c r="CE58" i="53"/>
  <c r="CS291" i="1" l="1"/>
  <c r="CS293" i="1" s="1"/>
  <c r="CR288" i="1"/>
  <c r="CR289" i="1" s="1"/>
  <c r="CR293" i="1"/>
  <c r="CW216" i="1"/>
  <c r="CV236" i="1"/>
  <c r="CV218" i="1"/>
  <c r="CR241" i="1"/>
  <c r="CR240" i="1"/>
  <c r="CR234" i="1"/>
  <c r="CR235" i="1"/>
  <c r="CR276" i="1"/>
  <c r="CR277" i="1" s="1"/>
  <c r="CS192" i="1"/>
  <c r="CT185" i="1"/>
  <c r="CS239" i="1"/>
  <c r="CF58" i="53"/>
  <c r="CF55" i="53"/>
  <c r="CT291" i="1" l="1"/>
  <c r="CU120" i="1"/>
  <c r="CS241" i="1"/>
  <c r="CS240" i="1"/>
  <c r="CT192" i="1"/>
  <c r="CT239" i="1"/>
  <c r="CS235" i="1"/>
  <c r="CS234" i="1"/>
  <c r="CS276" i="1"/>
  <c r="CS277" i="1" s="1"/>
  <c r="CW236" i="1"/>
  <c r="CW218" i="1"/>
  <c r="CY120" i="1" l="1"/>
  <c r="CU122" i="1"/>
  <c r="CS288" i="1"/>
  <c r="CS289" i="1" s="1"/>
  <c r="CT292" i="1"/>
  <c r="CT293" i="1" s="1"/>
  <c r="CU291" i="1"/>
  <c r="CT243" i="1"/>
  <c r="CT240" i="1"/>
  <c r="CT241" i="1"/>
  <c r="CV185" i="1"/>
  <c r="CV291" i="1" s="1"/>
  <c r="CU192" i="1"/>
  <c r="CU239" i="1"/>
  <c r="CT234" i="1"/>
  <c r="CT235" i="1"/>
  <c r="CT276" i="1"/>
  <c r="CT277" i="1" s="1"/>
  <c r="CU138" i="1" l="1"/>
  <c r="CU142" i="1"/>
  <c r="CG58" i="53" s="1"/>
  <c r="CG55" i="53"/>
  <c r="CU288" i="1"/>
  <c r="CU289" i="1" s="1"/>
  <c r="CU293" i="1"/>
  <c r="CV293" i="1" s="1"/>
  <c r="CW293" i="1" s="1"/>
  <c r="CX293" i="1" s="1"/>
  <c r="CZ293" i="1" s="1"/>
  <c r="DA293" i="1" s="1"/>
  <c r="DB293" i="1" s="1"/>
  <c r="DC293" i="1" s="1"/>
  <c r="DE293" i="1" s="1"/>
  <c r="DF293" i="1" s="1"/>
  <c r="DG293" i="1" s="1"/>
  <c r="DH293" i="1" s="1"/>
  <c r="CT288" i="1"/>
  <c r="CT289" i="1" s="1"/>
  <c r="CU241" i="1"/>
  <c r="CU240" i="1"/>
  <c r="CU234" i="1"/>
  <c r="CU235" i="1"/>
  <c r="CU276" i="1"/>
  <c r="CU277" i="1" s="1"/>
  <c r="CV192" i="1"/>
  <c r="CW185" i="1"/>
  <c r="CV239" i="1"/>
  <c r="CV292" i="1" l="1"/>
  <c r="CV288" i="1" s="1"/>
  <c r="CV289" i="1" s="1"/>
  <c r="CW291" i="1"/>
  <c r="CW292" i="1" s="1"/>
  <c r="CW288" i="1" s="1"/>
  <c r="CW289" i="1" s="1"/>
  <c r="CV241" i="1"/>
  <c r="CV240" i="1"/>
  <c r="CW192" i="1"/>
  <c r="CW239" i="1"/>
  <c r="CV234" i="1"/>
  <c r="CV235" i="1"/>
  <c r="CV276" i="1"/>
  <c r="CV277" i="1" s="1"/>
  <c r="CW234" i="1" l="1"/>
  <c r="CW235" i="1"/>
  <c r="CW276" i="1"/>
  <c r="CW277" i="1" s="1"/>
  <c r="CW240" i="1"/>
  <c r="CW241" i="1"/>
  <c r="CK82" i="1" l="1"/>
  <c r="CK84" i="1" l="1"/>
  <c r="BW48" i="53" s="1"/>
  <c r="BW46" i="53"/>
  <c r="CK86" i="1"/>
  <c r="BW45" i="53"/>
  <c r="CK107" i="1" l="1"/>
  <c r="CK109" i="1" s="1"/>
  <c r="CK145" i="1"/>
  <c r="CK92" i="1"/>
  <c r="BW49" i="53"/>
  <c r="BW47" i="53"/>
  <c r="CK103" i="1" l="1"/>
  <c r="CK148" i="1"/>
  <c r="CK161" i="1" s="1"/>
  <c r="CL145" i="1"/>
  <c r="CK122" i="1"/>
  <c r="CK94" i="1"/>
  <c r="CK96" i="1"/>
  <c r="BW51" i="53"/>
  <c r="CP96" i="1"/>
  <c r="CK138" i="1" l="1"/>
  <c r="CK141" i="1" s="1"/>
  <c r="CK142" i="1"/>
  <c r="BW58" i="53" s="1"/>
  <c r="CL148" i="1"/>
  <c r="CL161" i="1" s="1"/>
  <c r="CK179" i="1"/>
  <c r="CK181" i="1" s="1"/>
  <c r="CK168" i="1"/>
  <c r="BW52" i="53"/>
  <c r="CB52" i="53"/>
  <c r="BW53" i="53"/>
  <c r="BW55" i="53"/>
  <c r="CL179" i="1" l="1"/>
  <c r="CL181" i="1" s="1"/>
  <c r="CL168" i="1"/>
  <c r="CL140" i="1"/>
  <c r="CL141" i="1" s="1"/>
  <c r="CK143" i="1"/>
  <c r="CM140" i="1" l="1"/>
  <c r="CL143" i="1"/>
  <c r="BW59" i="53"/>
  <c r="BW60" i="53" l="1"/>
  <c r="BW61" i="53"/>
  <c r="BX59" i="53"/>
  <c r="BX61" i="53" l="1"/>
  <c r="BX60" i="53"/>
  <c r="CM82" i="1" l="1"/>
  <c r="CM84" i="1" s="1"/>
  <c r="BY48" i="53" s="1"/>
  <c r="BY45" i="53" l="1"/>
  <c r="BY46" i="53"/>
  <c r="CM86" i="1"/>
  <c r="CM107" i="1" l="1"/>
  <c r="CM109" i="1" s="1"/>
  <c r="CM145" i="1"/>
  <c r="BY49" i="53"/>
  <c r="CM92" i="1"/>
  <c r="BY47" i="53"/>
  <c r="CM148" i="1" l="1"/>
  <c r="CM161" i="1" s="1"/>
  <c r="CM122" i="1"/>
  <c r="BY51" i="53"/>
  <c r="CM103" i="1"/>
  <c r="CM96" i="1"/>
  <c r="CM94" i="1"/>
  <c r="CR96" i="1"/>
  <c r="CM142" i="1" l="1"/>
  <c r="CM138" i="1"/>
  <c r="CM141" i="1" s="1"/>
  <c r="CM179" i="1"/>
  <c r="CM181" i="1" s="1"/>
  <c r="CM168" i="1"/>
  <c r="CD52" i="53"/>
  <c r="BY52" i="53"/>
  <c r="BY53" i="53"/>
  <c r="BY55" i="53"/>
  <c r="BY58" i="53"/>
  <c r="CM143" i="1" l="1"/>
  <c r="CN140" i="1"/>
  <c r="BY59" i="53" l="1"/>
  <c r="BY61" i="53" l="1"/>
  <c r="BY60" i="53"/>
  <c r="BZ59" i="53"/>
  <c r="BZ60" i="53" l="1"/>
  <c r="BZ61" i="53"/>
  <c r="CA59" i="53"/>
  <c r="CA61" i="53" l="1"/>
  <c r="CA60" i="53"/>
  <c r="CB59" i="53"/>
  <c r="CC59" i="53" l="1"/>
  <c r="CB60" i="53"/>
  <c r="CB61" i="53"/>
  <c r="CC60" i="53" l="1"/>
  <c r="CC61" i="53"/>
  <c r="CD59" i="53"/>
  <c r="CD61" i="53" l="1"/>
  <c r="CD60" i="53"/>
  <c r="CE59" i="53"/>
  <c r="CE61" i="53" l="1"/>
  <c r="CE60" i="53"/>
  <c r="CF59" i="53"/>
  <c r="CG59" i="53" l="1"/>
  <c r="CF60" i="53"/>
  <c r="CF61" i="53"/>
  <c r="CG61" i="53" l="1"/>
  <c r="CG60" i="53"/>
  <c r="CH59" i="53"/>
  <c r="CI59" i="53" l="1"/>
  <c r="CH61" i="53"/>
  <c r="CH60" i="53"/>
  <c r="CI60" i="53" l="1"/>
  <c r="CI61" i="53"/>
  <c r="CM380" i="42" l="1"/>
  <c r="CM381" i="42" l="1"/>
  <c r="CW379" i="42"/>
  <c r="DB379" i="42" s="1"/>
  <c r="DG379" i="42" s="1"/>
  <c r="CM165" i="42"/>
  <c r="CR165" i="42"/>
  <c r="DG165" i="42" l="1"/>
  <c r="DG22" i="1" s="1"/>
  <c r="CS35" i="53" s="1"/>
  <c r="DG380" i="42"/>
  <c r="DG381" i="42"/>
  <c r="CM382" i="42"/>
  <c r="CR382" i="42"/>
  <c r="DB165" i="42"/>
  <c r="DB381" i="42"/>
  <c r="DB380" i="42"/>
  <c r="CM22" i="1"/>
  <c r="CM168" i="42"/>
  <c r="CR22" i="1"/>
  <c r="CW165" i="42"/>
  <c r="CW381" i="42"/>
  <c r="CW380" i="42"/>
  <c r="DB22" i="1" l="1"/>
  <c r="CD35" i="53"/>
  <c r="CW22" i="1"/>
  <c r="CM582" i="42"/>
  <c r="CM169" i="42"/>
  <c r="CM170" i="42"/>
  <c r="CM171" i="42" s="1"/>
  <c r="BY35" i="53"/>
  <c r="CM25" i="1"/>
  <c r="CN35" i="53" l="1"/>
  <c r="CM583" i="42"/>
  <c r="CM174" i="42"/>
  <c r="CI35" i="53"/>
  <c r="BY38" i="53"/>
  <c r="CM27" i="1" l="1"/>
  <c r="CM175" i="42"/>
  <c r="CM176" i="42" l="1"/>
  <c r="CM177" i="42"/>
  <c r="CM178" i="42" s="1"/>
  <c r="BY40" i="53"/>
  <c r="CM28" i="1"/>
  <c r="CS380" i="42" l="1"/>
  <c r="CN165" i="42"/>
  <c r="CX379" i="42" l="1"/>
  <c r="DC379" i="42" s="1"/>
  <c r="CS165" i="42"/>
  <c r="CT379" i="42"/>
  <c r="CO165" i="42"/>
  <c r="CS381" i="42"/>
  <c r="CS382" i="42" s="1"/>
  <c r="CN22" i="1"/>
  <c r="CO379" i="42"/>
  <c r="DC165" i="42" l="1"/>
  <c r="DC22" i="1" s="1"/>
  <c r="DH379" i="42"/>
  <c r="CX380" i="42"/>
  <c r="DD379" i="42"/>
  <c r="DD381" i="42" s="1"/>
  <c r="DC381" i="42"/>
  <c r="CY379" i="42"/>
  <c r="CY381" i="42" s="1"/>
  <c r="DC380" i="42"/>
  <c r="CX165" i="42"/>
  <c r="CY165" i="42" s="1"/>
  <c r="CY22" i="1" s="1"/>
  <c r="CX381" i="42"/>
  <c r="CT165" i="42"/>
  <c r="CS22" i="1"/>
  <c r="BZ35" i="53"/>
  <c r="CO381" i="42"/>
  <c r="CO382" i="42" s="1"/>
  <c r="CO380" i="42"/>
  <c r="CO22" i="1"/>
  <c r="CT380" i="42"/>
  <c r="CT381" i="42"/>
  <c r="DD165" i="42" l="1"/>
  <c r="DD22" i="1" s="1"/>
  <c r="DH165" i="42"/>
  <c r="DH381" i="42"/>
  <c r="DH380" i="42"/>
  <c r="DI379" i="42"/>
  <c r="CT22" i="1"/>
  <c r="CF35" i="53" s="1"/>
  <c r="DD380" i="42"/>
  <c r="CT382" i="42"/>
  <c r="CY380" i="42"/>
  <c r="CX22" i="1"/>
  <c r="CJ35" i="53" s="1"/>
  <c r="CY382" i="42"/>
  <c r="CE35" i="53"/>
  <c r="CK35" i="53"/>
  <c r="CP35" i="53"/>
  <c r="CA35" i="53"/>
  <c r="CO35" i="53"/>
  <c r="DD382" i="42"/>
  <c r="CO448" i="42"/>
  <c r="CN166" i="42"/>
  <c r="CO166" i="42" s="1"/>
  <c r="CS450" i="42"/>
  <c r="CS451" i="42" s="1"/>
  <c r="DI381" i="42" l="1"/>
  <c r="DI382" i="42" s="1"/>
  <c r="DI380" i="42"/>
  <c r="DH22" i="1"/>
  <c r="DI165" i="42"/>
  <c r="DI22" i="1" s="1"/>
  <c r="CO450" i="42"/>
  <c r="CO451" i="42" s="1"/>
  <c r="CN168" i="42"/>
  <c r="CO168" i="42" s="1"/>
  <c r="CN23" i="1"/>
  <c r="CX448" i="42"/>
  <c r="CX449" i="42" s="1"/>
  <c r="CS449" i="42"/>
  <c r="CO449" i="42"/>
  <c r="CO23" i="1"/>
  <c r="CS166" i="42"/>
  <c r="CU35" i="53" l="1"/>
  <c r="CT35" i="53"/>
  <c r="CN25" i="1"/>
  <c r="CN170" i="42"/>
  <c r="CN171" i="42" s="1"/>
  <c r="DC448" i="42"/>
  <c r="CX450" i="42"/>
  <c r="CN169" i="42"/>
  <c r="CN582" i="42"/>
  <c r="CX166" i="42"/>
  <c r="CX168" i="42" s="1"/>
  <c r="BZ36" i="53"/>
  <c r="CO169" i="42"/>
  <c r="CO170" i="42"/>
  <c r="CO171" i="42" s="1"/>
  <c r="CO25" i="1"/>
  <c r="CA36" i="53"/>
  <c r="CS168" i="42"/>
  <c r="CS23" i="1"/>
  <c r="DC166" i="42" l="1"/>
  <c r="DC168" i="42" s="1"/>
  <c r="DC170" i="42" s="1"/>
  <c r="DH448" i="42"/>
  <c r="CS582" i="42"/>
  <c r="BZ38" i="53"/>
  <c r="DC449" i="42"/>
  <c r="DC450" i="42"/>
  <c r="CX23" i="1"/>
  <c r="CJ36" i="53" s="1"/>
  <c r="CN174" i="42"/>
  <c r="CN583" i="42"/>
  <c r="CO582" i="42"/>
  <c r="DC23" i="1"/>
  <c r="DC25" i="1" s="1"/>
  <c r="CX170" i="42"/>
  <c r="CS25" i="1"/>
  <c r="CE36" i="53"/>
  <c r="CA38" i="53"/>
  <c r="CS169" i="42"/>
  <c r="CS170" i="42"/>
  <c r="CX169" i="42"/>
  <c r="DC169" i="42"/>
  <c r="CS583" i="42" l="1"/>
  <c r="DH449" i="42"/>
  <c r="DH450" i="42"/>
  <c r="DH166" i="42"/>
  <c r="DH168" i="42" s="1"/>
  <c r="CO583" i="42"/>
  <c r="CX25" i="1"/>
  <c r="CJ38" i="53" s="1"/>
  <c r="CO36" i="53"/>
  <c r="CN175" i="42"/>
  <c r="CO174" i="42"/>
  <c r="CN27" i="1"/>
  <c r="DC171" i="42"/>
  <c r="CS171" i="42"/>
  <c r="CX171" i="42"/>
  <c r="CE38" i="53"/>
  <c r="CS174" i="42"/>
  <c r="CO38" i="53"/>
  <c r="DH170" i="42" l="1"/>
  <c r="DH171" i="42" s="1"/>
  <c r="DH169" i="42"/>
  <c r="DH23" i="1"/>
  <c r="BZ40" i="53"/>
  <c r="CN28" i="1"/>
  <c r="CO27" i="1"/>
  <c r="CO175" i="42"/>
  <c r="CN177" i="42"/>
  <c r="CN178" i="42" s="1"/>
  <c r="CN176" i="42"/>
  <c r="CS27" i="1"/>
  <c r="CS175" i="42"/>
  <c r="CT36" i="53" l="1"/>
  <c r="DH25" i="1"/>
  <c r="CT38" i="53" s="1"/>
  <c r="CA40" i="53"/>
  <c r="CO28" i="1"/>
  <c r="CO176" i="42"/>
  <c r="CO177" i="42"/>
  <c r="CO178" i="42" s="1"/>
  <c r="CE40" i="53"/>
  <c r="CS28" i="1"/>
  <c r="CS176" i="42"/>
  <c r="CO81" i="1" l="1"/>
  <c r="CO295" i="1" s="1"/>
  <c r="BZ45" i="53"/>
  <c r="CN82" i="1"/>
  <c r="CN84" i="1" l="1"/>
  <c r="BZ48" i="53" s="1"/>
  <c r="CO288" i="1"/>
  <c r="CO289" i="1" s="1"/>
  <c r="CO296" i="1"/>
  <c r="CO82" i="1"/>
  <c r="CA45" i="53"/>
  <c r="BZ46" i="53"/>
  <c r="CA46" i="53" l="1"/>
  <c r="BZ47" i="53"/>
  <c r="CO83" i="1"/>
  <c r="CN86" i="1"/>
  <c r="CN107" i="1" l="1"/>
  <c r="CN109" i="1" s="1"/>
  <c r="CN145" i="1"/>
  <c r="CN148" i="1" s="1"/>
  <c r="CN161" i="1" s="1"/>
  <c r="BZ49" i="53"/>
  <c r="CN92" i="1"/>
  <c r="CA47" i="53"/>
  <c r="CO86" i="1"/>
  <c r="CO84" i="1"/>
  <c r="CO107" i="1" l="1"/>
  <c r="CO299" i="1"/>
  <c r="CO336" i="1"/>
  <c r="CO301" i="1"/>
  <c r="CO320" i="1" s="1"/>
  <c r="CO300" i="1"/>
  <c r="CO319" i="1" s="1"/>
  <c r="CN168" i="1"/>
  <c r="CN179" i="1"/>
  <c r="CN181" i="1" s="1"/>
  <c r="CN122" i="1"/>
  <c r="CO109" i="1"/>
  <c r="CO122" i="1" s="1"/>
  <c r="CO317" i="1" s="1"/>
  <c r="CA48" i="53"/>
  <c r="CN103" i="1"/>
  <c r="BZ51" i="53"/>
  <c r="CS96" i="1"/>
  <c r="CN96" i="1"/>
  <c r="CN94" i="1"/>
  <c r="CA49" i="53"/>
  <c r="CO92" i="1"/>
  <c r="CR180" i="1" l="1"/>
  <c r="CR181" i="1" s="1"/>
  <c r="CS180" i="1"/>
  <c r="CS181" i="1" s="1"/>
  <c r="CP180" i="1"/>
  <c r="CP181" i="1" s="1"/>
  <c r="CQ180" i="1"/>
  <c r="CQ181" i="1" s="1"/>
  <c r="CO322" i="1"/>
  <c r="CO324" i="1" s="1"/>
  <c r="CO303" i="1"/>
  <c r="CO138" i="1"/>
  <c r="CO141" i="1" s="1"/>
  <c r="CO142" i="1"/>
  <c r="CN138" i="1"/>
  <c r="CN141" i="1" s="1"/>
  <c r="CP140" i="1" s="1"/>
  <c r="CP141" i="1" s="1"/>
  <c r="CN142" i="1"/>
  <c r="BZ58" i="53" s="1"/>
  <c r="BZ52" i="53"/>
  <c r="CE52" i="53"/>
  <c r="BZ53" i="53"/>
  <c r="CA51" i="53"/>
  <c r="CT96" i="1"/>
  <c r="CO96" i="1"/>
  <c r="CO94" i="1"/>
  <c r="CA53" i="53" s="1"/>
  <c r="CO103" i="1"/>
  <c r="BZ55" i="53"/>
  <c r="CP143" i="1" l="1"/>
  <c r="CQ140" i="1"/>
  <c r="CQ141" i="1" s="1"/>
  <c r="CQ143" i="1" s="1"/>
  <c r="CO312" i="1"/>
  <c r="CO331" i="1"/>
  <c r="CO335" i="1"/>
  <c r="CO337" i="1"/>
  <c r="CO334" i="1"/>
  <c r="CO326" i="1"/>
  <c r="CO329" i="1" s="1"/>
  <c r="CO338" i="1"/>
  <c r="CT140" i="1"/>
  <c r="CT141" i="1" s="1"/>
  <c r="CO143" i="1"/>
  <c r="CN143" i="1"/>
  <c r="CA55" i="53"/>
  <c r="CA58" i="53"/>
  <c r="CA52" i="53"/>
  <c r="CF52" i="53"/>
  <c r="CT143" i="1" l="1"/>
  <c r="CY140" i="1"/>
  <c r="CR140" i="1" l="1"/>
  <c r="CR141" i="1" s="1"/>
  <c r="CS140" i="1" s="1"/>
  <c r="CS141" i="1" s="1"/>
  <c r="CR143" i="1" l="1"/>
  <c r="CU140" i="1" l="1"/>
  <c r="CU141" i="1" s="1"/>
  <c r="CS143" i="1"/>
  <c r="CV140" i="1" l="1"/>
  <c r="CV141" i="1" s="1"/>
  <c r="CU143" i="1"/>
  <c r="CW140" i="1" l="1"/>
  <c r="CW141" i="1" s="1"/>
  <c r="CV143" i="1"/>
  <c r="CW143" i="1" l="1"/>
  <c r="CX140" i="1"/>
  <c r="CO345" i="42" l="1"/>
  <c r="CO347" i="42" s="1"/>
  <c r="CN351" i="42"/>
  <c r="CO352" i="42"/>
  <c r="CO354" i="42" s="1"/>
  <c r="CN344" i="42"/>
  <c r="CS348" i="42" l="1"/>
  <c r="CS346" i="42"/>
  <c r="CS345" i="42"/>
  <c r="CS347" i="42" s="1"/>
  <c r="CS353" i="42"/>
  <c r="CS352" i="42"/>
  <c r="CN352" i="42"/>
  <c r="CN354" i="42" s="1"/>
  <c r="CN345" i="42"/>
  <c r="CN347" i="42" s="1"/>
  <c r="CS354" i="42" l="1"/>
  <c r="CP203" i="1"/>
  <c r="CP219" i="1" s="1"/>
  <c r="CP197" i="1"/>
  <c r="CQ203" i="1" l="1"/>
  <c r="CQ219" i="1" s="1"/>
  <c r="CR203" i="1" l="1"/>
  <c r="CR219" i="1" s="1"/>
  <c r="CT197" i="1" l="1"/>
  <c r="CT314" i="1" l="1"/>
  <c r="CT199" i="1"/>
  <c r="CS203" i="1"/>
  <c r="CS219" i="1" s="1"/>
  <c r="CU203" i="1"/>
  <c r="CU219" i="1" s="1"/>
  <c r="CV197" i="1"/>
  <c r="CW197" i="1" l="1"/>
  <c r="CV199" i="1"/>
  <c r="CV203" i="1" s="1"/>
  <c r="CV219" i="1" s="1"/>
  <c r="CT305" i="1"/>
  <c r="CT203" i="1"/>
  <c r="CT315" i="1"/>
  <c r="CT324" i="1" s="1"/>
  <c r="CT219" i="1" l="1"/>
  <c r="CT331" i="1"/>
  <c r="CT337" i="1"/>
  <c r="CT332" i="1"/>
  <c r="CT309" i="1"/>
  <c r="CT338" i="1"/>
  <c r="CW199" i="1"/>
  <c r="CW203" i="1" s="1"/>
  <c r="CW219" i="1" s="1"/>
  <c r="CX197" i="1"/>
  <c r="CY197" i="1" l="1"/>
  <c r="CZ197" i="1"/>
  <c r="CX199" i="1"/>
  <c r="CT310" i="1"/>
  <c r="CY199" i="1" l="1"/>
  <c r="DA197" i="1"/>
  <c r="CZ199" i="1"/>
  <c r="CT312" i="1"/>
  <c r="DB197" i="1" l="1"/>
  <c r="DA199" i="1"/>
  <c r="DC197" i="1" l="1"/>
  <c r="DE197" i="1" s="1"/>
  <c r="DB199" i="1"/>
  <c r="DF197" i="1" l="1"/>
  <c r="DE199" i="1"/>
  <c r="DD197" i="1"/>
  <c r="DC199" i="1"/>
  <c r="DG197" i="1" l="1"/>
  <c r="DF199" i="1"/>
  <c r="DD199" i="1"/>
  <c r="DG199" i="1" l="1"/>
  <c r="DH197" i="1"/>
  <c r="CQ449" i="42"/>
  <c r="CT448" i="42"/>
  <c r="CQ166" i="42"/>
  <c r="CQ450" i="42"/>
  <c r="CQ451" i="42" s="1"/>
  <c r="CV448" i="42"/>
  <c r="CV450" i="42" s="1"/>
  <c r="DH199" i="1" l="1"/>
  <c r="DI199" i="1" s="1"/>
  <c r="DI197" i="1"/>
  <c r="CT449" i="42"/>
  <c r="CT450" i="42"/>
  <c r="CT451" i="42" s="1"/>
  <c r="CT166" i="42"/>
  <c r="CT23" i="1" s="1"/>
  <c r="CQ23" i="1"/>
  <c r="CV166" i="42"/>
  <c r="CY166" i="42" s="1"/>
  <c r="CY23" i="1" s="1"/>
  <c r="CV449" i="42"/>
  <c r="DA448" i="42"/>
  <c r="CY448" i="42"/>
  <c r="CQ168" i="42"/>
  <c r="CQ582" i="42" s="1"/>
  <c r="DA449" i="42" l="1"/>
  <c r="DF448" i="42"/>
  <c r="CV23" i="1"/>
  <c r="CH36" i="53" s="1"/>
  <c r="CK36" i="53"/>
  <c r="CV168" i="42"/>
  <c r="CV582" i="42" s="1"/>
  <c r="CQ25" i="1"/>
  <c r="DA450" i="42"/>
  <c r="DA166" i="42"/>
  <c r="DD448" i="42"/>
  <c r="CQ169" i="42"/>
  <c r="CQ170" i="42"/>
  <c r="CQ171" i="42" s="1"/>
  <c r="CF36" i="53"/>
  <c r="CC36" i="53"/>
  <c r="CY450" i="42"/>
  <c r="CY451" i="42" s="1"/>
  <c r="CY449" i="42"/>
  <c r="CV25" i="1" l="1"/>
  <c r="DF449" i="42"/>
  <c r="DF166" i="42"/>
  <c r="DF450" i="42"/>
  <c r="DI448" i="42"/>
  <c r="DI450" i="42" s="1"/>
  <c r="DD450" i="42"/>
  <c r="CV170" i="42"/>
  <c r="CV171" i="42" s="1"/>
  <c r="CV169" i="42"/>
  <c r="DA168" i="42"/>
  <c r="DA23" i="1"/>
  <c r="DD166" i="42"/>
  <c r="DD23" i="1" s="1"/>
  <c r="DD449" i="42"/>
  <c r="CC38" i="53"/>
  <c r="CH38" i="53"/>
  <c r="CQ583" i="42"/>
  <c r="CQ174" i="42"/>
  <c r="CQ27" i="1" s="1"/>
  <c r="CV174" i="42"/>
  <c r="CV583" i="42"/>
  <c r="DI451" i="42" l="1"/>
  <c r="DI449" i="42"/>
  <c r="DF23" i="1"/>
  <c r="DF168" i="42"/>
  <c r="DI166" i="42"/>
  <c r="DI23" i="1" s="1"/>
  <c r="CU36" i="53" s="1"/>
  <c r="DD451" i="42"/>
  <c r="CQ28" i="1"/>
  <c r="CP36" i="53"/>
  <c r="DA25" i="1"/>
  <c r="CM38" i="53" s="1"/>
  <c r="CM36" i="53"/>
  <c r="DA582" i="42"/>
  <c r="DA170" i="42"/>
  <c r="DA169" i="42"/>
  <c r="CV27" i="1"/>
  <c r="CV175" i="42"/>
  <c r="CQ175" i="42"/>
  <c r="CR36" i="53" l="1"/>
  <c r="DF25" i="1"/>
  <c r="DF170" i="42"/>
  <c r="DF171" i="42" s="1"/>
  <c r="DF582" i="42"/>
  <c r="DF174" i="42" s="1"/>
  <c r="DF169" i="42"/>
  <c r="DA171" i="42"/>
  <c r="DA174" i="42"/>
  <c r="DA583" i="42"/>
  <c r="CQ176" i="42"/>
  <c r="CQ177" i="42"/>
  <c r="CQ178" i="42" s="1"/>
  <c r="CV177" i="42"/>
  <c r="CV176" i="42"/>
  <c r="CC40" i="53"/>
  <c r="CH40" i="53"/>
  <c r="CV28" i="1"/>
  <c r="DF27" i="1" l="1"/>
  <c r="CR40" i="53" s="1"/>
  <c r="DF175" i="42"/>
  <c r="CR38" i="53"/>
  <c r="DF583" i="42"/>
  <c r="DA27" i="1"/>
  <c r="DA175" i="42"/>
  <c r="CV178" i="42"/>
  <c r="DF28" i="1" l="1"/>
  <c r="DF177" i="42"/>
  <c r="DF176" i="42"/>
  <c r="DA177" i="42"/>
  <c r="DA176" i="42"/>
  <c r="CM40" i="53"/>
  <c r="DA28" i="1"/>
  <c r="DF178" i="42" l="1"/>
  <c r="DA178" i="42"/>
  <c r="CT553" i="42"/>
  <c r="CT554" i="42" l="1"/>
  <c r="CR173" i="42"/>
  <c r="CW553" i="42"/>
  <c r="CW554" i="42" l="1"/>
  <c r="DB553" i="42"/>
  <c r="DG553" i="42" s="1"/>
  <c r="CW173" i="42"/>
  <c r="CW555" i="42"/>
  <c r="CR26" i="1"/>
  <c r="CT173" i="42"/>
  <c r="DG554" i="42" l="1"/>
  <c r="DG173" i="42"/>
  <c r="DG26" i="1" s="1"/>
  <c r="CS39" i="53" s="1"/>
  <c r="DG555" i="42"/>
  <c r="CW26" i="1"/>
  <c r="CT26" i="1"/>
  <c r="DB555" i="42"/>
  <c r="DB173" i="42"/>
  <c r="DB554" i="42"/>
  <c r="CD39" i="53"/>
  <c r="CF39" i="53" l="1"/>
  <c r="DB26" i="1"/>
  <c r="CI39" i="53"/>
  <c r="CN39" i="53" l="1"/>
  <c r="CT310" i="42"/>
  <c r="CW310" i="42"/>
  <c r="CY310" i="42" s="1"/>
  <c r="CT311" i="42" l="1"/>
  <c r="CY311" i="42"/>
  <c r="CY312" i="42"/>
  <c r="CT312" i="42"/>
  <c r="CT313" i="42" s="1"/>
  <c r="CR164" i="42"/>
  <c r="CW312" i="42"/>
  <c r="DB310" i="42"/>
  <c r="DG310" i="42" s="1"/>
  <c r="CW311" i="42"/>
  <c r="CW164" i="42"/>
  <c r="DG311" i="42" l="1"/>
  <c r="DG164" i="42"/>
  <c r="DG312" i="42"/>
  <c r="DI310" i="42"/>
  <c r="DI312" i="42" s="1"/>
  <c r="CW21" i="1"/>
  <c r="CY164" i="42"/>
  <c r="CY21" i="1" s="1"/>
  <c r="CW168" i="42"/>
  <c r="DB164" i="42"/>
  <c r="DB311" i="42"/>
  <c r="DD310" i="42"/>
  <c r="DB312" i="42"/>
  <c r="CY313" i="42"/>
  <c r="CT164" i="42"/>
  <c r="CR21" i="1"/>
  <c r="CR168" i="42"/>
  <c r="DI311" i="42" l="1"/>
  <c r="DG21" i="1"/>
  <c r="DG168" i="42"/>
  <c r="DI164" i="42"/>
  <c r="DI21" i="1" s="1"/>
  <c r="CD34" i="53"/>
  <c r="CR25" i="1"/>
  <c r="DB21" i="1"/>
  <c r="DB168" i="42"/>
  <c r="DD164" i="42"/>
  <c r="DD21" i="1" s="1"/>
  <c r="CW170" i="42"/>
  <c r="CW582" i="42"/>
  <c r="CW169" i="42"/>
  <c r="CY168" i="42"/>
  <c r="CK34" i="53"/>
  <c r="CY25" i="1"/>
  <c r="DD312" i="42"/>
  <c r="DD311" i="42"/>
  <c r="CR582" i="42"/>
  <c r="CR169" i="42"/>
  <c r="CR170" i="42"/>
  <c r="CR171" i="42" s="1"/>
  <c r="CT168" i="42"/>
  <c r="CT21" i="1"/>
  <c r="CI34" i="53"/>
  <c r="CW25" i="1"/>
  <c r="CU34" i="53" l="1"/>
  <c r="DI25" i="1"/>
  <c r="CU38" i="53" s="1"/>
  <c r="DG170" i="42"/>
  <c r="DG582" i="42"/>
  <c r="DG174" i="42" s="1"/>
  <c r="DI168" i="42"/>
  <c r="DI170" i="42" s="1"/>
  <c r="DG169" i="42"/>
  <c r="CS34" i="53"/>
  <c r="DG25" i="1"/>
  <c r="DD313" i="42"/>
  <c r="DI313" i="42"/>
  <c r="CI38" i="53"/>
  <c r="CY170" i="42"/>
  <c r="CY169" i="42"/>
  <c r="CD38" i="53"/>
  <c r="DD25" i="1"/>
  <c r="CP34" i="53"/>
  <c r="CF34" i="53"/>
  <c r="CT25" i="1"/>
  <c r="DB25" i="1"/>
  <c r="CN34" i="53"/>
  <c r="CW174" i="42"/>
  <c r="CW583" i="42"/>
  <c r="CK38" i="53"/>
  <c r="DB169" i="42"/>
  <c r="DB170" i="42"/>
  <c r="DD168" i="42"/>
  <c r="DB582" i="42"/>
  <c r="CT582" i="42"/>
  <c r="CR174" i="42"/>
  <c r="CR583" i="42"/>
  <c r="CT170" i="42"/>
  <c r="CT171" i="42" s="1"/>
  <c r="CT169" i="42"/>
  <c r="CW171" i="42"/>
  <c r="DG171" i="42" l="1"/>
  <c r="DI169" i="42"/>
  <c r="CS38" i="53"/>
  <c r="DG175" i="42"/>
  <c r="DG27" i="1"/>
  <c r="CS40" i="53" s="1"/>
  <c r="DG583" i="42"/>
  <c r="DB171" i="42"/>
  <c r="CT583" i="42"/>
  <c r="CT174" i="42"/>
  <c r="CR27" i="1"/>
  <c r="CR175" i="42"/>
  <c r="CN38" i="53"/>
  <c r="CY171" i="42"/>
  <c r="DB174" i="42"/>
  <c r="DB583" i="42"/>
  <c r="DD169" i="42"/>
  <c r="DD170" i="42"/>
  <c r="DI171" i="42" s="1"/>
  <c r="CF38" i="53"/>
  <c r="CW27" i="1"/>
  <c r="CW175" i="42"/>
  <c r="CP38" i="53"/>
  <c r="DG177" i="42" l="1"/>
  <c r="DG28" i="1"/>
  <c r="DD171" i="42"/>
  <c r="CD40" i="53"/>
  <c r="CR28" i="1"/>
  <c r="CI40" i="53"/>
  <c r="CW28" i="1"/>
  <c r="CT175" i="42"/>
  <c r="CR176" i="42"/>
  <c r="CR177" i="42"/>
  <c r="CR178" i="42" s="1"/>
  <c r="DB27" i="1"/>
  <c r="DB175" i="42"/>
  <c r="DG176" i="42" s="1"/>
  <c r="CW176" i="42"/>
  <c r="CW177" i="42"/>
  <c r="CT27" i="1"/>
  <c r="CF40" i="53" l="1"/>
  <c r="CT28" i="1"/>
  <c r="CN40" i="53"/>
  <c r="DB28" i="1"/>
  <c r="DB176" i="42"/>
  <c r="DB177" i="42"/>
  <c r="DG178" i="42" s="1"/>
  <c r="CW178" i="42"/>
  <c r="CT176" i="42"/>
  <c r="DB178" i="42" l="1"/>
  <c r="CE26" i="53" l="1"/>
  <c r="CE25" i="53"/>
  <c r="CX61" i="1"/>
  <c r="CJ25" i="53" s="1"/>
  <c r="DC61" i="1" l="1"/>
  <c r="CO25" i="53" l="1"/>
  <c r="DH61" i="1"/>
  <c r="CT25" i="53" s="1"/>
  <c r="CS484" i="42"/>
  <c r="CX483" i="42"/>
  <c r="CX553" i="42" s="1"/>
  <c r="CX18" i="42" l="1"/>
  <c r="CX15" i="1" s="1"/>
  <c r="CS486" i="42"/>
  <c r="CT486" i="42" s="1"/>
  <c r="CJ18" i="53"/>
  <c r="CX17" i="1"/>
  <c r="CX57" i="1" s="1"/>
  <c r="CX555" i="42"/>
  <c r="CY553" i="42"/>
  <c r="CX554" i="42"/>
  <c r="CX173" i="42"/>
  <c r="CY483" i="42"/>
  <c r="CX484" i="42"/>
  <c r="CS555" i="42"/>
  <c r="CS556" i="42" s="1"/>
  <c r="CT483" i="42"/>
  <c r="CY486" i="42" s="1"/>
  <c r="CS18" i="42"/>
  <c r="DC483" i="42"/>
  <c r="CY18" i="42" l="1"/>
  <c r="CY15" i="1" s="1"/>
  <c r="CX20" i="42"/>
  <c r="DC22" i="42" s="1"/>
  <c r="CO22" i="53" s="1"/>
  <c r="CT548" i="42"/>
  <c r="CT549" i="42" s="1"/>
  <c r="CT544" i="42"/>
  <c r="CT545" i="42" s="1"/>
  <c r="CT540" i="42"/>
  <c r="CT541" i="42" s="1"/>
  <c r="CT535" i="42"/>
  <c r="CT536" i="42" s="1"/>
  <c r="CY484" i="42"/>
  <c r="CY555" i="42"/>
  <c r="CY554" i="42"/>
  <c r="CT555" i="42"/>
  <c r="CT556" i="42" s="1"/>
  <c r="CT484" i="42"/>
  <c r="DC484" i="42"/>
  <c r="DD483" i="42"/>
  <c r="DD484" i="42" s="1"/>
  <c r="DH483" i="42"/>
  <c r="DC18" i="42"/>
  <c r="DC553" i="42"/>
  <c r="CX67" i="1"/>
  <c r="CX274" i="1"/>
  <c r="CX63" i="1"/>
  <c r="DB222" i="1"/>
  <c r="CY222" i="1"/>
  <c r="CJ21" i="53"/>
  <c r="CZ222" i="1"/>
  <c r="CX253" i="1"/>
  <c r="CX58" i="1"/>
  <c r="CX60" i="1"/>
  <c r="CX222" i="1"/>
  <c r="DA222" i="1"/>
  <c r="CK18" i="53"/>
  <c r="CY17" i="1"/>
  <c r="CY57" i="1" s="1"/>
  <c r="DD485" i="42"/>
  <c r="CP19" i="53" s="1"/>
  <c r="CY485" i="42"/>
  <c r="CK19" i="53" s="1"/>
  <c r="DD486" i="42"/>
  <c r="CY173" i="42"/>
  <c r="CY26" i="1" s="1"/>
  <c r="CX26" i="1"/>
  <c r="CS15" i="1"/>
  <c r="CT18" i="42"/>
  <c r="CS20" i="42"/>
  <c r="CY20" i="42"/>
  <c r="DD22" i="42" l="1"/>
  <c r="CP22" i="53" s="1"/>
  <c r="CX21" i="42"/>
  <c r="DI485" i="42"/>
  <c r="CU19" i="53" s="1"/>
  <c r="DI486" i="42"/>
  <c r="DH553" i="42"/>
  <c r="DC555" i="42"/>
  <c r="DC554" i="42"/>
  <c r="DD553" i="42"/>
  <c r="DC173" i="42"/>
  <c r="CT15" i="1"/>
  <c r="CE18" i="53"/>
  <c r="CS17" i="1"/>
  <c r="CX133" i="42"/>
  <c r="CX134" i="42" s="1"/>
  <c r="CJ24" i="53"/>
  <c r="CX59" i="1"/>
  <c r="DB242" i="1"/>
  <c r="DB187" i="1"/>
  <c r="CJ39" i="53"/>
  <c r="CK21" i="53"/>
  <c r="CY231" i="1"/>
  <c r="CY242" i="1"/>
  <c r="CY253" i="1"/>
  <c r="CX71" i="1"/>
  <c r="CX64" i="1"/>
  <c r="CJ28" i="53" s="1"/>
  <c r="CJ27" i="53"/>
  <c r="CY63" i="1"/>
  <c r="DC20" i="42"/>
  <c r="DD18" i="42"/>
  <c r="DD15" i="1" s="1"/>
  <c r="DC15" i="1"/>
  <c r="DH484" i="42"/>
  <c r="DI483" i="42"/>
  <c r="DI484" i="42" s="1"/>
  <c r="DH18" i="42"/>
  <c r="CX242" i="1"/>
  <c r="CX187" i="1"/>
  <c r="CJ23" i="53"/>
  <c r="CX111" i="1"/>
  <c r="CS177" i="42"/>
  <c r="CS178" i="42" s="1"/>
  <c r="CS21" i="42"/>
  <c r="CS23" i="42" s="1"/>
  <c r="CS134" i="42"/>
  <c r="CS135" i="42" s="1"/>
  <c r="CT20" i="42"/>
  <c r="CY21" i="42" s="1"/>
  <c r="CX22" i="42"/>
  <c r="CK39" i="53"/>
  <c r="DA242" i="1"/>
  <c r="DA187" i="1"/>
  <c r="CZ242" i="1"/>
  <c r="CZ187" i="1"/>
  <c r="CJ29" i="53"/>
  <c r="CX68" i="1"/>
  <c r="CJ30" i="53" s="1"/>
  <c r="CY67" i="1"/>
  <c r="CY556" i="42"/>
  <c r="CY22" i="42" l="1"/>
  <c r="CK22" i="53" s="1"/>
  <c r="CJ22" i="53"/>
  <c r="CX273" i="1"/>
  <c r="CX254" i="1"/>
  <c r="CX255" i="1" s="1"/>
  <c r="CX256" i="1" s="1"/>
  <c r="CX114" i="1"/>
  <c r="CY187" i="1"/>
  <c r="CO18" i="53"/>
  <c r="DC17" i="1"/>
  <c r="DC57" i="1" s="1"/>
  <c r="CX73" i="1"/>
  <c r="CX74" i="1" s="1"/>
  <c r="CJ31" i="53"/>
  <c r="CX72" i="1"/>
  <c r="CX135" i="42"/>
  <c r="DB273" i="1"/>
  <c r="CZ273" i="1"/>
  <c r="DA114" i="1"/>
  <c r="DA254" i="1"/>
  <c r="DA255" i="1" s="1"/>
  <c r="DA256" i="1" s="1"/>
  <c r="CT177" i="42"/>
  <c r="CT178" i="42" s="1"/>
  <c r="CT21" i="42"/>
  <c r="DH15" i="1"/>
  <c r="DH20" i="42"/>
  <c r="DI18" i="42"/>
  <c r="DI15" i="1" s="1"/>
  <c r="DC21" i="42"/>
  <c r="DC23" i="42" s="1"/>
  <c r="DD20" i="42"/>
  <c r="DD21" i="42" s="1"/>
  <c r="DD23" i="42" s="1"/>
  <c r="DH22" i="42"/>
  <c r="DH554" i="42"/>
  <c r="DH173" i="42"/>
  <c r="DH555" i="42"/>
  <c r="DI553" i="42"/>
  <c r="DD555" i="42"/>
  <c r="DD556" i="42" s="1"/>
  <c r="DD554" i="42"/>
  <c r="CY64" i="1"/>
  <c r="CK28" i="53" s="1"/>
  <c r="CK27" i="53"/>
  <c r="CY71" i="1"/>
  <c r="CY65" i="1"/>
  <c r="CX76" i="1"/>
  <c r="CY76" i="1" s="1"/>
  <c r="CP18" i="53"/>
  <c r="DD17" i="1"/>
  <c r="DD57" i="1" s="1"/>
  <c r="DB254" i="1"/>
  <c r="DB255" i="1" s="1"/>
  <c r="DB256" i="1" s="1"/>
  <c r="DA273" i="1"/>
  <c r="DB114" i="1"/>
  <c r="CY68" i="1"/>
  <c r="CK30" i="53" s="1"/>
  <c r="CK29" i="53"/>
  <c r="CY69" i="1"/>
  <c r="CY111" i="1"/>
  <c r="CX132" i="42"/>
  <c r="CY223" i="1"/>
  <c r="CX223" i="1"/>
  <c r="CX258" i="1"/>
  <c r="DB223" i="1"/>
  <c r="CZ223" i="1"/>
  <c r="CY59" i="1"/>
  <c r="DA223" i="1"/>
  <c r="CF18" i="53"/>
  <c r="CT17" i="1"/>
  <c r="DD173" i="42"/>
  <c r="DD26" i="1" s="1"/>
  <c r="DC26" i="1"/>
  <c r="CX23" i="42"/>
  <c r="CY23" i="42" l="1"/>
  <c r="DD58" i="1"/>
  <c r="CP23" i="53" s="1"/>
  <c r="DD274" i="1"/>
  <c r="DD253" i="1"/>
  <c r="DD231" i="1"/>
  <c r="DD242" i="1"/>
  <c r="CP21" i="53"/>
  <c r="CT23" i="42"/>
  <c r="CY114" i="1"/>
  <c r="DI555" i="42"/>
  <c r="DI556" i="42" s="1"/>
  <c r="DI554" i="42"/>
  <c r="CU18" i="53"/>
  <c r="DI17" i="1"/>
  <c r="DI57" i="1" s="1"/>
  <c r="DC58" i="1"/>
  <c r="DG222" i="1"/>
  <c r="DE222" i="1"/>
  <c r="DC222" i="1"/>
  <c r="DC67" i="1"/>
  <c r="DC63" i="1"/>
  <c r="DD222" i="1"/>
  <c r="DF222" i="1"/>
  <c r="DC253" i="1"/>
  <c r="CO21" i="53"/>
  <c r="DC274" i="1"/>
  <c r="DC60" i="1"/>
  <c r="CZ188" i="1"/>
  <c r="CZ205" i="1"/>
  <c r="CX77" i="1"/>
  <c r="CJ42" i="53" s="1"/>
  <c r="CX582" i="42"/>
  <c r="CX78" i="1"/>
  <c r="CJ41" i="53"/>
  <c r="CX98" i="1"/>
  <c r="CX82" i="1"/>
  <c r="CT57" i="1"/>
  <c r="CX188" i="1"/>
  <c r="CX205" i="1"/>
  <c r="CY72" i="1"/>
  <c r="CY73" i="1"/>
  <c r="CK31" i="53"/>
  <c r="DI20" i="42"/>
  <c r="DI21" i="42" s="1"/>
  <c r="DH21" i="42"/>
  <c r="DH23" i="42" s="1"/>
  <c r="CT22" i="53"/>
  <c r="DI22" i="42"/>
  <c r="CU22" i="53" s="1"/>
  <c r="DB188" i="1"/>
  <c r="DB205" i="1"/>
  <c r="CO39" i="53"/>
  <c r="DA188" i="1"/>
  <c r="DA205" i="1"/>
  <c r="CP39" i="53"/>
  <c r="CY258" i="1"/>
  <c r="CY132" i="42"/>
  <c r="CY60" i="1"/>
  <c r="DH26" i="1"/>
  <c r="DI173" i="42"/>
  <c r="DI26" i="1" s="1"/>
  <c r="CT18" i="53"/>
  <c r="DH17" i="1"/>
  <c r="DH57" i="1" s="1"/>
  <c r="CY273" i="1"/>
  <c r="CY254" i="1"/>
  <c r="CY255" i="1" s="1"/>
  <c r="CY256" i="1" s="1"/>
  <c r="CY228" i="1"/>
  <c r="CZ254" i="1"/>
  <c r="CZ255" i="1" s="1"/>
  <c r="CZ256" i="1" s="1"/>
  <c r="CZ114" i="1"/>
  <c r="DI23" i="42" l="1"/>
  <c r="DA211" i="1"/>
  <c r="DA117" i="1"/>
  <c r="DB264" i="1"/>
  <c r="DB270" i="1"/>
  <c r="DB271" i="1" s="1"/>
  <c r="DB272" i="1"/>
  <c r="CN63" i="53" s="1"/>
  <c r="DB263" i="1"/>
  <c r="CX263" i="1"/>
  <c r="CX272" i="1"/>
  <c r="CJ63" i="53" s="1"/>
  <c r="CX115" i="1"/>
  <c r="CX270" i="1"/>
  <c r="CX271" i="1" s="1"/>
  <c r="CX259" i="1"/>
  <c r="CX260" i="1" s="1"/>
  <c r="CY188" i="1"/>
  <c r="DE187" i="1"/>
  <c r="DE242" i="1"/>
  <c r="CU39" i="53"/>
  <c r="CJ43" i="53"/>
  <c r="CJ44" i="53" s="1"/>
  <c r="CX79" i="1"/>
  <c r="DC133" i="42"/>
  <c r="DC134" i="42" s="1"/>
  <c r="DC135" i="42" s="1"/>
  <c r="CO24" i="53"/>
  <c r="DC59" i="1"/>
  <c r="CO23" i="53"/>
  <c r="DC111" i="1"/>
  <c r="DA264" i="1"/>
  <c r="CZ211" i="1"/>
  <c r="DA270" i="1"/>
  <c r="DA271" i="1" s="1"/>
  <c r="DA263" i="1"/>
  <c r="DA272" i="1"/>
  <c r="CM63" i="53" s="1"/>
  <c r="DB259" i="1"/>
  <c r="DB260" i="1" s="1"/>
  <c r="DB115" i="1"/>
  <c r="DA115" i="1"/>
  <c r="CZ272" i="1"/>
  <c r="CL63" i="53" s="1"/>
  <c r="CZ270" i="1"/>
  <c r="CZ271" i="1" s="1"/>
  <c r="DA259" i="1"/>
  <c r="DA260" i="1" s="1"/>
  <c r="CT326" i="1"/>
  <c r="CT253" i="1"/>
  <c r="CT255" i="1" s="1"/>
  <c r="CT256" i="1" s="1"/>
  <c r="CT268" i="1" s="1"/>
  <c r="CT58" i="1"/>
  <c r="CT65" i="1"/>
  <c r="CT242" i="1"/>
  <c r="CT334" i="1"/>
  <c r="CT73" i="1"/>
  <c r="CT74" i="1" s="1"/>
  <c r="CT69" i="1"/>
  <c r="CT327" i="1"/>
  <c r="CT78" i="1"/>
  <c r="CF21" i="53"/>
  <c r="CT274" i="1"/>
  <c r="CT231" i="1"/>
  <c r="CT333" i="1"/>
  <c r="CT60" i="1"/>
  <c r="CY58" i="1"/>
  <c r="CK23" i="53" s="1"/>
  <c r="CY274" i="1"/>
  <c r="CX174" i="42"/>
  <c r="CX583" i="42"/>
  <c r="CY582" i="42"/>
  <c r="CY583" i="42" s="1"/>
  <c r="DC64" i="1"/>
  <c r="CO28" i="53" s="1"/>
  <c r="DC71" i="1"/>
  <c r="CO27" i="53"/>
  <c r="DD63" i="1"/>
  <c r="CT39" i="53"/>
  <c r="CT21" i="53"/>
  <c r="DH58" i="1"/>
  <c r="CT23" i="53" s="1"/>
  <c r="DH253" i="1"/>
  <c r="DH274" i="1"/>
  <c r="DH222" i="1"/>
  <c r="DI222" i="1"/>
  <c r="DH67" i="1"/>
  <c r="DH60" i="1"/>
  <c r="DH63" i="1"/>
  <c r="CY98" i="1"/>
  <c r="CY99" i="1" s="1"/>
  <c r="CY78" i="1"/>
  <c r="CK41" i="53"/>
  <c r="CY77" i="1"/>
  <c r="CK42" i="53" s="1"/>
  <c r="CY82" i="1"/>
  <c r="DC68" i="1"/>
  <c r="CO30" i="53" s="1"/>
  <c r="DD67" i="1"/>
  <c r="CO29" i="53"/>
  <c r="DI58" i="1"/>
  <c r="CU23" i="53" s="1"/>
  <c r="DI253" i="1"/>
  <c r="DI242" i="1"/>
  <c r="CU21" i="53"/>
  <c r="DI231" i="1"/>
  <c r="DI274" i="1"/>
  <c r="CZ224" i="1"/>
  <c r="DA224" i="1"/>
  <c r="DB224" i="1"/>
  <c r="CX224" i="1"/>
  <c r="CY224" i="1"/>
  <c r="CX99" i="1"/>
  <c r="DF242" i="1"/>
  <c r="DF187" i="1"/>
  <c r="DG242" i="1"/>
  <c r="DG187" i="1"/>
  <c r="CK24" i="53"/>
  <c r="CY61" i="1"/>
  <c r="CY133" i="42"/>
  <c r="CY134" i="42" s="1"/>
  <c r="DB117" i="1"/>
  <c r="DB211" i="1"/>
  <c r="CX117" i="1"/>
  <c r="CY117" i="1" s="1"/>
  <c r="CX211" i="1"/>
  <c r="CY205" i="1"/>
  <c r="CX264" i="1"/>
  <c r="CX83" i="1"/>
  <c r="CX86" i="1" s="1"/>
  <c r="CJ46" i="53"/>
  <c r="DC187" i="1"/>
  <c r="DC242" i="1"/>
  <c r="DA119" i="1" l="1"/>
  <c r="DA265" i="1"/>
  <c r="DA266" i="1" s="1"/>
  <c r="CX265" i="1"/>
  <c r="CX266" i="1" s="1"/>
  <c r="CT329" i="1"/>
  <c r="CY74" i="1"/>
  <c r="DE223" i="1"/>
  <c r="DF223" i="1"/>
  <c r="DC258" i="1"/>
  <c r="DC132" i="42"/>
  <c r="DG223" i="1"/>
  <c r="DD223" i="1"/>
  <c r="DD59" i="1"/>
  <c r="DC223" i="1"/>
  <c r="DD187" i="1"/>
  <c r="DC273" i="1"/>
  <c r="DC114" i="1"/>
  <c r="DC254" i="1"/>
  <c r="DC255" i="1" s="1"/>
  <c r="DC256" i="1" s="1"/>
  <c r="CO31" i="53"/>
  <c r="DC73" i="1"/>
  <c r="DC74" i="1" s="1"/>
  <c r="DC72" i="1"/>
  <c r="DG273" i="1"/>
  <c r="DD69" i="1"/>
  <c r="DD70" i="1" s="1"/>
  <c r="DD68" i="1"/>
  <c r="CP30" i="53" s="1"/>
  <c r="CP29" i="53"/>
  <c r="CT27" i="53"/>
  <c r="DH64" i="1"/>
  <c r="CT28" i="53" s="1"/>
  <c r="DH71" i="1"/>
  <c r="DI63" i="1"/>
  <c r="CT133" i="42"/>
  <c r="CT134" i="42" s="1"/>
  <c r="CT135" i="42" s="1"/>
  <c r="CT61" i="1"/>
  <c r="CF24" i="53"/>
  <c r="CF43" i="53"/>
  <c r="CF44" i="53" s="1"/>
  <c r="CT79" i="1"/>
  <c r="DA122" i="1"/>
  <c r="CX261" i="1"/>
  <c r="CJ62" i="53"/>
  <c r="CZ264" i="1"/>
  <c r="CY230" i="1"/>
  <c r="CY211" i="1"/>
  <c r="CY314" i="1" s="1"/>
  <c r="CY264" i="1"/>
  <c r="DH242" i="1"/>
  <c r="DH187" i="1"/>
  <c r="DH254" i="1" s="1"/>
  <c r="DH255" i="1" s="1"/>
  <c r="DH256" i="1" s="1"/>
  <c r="DC76" i="1"/>
  <c r="CZ115" i="1"/>
  <c r="CY272" i="1"/>
  <c r="CK63" i="53" s="1"/>
  <c r="CY263" i="1"/>
  <c r="CY229" i="1"/>
  <c r="CY270" i="1"/>
  <c r="CY271" i="1" s="1"/>
  <c r="CZ259" i="1"/>
  <c r="CZ260" i="1" s="1"/>
  <c r="CY259" i="1"/>
  <c r="CY260" i="1" s="1"/>
  <c r="CK43" i="53"/>
  <c r="CY79" i="1"/>
  <c r="CT66" i="1"/>
  <c r="CY66" i="1"/>
  <c r="CZ263" i="1"/>
  <c r="CY225" i="1"/>
  <c r="CX225" i="1"/>
  <c r="DA225" i="1"/>
  <c r="DB225" i="1"/>
  <c r="CZ225" i="1"/>
  <c r="CK46" i="53"/>
  <c r="CX92" i="1"/>
  <c r="CX107" i="1"/>
  <c r="CX109" i="1" s="1"/>
  <c r="CJ49" i="53"/>
  <c r="CK25" i="53"/>
  <c r="CJ47" i="53"/>
  <c r="CY83" i="1"/>
  <c r="CY86" i="1" s="1"/>
  <c r="DH68" i="1"/>
  <c r="CT30" i="53" s="1"/>
  <c r="CT29" i="53"/>
  <c r="DI67" i="1"/>
  <c r="CT70" i="1"/>
  <c r="CY70" i="1"/>
  <c r="CF23" i="53"/>
  <c r="DB119" i="1"/>
  <c r="DH111" i="1"/>
  <c r="DD111" i="1"/>
  <c r="CY115" i="1"/>
  <c r="CY119" i="1" s="1"/>
  <c r="CX119" i="1"/>
  <c r="DB265" i="1"/>
  <c r="DB266" i="1" s="1"/>
  <c r="DH133" i="42"/>
  <c r="DH134" i="42" s="1"/>
  <c r="DH135" i="42" s="1"/>
  <c r="DH59" i="1"/>
  <c r="CT24" i="53"/>
  <c r="DF273" i="1"/>
  <c r="DG114" i="1"/>
  <c r="DG254" i="1"/>
  <c r="DG255" i="1" s="1"/>
  <c r="DG256" i="1" s="1"/>
  <c r="DD64" i="1"/>
  <c r="CP28" i="53" s="1"/>
  <c r="DD71" i="1"/>
  <c r="DD72" i="1" s="1"/>
  <c r="DD65" i="1"/>
  <c r="DD66" i="1" s="1"/>
  <c r="CP27" i="53"/>
  <c r="CY174" i="42"/>
  <c r="CY27" i="1" s="1"/>
  <c r="CX27" i="1"/>
  <c r="CX175" i="42"/>
  <c r="DA261" i="1"/>
  <c r="CM62" i="53"/>
  <c r="CN62" i="53"/>
  <c r="DB261" i="1"/>
  <c r="CZ117" i="1"/>
  <c r="DF114" i="1"/>
  <c r="DF254" i="1"/>
  <c r="DF255" i="1" s="1"/>
  <c r="DF256" i="1" s="1"/>
  <c r="DE273" i="1"/>
  <c r="DA268" i="1" l="1"/>
  <c r="CX268" i="1"/>
  <c r="CZ265" i="1"/>
  <c r="CZ266" i="1" s="1"/>
  <c r="DH114" i="1"/>
  <c r="CY265" i="1"/>
  <c r="CY266" i="1" s="1"/>
  <c r="CK44" i="53"/>
  <c r="DB268" i="1"/>
  <c r="DI111" i="1"/>
  <c r="CY261" i="1"/>
  <c r="CK62" i="53"/>
  <c r="CX177" i="42"/>
  <c r="CX178" i="42" s="1"/>
  <c r="CX176" i="42"/>
  <c r="CY175" i="42"/>
  <c r="DI223" i="1"/>
  <c r="DH132" i="42"/>
  <c r="DI59" i="1"/>
  <c r="DH258" i="1"/>
  <c r="DH223" i="1"/>
  <c r="DH72" i="1"/>
  <c r="DH73" i="1"/>
  <c r="DH74" i="1" s="1"/>
  <c r="CT31" i="53"/>
  <c r="DF188" i="1"/>
  <c r="DF205" i="1"/>
  <c r="CY109" i="1"/>
  <c r="CX122" i="1"/>
  <c r="CX216" i="1"/>
  <c r="DE188" i="1"/>
  <c r="DE205" i="1"/>
  <c r="CX96" i="1"/>
  <c r="CJ51" i="53"/>
  <c r="CJ52" i="53" s="1"/>
  <c r="CX94" i="1"/>
  <c r="CJ53" i="53" s="1"/>
  <c r="CX103" i="1"/>
  <c r="DG188" i="1"/>
  <c r="DG205" i="1"/>
  <c r="DB122" i="1"/>
  <c r="CL62" i="53"/>
  <c r="CZ261" i="1"/>
  <c r="CZ119" i="1"/>
  <c r="CY135" i="42"/>
  <c r="DD273" i="1"/>
  <c r="DD228" i="1"/>
  <c r="DD254" i="1"/>
  <c r="DD255" i="1" s="1"/>
  <c r="DD256" i="1" s="1"/>
  <c r="DE114" i="1"/>
  <c r="DE254" i="1"/>
  <c r="DE255" i="1" s="1"/>
  <c r="DE256" i="1" s="1"/>
  <c r="CY107" i="1"/>
  <c r="CY299" i="1"/>
  <c r="CK49" i="53"/>
  <c r="CY92" i="1"/>
  <c r="DA142" i="1"/>
  <c r="CM58" i="53" s="1"/>
  <c r="DA138" i="1"/>
  <c r="CM55" i="53"/>
  <c r="CT62" i="1"/>
  <c r="CF26" i="53" s="1"/>
  <c r="CF25" i="53"/>
  <c r="DD132" i="42"/>
  <c r="DD258" i="1"/>
  <c r="DD60" i="1"/>
  <c r="CJ40" i="53"/>
  <c r="CX28" i="1"/>
  <c r="CK47" i="53"/>
  <c r="CY84" i="1"/>
  <c r="DH273" i="1"/>
  <c r="DI187" i="1"/>
  <c r="DD114" i="1"/>
  <c r="CK40" i="53"/>
  <c r="CY28" i="1"/>
  <c r="DI68" i="1"/>
  <c r="CU30" i="53" s="1"/>
  <c r="DI69" i="1"/>
  <c r="DI70" i="1" s="1"/>
  <c r="CU29" i="53"/>
  <c r="CY315" i="1"/>
  <c r="CY318" i="1"/>
  <c r="CP31" i="53"/>
  <c r="DD73" i="1"/>
  <c r="DD74" i="1" s="1"/>
  <c r="DH76" i="1"/>
  <c r="CY62" i="1"/>
  <c r="CK26" i="53" s="1"/>
  <c r="DC77" i="1"/>
  <c r="CO42" i="53" s="1"/>
  <c r="DC582" i="42"/>
  <c r="DC78" i="1"/>
  <c r="DD76" i="1"/>
  <c r="DC98" i="1"/>
  <c r="DC82" i="1"/>
  <c r="CO41" i="53"/>
  <c r="DI65" i="1"/>
  <c r="DI66" i="1" s="1"/>
  <c r="DI71" i="1"/>
  <c r="CU27" i="53"/>
  <c r="DI64" i="1"/>
  <c r="CU28" i="53" s="1"/>
  <c r="DC188" i="1"/>
  <c r="DC205" i="1"/>
  <c r="CZ268" i="1" l="1"/>
  <c r="CY268" i="1"/>
  <c r="DI114" i="1"/>
  <c r="CY216" i="1"/>
  <c r="CX236" i="1"/>
  <c r="CX218" i="1"/>
  <c r="CK51" i="53"/>
  <c r="CK52" i="53" s="1"/>
  <c r="CY103" i="1"/>
  <c r="CY96" i="1"/>
  <c r="CY94" i="1"/>
  <c r="CK53" i="53" s="1"/>
  <c r="CY122" i="1"/>
  <c r="DI72" i="1"/>
  <c r="CU31" i="53"/>
  <c r="DI73" i="1"/>
  <c r="DI74" i="1" s="1"/>
  <c r="DD77" i="1"/>
  <c r="CP42" i="53" s="1"/>
  <c r="CP41" i="53"/>
  <c r="DD82" i="1"/>
  <c r="DD78" i="1"/>
  <c r="DD98" i="1"/>
  <c r="DD99" i="1" s="1"/>
  <c r="DI228" i="1"/>
  <c r="DI273" i="1"/>
  <c r="DI254" i="1"/>
  <c r="DI255" i="1" s="1"/>
  <c r="DI256" i="1" s="1"/>
  <c r="CZ122" i="1"/>
  <c r="DE270" i="1"/>
  <c r="DE271" i="1" s="1"/>
  <c r="DE272" i="1"/>
  <c r="CQ63" i="53" s="1"/>
  <c r="DF115" i="1"/>
  <c r="DF259" i="1"/>
  <c r="DF260" i="1" s="1"/>
  <c r="DC117" i="1"/>
  <c r="DD117" i="1" s="1"/>
  <c r="DD205" i="1"/>
  <c r="DE117" i="1" s="1"/>
  <c r="DC211" i="1"/>
  <c r="DC264" i="1"/>
  <c r="DD582" i="42"/>
  <c r="DD583" i="42" s="1"/>
  <c r="DC174" i="42"/>
  <c r="DC583" i="42"/>
  <c r="CY300" i="1"/>
  <c r="CY319" i="1" s="1"/>
  <c r="CY301" i="1"/>
  <c r="CY320" i="1" s="1"/>
  <c r="CK48" i="53"/>
  <c r="DB138" i="1"/>
  <c r="CN55" i="53"/>
  <c r="DB142" i="1"/>
  <c r="CN58" i="53" s="1"/>
  <c r="DG115" i="1"/>
  <c r="DF272" i="1"/>
  <c r="CR63" i="53" s="1"/>
  <c r="DF270" i="1"/>
  <c r="DF271" i="1" s="1"/>
  <c r="DG259" i="1"/>
  <c r="DG260" i="1" s="1"/>
  <c r="DF263" i="1"/>
  <c r="CY176" i="42"/>
  <c r="CY177" i="42"/>
  <c r="CY178" i="42" s="1"/>
  <c r="DC270" i="1"/>
  <c r="DC271" i="1" s="1"/>
  <c r="DC263" i="1"/>
  <c r="DC272" i="1"/>
  <c r="CO63" i="53" s="1"/>
  <c r="DD188" i="1"/>
  <c r="DE263" i="1" s="1"/>
  <c r="DC259" i="1"/>
  <c r="DC260" i="1" s="1"/>
  <c r="DC115" i="1"/>
  <c r="DG211" i="1"/>
  <c r="DG117" i="1"/>
  <c r="CO46" i="53"/>
  <c r="DC83" i="1"/>
  <c r="DC86" i="1" s="1"/>
  <c r="DG270" i="1"/>
  <c r="DG271" i="1" s="1"/>
  <c r="DG263" i="1"/>
  <c r="DG272" i="1"/>
  <c r="CS63" i="53" s="1"/>
  <c r="CX142" i="1"/>
  <c r="CJ58" i="53" s="1"/>
  <c r="CX138" i="1"/>
  <c r="CJ55" i="53"/>
  <c r="DI258" i="1"/>
  <c r="DI132" i="42"/>
  <c r="DI60" i="1"/>
  <c r="DG224" i="1"/>
  <c r="DD224" i="1"/>
  <c r="DC99" i="1"/>
  <c r="DC224" i="1"/>
  <c r="DF224" i="1"/>
  <c r="DE224" i="1"/>
  <c r="DH77" i="1"/>
  <c r="CT42" i="53" s="1"/>
  <c r="DH78" i="1"/>
  <c r="DH98" i="1"/>
  <c r="DH582" i="42"/>
  <c r="CT41" i="53"/>
  <c r="DH82" i="1"/>
  <c r="DI76" i="1"/>
  <c r="DE211" i="1"/>
  <c r="DF264" i="1"/>
  <c r="DC79" i="1"/>
  <c r="CO43" i="53"/>
  <c r="CO44" i="53" s="1"/>
  <c r="DD133" i="42"/>
  <c r="DD134" i="42" s="1"/>
  <c r="DD135" i="42" s="1"/>
  <c r="DD61" i="1"/>
  <c r="CP24" i="53"/>
  <c r="DF211" i="1"/>
  <c r="DF117" i="1"/>
  <c r="DG264" i="1"/>
  <c r="DH205" i="1"/>
  <c r="DH264" i="1" s="1"/>
  <c r="DH188" i="1"/>
  <c r="DH259" i="1" s="1"/>
  <c r="DH260" i="1" s="1"/>
  <c r="DC265" i="1" l="1"/>
  <c r="DC266" i="1" s="1"/>
  <c r="CT62" i="53"/>
  <c r="DH261" i="1"/>
  <c r="DC261" i="1"/>
  <c r="CO62" i="53"/>
  <c r="CY142" i="1"/>
  <c r="CK58" i="53" s="1"/>
  <c r="CY138" i="1"/>
  <c r="CY141" i="1" s="1"/>
  <c r="CY317" i="1"/>
  <c r="CY322" i="1" s="1"/>
  <c r="CY324" i="1" s="1"/>
  <c r="CK55" i="53"/>
  <c r="DH270" i="1"/>
  <c r="DH271" i="1" s="1"/>
  <c r="DH263" i="1"/>
  <c r="DH265" i="1" s="1"/>
  <c r="DH266" i="1" s="1"/>
  <c r="DH272" i="1"/>
  <c r="CT63" i="53" s="1"/>
  <c r="DI188" i="1"/>
  <c r="DH99" i="1"/>
  <c r="DH224" i="1"/>
  <c r="DI224" i="1"/>
  <c r="DG225" i="1"/>
  <c r="DF225" i="1"/>
  <c r="DC225" i="1"/>
  <c r="DE225" i="1"/>
  <c r="DD225" i="1"/>
  <c r="DG265" i="1"/>
  <c r="DG266" i="1" s="1"/>
  <c r="DF265" i="1"/>
  <c r="DF266" i="1" s="1"/>
  <c r="CR62" i="53"/>
  <c r="DF261" i="1"/>
  <c r="CT46" i="53"/>
  <c r="DH83" i="1"/>
  <c r="DH86" i="1" s="1"/>
  <c r="DI61" i="1"/>
  <c r="DI133" i="42"/>
  <c r="DI134" i="42" s="1"/>
  <c r="DI135" i="42" s="1"/>
  <c r="CU24" i="53"/>
  <c r="DD230" i="1"/>
  <c r="DD211" i="1"/>
  <c r="DD314" i="1" s="1"/>
  <c r="DE264" i="1"/>
  <c r="DE265" i="1" s="1"/>
  <c r="DE266" i="1" s="1"/>
  <c r="DD264" i="1"/>
  <c r="DG119" i="1"/>
  <c r="CY236" i="1"/>
  <c r="CZ216" i="1"/>
  <c r="CY336" i="1"/>
  <c r="CY218" i="1"/>
  <c r="DG261" i="1"/>
  <c r="CS62" i="53"/>
  <c r="CP46" i="53"/>
  <c r="DE259" i="1"/>
  <c r="DE260" i="1" s="1"/>
  <c r="DE115" i="1"/>
  <c r="DD272" i="1"/>
  <c r="CP63" i="53" s="1"/>
  <c r="DD229" i="1"/>
  <c r="DD259" i="1"/>
  <c r="DD260" i="1" s="1"/>
  <c r="DD263" i="1"/>
  <c r="DD270" i="1"/>
  <c r="DD271" i="1" s="1"/>
  <c r="CY303" i="1"/>
  <c r="DH174" i="42"/>
  <c r="DI582" i="42"/>
  <c r="DI583" i="42" s="1"/>
  <c r="DH583" i="42"/>
  <c r="DC27" i="1"/>
  <c r="DD174" i="42"/>
  <c r="DD27" i="1" s="1"/>
  <c r="DC175" i="42"/>
  <c r="DI205" i="1"/>
  <c r="DH211" i="1"/>
  <c r="DH117" i="1"/>
  <c r="DI117" i="1" s="1"/>
  <c r="DH79" i="1"/>
  <c r="CT43" i="53"/>
  <c r="CT44" i="53" s="1"/>
  <c r="CO49" i="53"/>
  <c r="DC107" i="1"/>
  <c r="DC109" i="1" s="1"/>
  <c r="DC92" i="1"/>
  <c r="DD62" i="1"/>
  <c r="CP26" i="53" s="1"/>
  <c r="CP25" i="53"/>
  <c r="DI77" i="1"/>
  <c r="CU42" i="53" s="1"/>
  <c r="DI78" i="1"/>
  <c r="CU41" i="53"/>
  <c r="DI98" i="1"/>
  <c r="DI99" i="1" s="1"/>
  <c r="DI82" i="1"/>
  <c r="CX141" i="1"/>
  <c r="CX185" i="1"/>
  <c r="DH115" i="1"/>
  <c r="CO47" i="53"/>
  <c r="DD83" i="1"/>
  <c r="DD86" i="1" s="1"/>
  <c r="DD115" i="1"/>
  <c r="DD119" i="1" s="1"/>
  <c r="DC119" i="1"/>
  <c r="DF119" i="1"/>
  <c r="CZ142" i="1"/>
  <c r="CL58" i="53" s="1"/>
  <c r="CZ138" i="1"/>
  <c r="CL55" i="53"/>
  <c r="DD79" i="1"/>
  <c r="CP43" i="53"/>
  <c r="CP44" i="53" s="1"/>
  <c r="DC268" i="1" l="1"/>
  <c r="DH119" i="1"/>
  <c r="DG268" i="1"/>
  <c r="DF268" i="1"/>
  <c r="DC94" i="1"/>
  <c r="CO53" i="53" s="1"/>
  <c r="DC96" i="1"/>
  <c r="CO51" i="53"/>
  <c r="CO52" i="53" s="1"/>
  <c r="DC103" i="1"/>
  <c r="DI230" i="1"/>
  <c r="DI211" i="1"/>
  <c r="CP62" i="53"/>
  <c r="DD261" i="1"/>
  <c r="CT49" i="53"/>
  <c r="DH92" i="1"/>
  <c r="DH107" i="1"/>
  <c r="DH109" i="1" s="1"/>
  <c r="DI79" i="1"/>
  <c r="CU43" i="53"/>
  <c r="CU44" i="53" s="1"/>
  <c r="DC177" i="42"/>
  <c r="DC178" i="42" s="1"/>
  <c r="DC176" i="42"/>
  <c r="DD175" i="42"/>
  <c r="DI264" i="1"/>
  <c r="CY326" i="1"/>
  <c r="CY334" i="1"/>
  <c r="CY335" i="1"/>
  <c r="DD140" i="1"/>
  <c r="DD318" i="1"/>
  <c r="DC122" i="1"/>
  <c r="DD109" i="1"/>
  <c r="CP49" i="53"/>
  <c r="DD92" i="1"/>
  <c r="DD299" i="1"/>
  <c r="DD107" i="1"/>
  <c r="CT47" i="53"/>
  <c r="DI83" i="1"/>
  <c r="CX239" i="1"/>
  <c r="CJ59" i="53"/>
  <c r="CX291" i="1"/>
  <c r="CX292" i="1" s="1"/>
  <c r="CX192" i="1"/>
  <c r="CY185" i="1"/>
  <c r="CY143" i="1" s="1"/>
  <c r="CP40" i="53"/>
  <c r="DD28" i="1"/>
  <c r="DH27" i="1"/>
  <c r="DI174" i="42"/>
  <c r="DI27" i="1" s="1"/>
  <c r="DH175" i="42"/>
  <c r="DI272" i="1"/>
  <c r="CU63" i="53" s="1"/>
  <c r="DI270" i="1"/>
  <c r="DI271" i="1" s="1"/>
  <c r="DI229" i="1"/>
  <c r="DI263" i="1"/>
  <c r="DI259" i="1"/>
  <c r="DI260" i="1" s="1"/>
  <c r="CX143" i="1"/>
  <c r="CZ140" i="1"/>
  <c r="CZ141" i="1" s="1"/>
  <c r="DD315" i="1"/>
  <c r="DF122" i="1"/>
  <c r="DD84" i="1"/>
  <c r="CP47" i="53"/>
  <c r="CU46" i="53"/>
  <c r="DI115" i="1"/>
  <c r="DI119" i="1" s="1"/>
  <c r="DE119" i="1"/>
  <c r="DH268" i="1"/>
  <c r="DG122" i="1"/>
  <c r="CO40" i="53"/>
  <c r="DC28" i="1"/>
  <c r="DI225" i="1"/>
  <c r="DH225" i="1"/>
  <c r="DD265" i="1"/>
  <c r="DD266" i="1" s="1"/>
  <c r="DE261" i="1"/>
  <c r="DE268" i="1" s="1"/>
  <c r="CQ62" i="53"/>
  <c r="CZ236" i="1"/>
  <c r="DA216" i="1"/>
  <c r="CZ218" i="1"/>
  <c r="DI62" i="1"/>
  <c r="CU26" i="53" s="1"/>
  <c r="CU25" i="53"/>
  <c r="DD268" i="1" l="1"/>
  <c r="CU47" i="53"/>
  <c r="DI84" i="1"/>
  <c r="DI318" i="1"/>
  <c r="CU40" i="53"/>
  <c r="DI28" i="1"/>
  <c r="CT40" i="53"/>
  <c r="DH28" i="1"/>
  <c r="DC142" i="1"/>
  <c r="CO58" i="53" s="1"/>
  <c r="CO55" i="53"/>
  <c r="DC138" i="1"/>
  <c r="DI314" i="1"/>
  <c r="DI315" i="1" s="1"/>
  <c r="CX241" i="1"/>
  <c r="CJ60" i="53"/>
  <c r="CX240" i="1"/>
  <c r="CJ61" i="53" s="1"/>
  <c r="DA140" i="1"/>
  <c r="DA141" i="1" s="1"/>
  <c r="DD301" i="1"/>
  <c r="DD320" i="1" s="1"/>
  <c r="CP48" i="53"/>
  <c r="DD300" i="1"/>
  <c r="DD319" i="1" s="1"/>
  <c r="DH96" i="1"/>
  <c r="DH94" i="1"/>
  <c r="CT53" i="53" s="1"/>
  <c r="DH103" i="1"/>
  <c r="CT51" i="53"/>
  <c r="CT52" i="53" s="1"/>
  <c r="DI86" i="1"/>
  <c r="DF142" i="1"/>
  <c r="CR58" i="53" s="1"/>
  <c r="DF138" i="1"/>
  <c r="CR55" i="53"/>
  <c r="CU62" i="53"/>
  <c r="DI261" i="1"/>
  <c r="CY239" i="1"/>
  <c r="CY291" i="1"/>
  <c r="CZ185" i="1"/>
  <c r="CK59" i="53"/>
  <c r="CY192" i="1"/>
  <c r="DA236" i="1"/>
  <c r="DB216" i="1"/>
  <c r="DA218" i="1"/>
  <c r="CX276" i="1"/>
  <c r="CX277" i="1" s="1"/>
  <c r="CX203" i="1"/>
  <c r="CX219" i="1" s="1"/>
  <c r="CX234" i="1"/>
  <c r="CX235" i="1"/>
  <c r="CY292" i="1"/>
  <c r="CX288" i="1"/>
  <c r="CX289" i="1" s="1"/>
  <c r="DD122" i="1"/>
  <c r="DH122" i="1"/>
  <c r="DI109" i="1"/>
  <c r="DG142" i="1"/>
  <c r="CS58" i="53" s="1"/>
  <c r="CS55" i="53"/>
  <c r="DG138" i="1"/>
  <c r="DD177" i="42"/>
  <c r="DD178" i="42" s="1"/>
  <c r="DD176" i="42"/>
  <c r="DE122" i="1"/>
  <c r="DI265" i="1"/>
  <c r="DI266" i="1" s="1"/>
  <c r="DH177" i="42"/>
  <c r="DH178" i="42" s="1"/>
  <c r="DI175" i="42"/>
  <c r="DH176" i="42"/>
  <c r="DD103" i="1"/>
  <c r="CP51" i="53"/>
  <c r="CP52" i="53" s="1"/>
  <c r="DD94" i="1"/>
  <c r="CP53" i="53" s="1"/>
  <c r="DD96" i="1"/>
  <c r="CZ143" i="1" l="1"/>
  <c r="CY288" i="1"/>
  <c r="CY289" i="1" s="1"/>
  <c r="CY293" i="1"/>
  <c r="DD303" i="1"/>
  <c r="DI300" i="1"/>
  <c r="DI319" i="1" s="1"/>
  <c r="DI301" i="1"/>
  <c r="DI320" i="1" s="1"/>
  <c r="CU48" i="53"/>
  <c r="DI122" i="1"/>
  <c r="CZ239" i="1"/>
  <c r="DA185" i="1"/>
  <c r="DA143" i="1" s="1"/>
  <c r="CZ192" i="1"/>
  <c r="CZ291" i="1"/>
  <c r="CZ292" i="1" s="1"/>
  <c r="CL59" i="53"/>
  <c r="DE138" i="1"/>
  <c r="DE142" i="1"/>
  <c r="CQ58" i="53" s="1"/>
  <c r="CQ55" i="53"/>
  <c r="DH142" i="1"/>
  <c r="CT58" i="53" s="1"/>
  <c r="DH138" i="1"/>
  <c r="CT55" i="53"/>
  <c r="CK60" i="53"/>
  <c r="CY240" i="1"/>
  <c r="CK61" i="53" s="1"/>
  <c r="CY243" i="1"/>
  <c r="CY241" i="1"/>
  <c r="DI107" i="1"/>
  <c r="CU49" i="53"/>
  <c r="DI92" i="1"/>
  <c r="DI299" i="1"/>
  <c r="DB140" i="1"/>
  <c r="DB141" i="1" s="1"/>
  <c r="DI268" i="1"/>
  <c r="DD138" i="1"/>
  <c r="DD141" i="1" s="1"/>
  <c r="DD317" i="1"/>
  <c r="DD322" i="1" s="1"/>
  <c r="DD324" i="1" s="1"/>
  <c r="DD142" i="1"/>
  <c r="CP58" i="53" s="1"/>
  <c r="CP55" i="53"/>
  <c r="CY276" i="1"/>
  <c r="CY277" i="1" s="1"/>
  <c r="CY305" i="1"/>
  <c r="CY203" i="1"/>
  <c r="CY235" i="1"/>
  <c r="CY234" i="1"/>
  <c r="DB236" i="1"/>
  <c r="DC216" i="1"/>
  <c r="DB218" i="1"/>
  <c r="DI176" i="42"/>
  <c r="DI177" i="42"/>
  <c r="DI178" i="42" s="1"/>
  <c r="DI303" i="1" l="1"/>
  <c r="DI326" i="1" s="1"/>
  <c r="DI94" i="1"/>
  <c r="CU53" i="53" s="1"/>
  <c r="CU51" i="53"/>
  <c r="CU52" i="53" s="1"/>
  <c r="DI96" i="1"/>
  <c r="DI103" i="1"/>
  <c r="CY219" i="1"/>
  <c r="CY332" i="1"/>
  <c r="CY333" i="1"/>
  <c r="CY337" i="1"/>
  <c r="CY331" i="1"/>
  <c r="DI140" i="1"/>
  <c r="CY309" i="1"/>
  <c r="CY338" i="1"/>
  <c r="CZ288" i="1"/>
  <c r="CZ289" i="1" s="1"/>
  <c r="DD326" i="1"/>
  <c r="DD334" i="1"/>
  <c r="DI138" i="1"/>
  <c r="DI142" i="1"/>
  <c r="CU58" i="53" s="1"/>
  <c r="DI317" i="1"/>
  <c r="DI322" i="1" s="1"/>
  <c r="DI324" i="1" s="1"/>
  <c r="CU55" i="53"/>
  <c r="CZ234" i="1"/>
  <c r="CZ276" i="1"/>
  <c r="CZ277" i="1" s="1"/>
  <c r="CZ203" i="1"/>
  <c r="CZ219" i="1" s="1"/>
  <c r="CZ235" i="1"/>
  <c r="DC140" i="1"/>
  <c r="DC141" i="1" s="1"/>
  <c r="CL60" i="53"/>
  <c r="CZ240" i="1"/>
  <c r="CL61" i="53" s="1"/>
  <c r="CZ241" i="1"/>
  <c r="DD216" i="1"/>
  <c r="DD335" i="1" s="1"/>
  <c r="DC236" i="1"/>
  <c r="DC218" i="1"/>
  <c r="DA291" i="1"/>
  <c r="DA292" i="1" s="1"/>
  <c r="DA288" i="1" s="1"/>
  <c r="DA289" i="1" s="1"/>
  <c r="DB185" i="1"/>
  <c r="DB143" i="1" s="1"/>
  <c r="CM59" i="53"/>
  <c r="DA192" i="1"/>
  <c r="DA239" i="1"/>
  <c r="DI334" i="1" l="1"/>
  <c r="DI141" i="1"/>
  <c r="CY310" i="1"/>
  <c r="DA203" i="1"/>
  <c r="DA219" i="1" s="1"/>
  <c r="DA276" i="1"/>
  <c r="DA277" i="1" s="1"/>
  <c r="DA234" i="1"/>
  <c r="DA235" i="1"/>
  <c r="DE140" i="1"/>
  <c r="DE141" i="1" s="1"/>
  <c r="DE216" i="1"/>
  <c r="DD236" i="1"/>
  <c r="DD336" i="1"/>
  <c r="DD218" i="1"/>
  <c r="DB239" i="1"/>
  <c r="DB291" i="1"/>
  <c r="DB292" i="1" s="1"/>
  <c r="DB192" i="1"/>
  <c r="DC185" i="1"/>
  <c r="CN59" i="53"/>
  <c r="DA240" i="1"/>
  <c r="CM61" i="53" s="1"/>
  <c r="CM60" i="53"/>
  <c r="DA241" i="1"/>
  <c r="CO59" i="53" l="1"/>
  <c r="DC192" i="1"/>
  <c r="DC291" i="1"/>
  <c r="DC292" i="1" s="1"/>
  <c r="DC288" i="1" s="1"/>
  <c r="DC289" i="1" s="1"/>
  <c r="DC239" i="1"/>
  <c r="DD185" i="1"/>
  <c r="DC143" i="1"/>
  <c r="CY327" i="1"/>
  <c r="CY329" i="1" s="1"/>
  <c r="CY312" i="1"/>
  <c r="DB276" i="1"/>
  <c r="DB277" i="1" s="1"/>
  <c r="DB203" i="1"/>
  <c r="DB219" i="1" s="1"/>
  <c r="DB235" i="1"/>
  <c r="DB234" i="1"/>
  <c r="DF140" i="1"/>
  <c r="DF141" i="1" s="1"/>
  <c r="DF216" i="1"/>
  <c r="DE236" i="1"/>
  <c r="DE218" i="1"/>
  <c r="DB288" i="1"/>
  <c r="DB289" i="1" s="1"/>
  <c r="CN60" i="53"/>
  <c r="DB240" i="1"/>
  <c r="CN61" i="53" s="1"/>
  <c r="DB241" i="1"/>
  <c r="DD292" i="1" l="1"/>
  <c r="DD288" i="1" s="1"/>
  <c r="DD289" i="1" s="1"/>
  <c r="DF236" i="1"/>
  <c r="DG216" i="1"/>
  <c r="DF218" i="1"/>
  <c r="DE185" i="1"/>
  <c r="DD291" i="1"/>
  <c r="CP59" i="53"/>
  <c r="DD192" i="1"/>
  <c r="DD239" i="1"/>
  <c r="DD143" i="1"/>
  <c r="DG140" i="1"/>
  <c r="DG141" i="1" s="1"/>
  <c r="DC240" i="1"/>
  <c r="CO61" i="53" s="1"/>
  <c r="DC241" i="1"/>
  <c r="CO60" i="53"/>
  <c r="DC203" i="1"/>
  <c r="DC219" i="1" s="1"/>
  <c r="DC235" i="1"/>
  <c r="DC234" i="1"/>
  <c r="DC276" i="1"/>
  <c r="DC277" i="1" s="1"/>
  <c r="DD293" i="1" l="1"/>
  <c r="DE291" i="1"/>
  <c r="DE292" i="1" s="1"/>
  <c r="DE239" i="1"/>
  <c r="DE192" i="1"/>
  <c r="CQ59" i="53"/>
  <c r="DF185" i="1"/>
  <c r="DE143" i="1"/>
  <c r="DH140" i="1"/>
  <c r="DH141" i="1" s="1"/>
  <c r="CP60" i="53"/>
  <c r="DD240" i="1"/>
  <c r="CP61" i="53" s="1"/>
  <c r="DD243" i="1"/>
  <c r="DD241" i="1"/>
  <c r="DD305" i="1"/>
  <c r="DD203" i="1"/>
  <c r="DD235" i="1"/>
  <c r="DD276" i="1"/>
  <c r="DD277" i="1" s="1"/>
  <c r="DD234" i="1"/>
  <c r="DG236" i="1"/>
  <c r="DH216" i="1"/>
  <c r="DG218" i="1"/>
  <c r="DD332" i="1" l="1"/>
  <c r="DD219" i="1"/>
  <c r="DD333" i="1"/>
  <c r="DD331" i="1"/>
  <c r="DD337" i="1"/>
  <c r="DE203" i="1"/>
  <c r="DE219" i="1" s="1"/>
  <c r="DE234" i="1"/>
  <c r="DE235" i="1"/>
  <c r="DE276" i="1"/>
  <c r="DE277" i="1" s="1"/>
  <c r="DH236" i="1"/>
  <c r="DI216" i="1"/>
  <c r="DH218" i="1"/>
  <c r="DD309" i="1"/>
  <c r="DD338" i="1"/>
  <c r="CQ60" i="53"/>
  <c r="DE241" i="1"/>
  <c r="DE240" i="1"/>
  <c r="CQ61" i="53" s="1"/>
  <c r="DE288" i="1"/>
  <c r="DE289" i="1" s="1"/>
  <c r="DF291" i="1"/>
  <c r="DF292" i="1" s="1"/>
  <c r="DF288" i="1" s="1"/>
  <c r="DF289" i="1" s="1"/>
  <c r="CR59" i="53"/>
  <c r="DF239" i="1"/>
  <c r="DF192" i="1"/>
  <c r="DG185" i="1"/>
  <c r="DF143" i="1"/>
  <c r="DG291" i="1" l="1"/>
  <c r="DG292" i="1" s="1"/>
  <c r="DG288" i="1" s="1"/>
  <c r="DG289" i="1" s="1"/>
  <c r="DG239" i="1"/>
  <c r="CS59" i="53"/>
  <c r="DH185" i="1"/>
  <c r="DG192" i="1"/>
  <c r="DG143" i="1"/>
  <c r="DF203" i="1"/>
  <c r="DF219" i="1" s="1"/>
  <c r="DF276" i="1"/>
  <c r="DF277" i="1" s="1"/>
  <c r="DF235" i="1"/>
  <c r="DF234" i="1"/>
  <c r="DI236" i="1"/>
  <c r="DI218" i="1"/>
  <c r="DI335" i="1"/>
  <c r="DI336" i="1"/>
  <c r="CR60" i="53"/>
  <c r="DF241" i="1"/>
  <c r="DF240" i="1"/>
  <c r="CR61" i="53" s="1"/>
  <c r="DD310" i="1"/>
  <c r="DH239" i="1" l="1"/>
  <c r="DH291" i="1"/>
  <c r="DH292" i="1" s="1"/>
  <c r="DH288" i="1" s="1"/>
  <c r="DH289" i="1" s="1"/>
  <c r="DI185" i="1"/>
  <c r="DH192" i="1"/>
  <c r="CT59" i="53"/>
  <c r="DH143" i="1"/>
  <c r="DG234" i="1"/>
  <c r="DG276" i="1"/>
  <c r="DG277" i="1" s="1"/>
  <c r="DG203" i="1"/>
  <c r="DG219" i="1" s="1"/>
  <c r="DG235" i="1"/>
  <c r="DD327" i="1"/>
  <c r="DD329" i="1" s="1"/>
  <c r="DD312" i="1"/>
  <c r="DG241" i="1"/>
  <c r="DG240" i="1"/>
  <c r="CS61" i="53" s="1"/>
  <c r="CS60" i="53"/>
  <c r="DI292" i="1" l="1"/>
  <c r="DI288" i="1" s="1"/>
  <c r="DI289" i="1" s="1"/>
  <c r="DH203" i="1"/>
  <c r="DH219" i="1" s="1"/>
  <c r="DH235" i="1"/>
  <c r="DH276" i="1"/>
  <c r="DH277" i="1" s="1"/>
  <c r="DH234" i="1"/>
  <c r="DI291" i="1"/>
  <c r="DI192" i="1"/>
  <c r="DI239" i="1"/>
  <c r="CU59" i="53"/>
  <c r="DI143" i="1"/>
  <c r="CT60" i="53"/>
  <c r="DH241" i="1"/>
  <c r="DH240" i="1"/>
  <c r="CT61" i="53" s="1"/>
  <c r="DI293" i="1" l="1"/>
  <c r="DI276" i="1"/>
  <c r="DI277" i="1" s="1"/>
  <c r="DI305" i="1"/>
  <c r="DI234" i="1"/>
  <c r="DI235" i="1"/>
  <c r="DI203" i="1"/>
  <c r="DI243" i="1"/>
  <c r="DI240" i="1"/>
  <c r="CU61" i="53" s="1"/>
  <c r="DI241" i="1"/>
  <c r="CU60" i="53"/>
  <c r="DI219" i="1" l="1"/>
  <c r="DI332" i="1"/>
  <c r="DI333" i="1"/>
  <c r="DI337" i="1"/>
  <c r="DI331" i="1"/>
  <c r="DI309" i="1"/>
  <c r="DI310" i="1" s="1"/>
  <c r="DI338" i="1"/>
  <c r="DI327" i="1" l="1"/>
  <c r="DI329" i="1" s="1"/>
  <c r="DI312" i="1"/>
  <c r="CS207" i="42"/>
  <c r="CS209" i="42" s="1"/>
  <c r="CT207" i="42"/>
  <c r="CT209" i="42" s="1"/>
  <c r="CT276" i="42" l="1"/>
  <c r="CT278" i="42" s="1"/>
  <c r="CS276" i="42" l="1"/>
  <c r="CS278" i="42" s="1"/>
  <c r="CS283" i="42" l="1"/>
  <c r="CS285" i="42" s="1"/>
  <c r="CT283" i="42" l="1"/>
  <c r="CT285" i="42" s="1"/>
</calcChain>
</file>

<file path=xl/sharedStrings.xml><?xml version="1.0" encoding="utf-8"?>
<sst xmlns="http://schemas.openxmlformats.org/spreadsheetml/2006/main" count="7147" uniqueCount="436">
  <si>
    <t>Net Revenues</t>
  </si>
  <si>
    <t xml:space="preserve">-- </t>
  </si>
  <si>
    <t>Gross Profit</t>
  </si>
  <si>
    <t>Total SG&amp;A</t>
  </si>
  <si>
    <t xml:space="preserve">---- </t>
  </si>
  <si>
    <t>EBIT</t>
  </si>
  <si>
    <t>Taxes</t>
  </si>
  <si>
    <t>Period-End Shares</t>
  </si>
  <si>
    <t>Basic Average Shares</t>
  </si>
  <si>
    <t>Diluted Average Shares</t>
  </si>
  <si>
    <t>Comparable EPS</t>
  </si>
  <si>
    <t>One-Time Items</t>
  </si>
  <si>
    <t>GAAP EPS</t>
  </si>
  <si>
    <t>Net Sales</t>
  </si>
  <si>
    <t>Net Income (Comparable)</t>
  </si>
  <si>
    <t>One-Timers</t>
  </si>
  <si>
    <t>GAAP Net Income</t>
  </si>
  <si>
    <t>D&amp;A</t>
  </si>
  <si>
    <t>Share-Based Compensation</t>
  </si>
  <si>
    <t>Accounts Receivable</t>
  </si>
  <si>
    <t>Inventories</t>
  </si>
  <si>
    <t>Other Current Assets</t>
  </si>
  <si>
    <t>Other Non-Current</t>
  </si>
  <si>
    <t>Cash From Operations</t>
  </si>
  <si>
    <t>Capex</t>
  </si>
  <si>
    <t>Acquisitions</t>
  </si>
  <si>
    <t>Other</t>
  </si>
  <si>
    <t>Cash From Investing</t>
  </si>
  <si>
    <t>Free-Cash Flow</t>
  </si>
  <si>
    <t>Debt</t>
  </si>
  <si>
    <t>Stock Buybacks</t>
  </si>
  <si>
    <t>Other Equity</t>
  </si>
  <si>
    <t>Dividends</t>
  </si>
  <si>
    <t>Cash From Financing</t>
  </si>
  <si>
    <t>Forex</t>
  </si>
  <si>
    <t>Change in Cash</t>
  </si>
  <si>
    <t>Beginning Cash</t>
  </si>
  <si>
    <t>Ending Cash</t>
  </si>
  <si>
    <t>Cash and Equivalent</t>
  </si>
  <si>
    <t>Merchandise Inventory</t>
  </si>
  <si>
    <t>Current Assets</t>
  </si>
  <si>
    <t>Gross PP&amp;E</t>
  </si>
  <si>
    <t>Accumulated D&amp;A</t>
  </si>
  <si>
    <t>Net PP&amp;E</t>
  </si>
  <si>
    <t>Total Assets</t>
  </si>
  <si>
    <t>Accounts Payable</t>
  </si>
  <si>
    <t>Accrued Expenses</t>
  </si>
  <si>
    <t>ST Debt</t>
  </si>
  <si>
    <t>Other Liabilities</t>
  </si>
  <si>
    <t>Current Liabilities</t>
  </si>
  <si>
    <t>LT Debt</t>
  </si>
  <si>
    <t>Other Long-Term Liabilities</t>
  </si>
  <si>
    <t>Shareholder Equity</t>
  </si>
  <si>
    <t>Total Debt</t>
  </si>
  <si>
    <t>Net Debt (Cash)</t>
  </si>
  <si>
    <t>Cash Conversion</t>
  </si>
  <si>
    <t>Days per Period</t>
  </si>
  <si>
    <t>Sales</t>
  </si>
  <si>
    <t>Average Accounts Receivable</t>
  </si>
  <si>
    <t>Receivables Turnover</t>
  </si>
  <si>
    <t>Days Receivables</t>
  </si>
  <si>
    <t>COGS</t>
  </si>
  <si>
    <t>Average Inventories</t>
  </si>
  <si>
    <t>Inventory Turnover</t>
  </si>
  <si>
    <t>Days Inventory</t>
  </si>
  <si>
    <t>Purchases</t>
  </si>
  <si>
    <t>Average Payables</t>
  </si>
  <si>
    <t>Payables Turnover</t>
  </si>
  <si>
    <t>Days Payable</t>
  </si>
  <si>
    <t>Cash Conversion Cycle</t>
  </si>
  <si>
    <t>Returns Analysis</t>
  </si>
  <si>
    <t>Net Income</t>
  </si>
  <si>
    <t>add back: After-Tax Interest</t>
  </si>
  <si>
    <t>Adjusted Invested Capital</t>
  </si>
  <si>
    <t>Average Adjusted Invested Capital</t>
  </si>
  <si>
    <t>Nike (NKE)</t>
  </si>
  <si>
    <t>Short-term Investments</t>
  </si>
  <si>
    <t>Deferred Income Taxes</t>
  </si>
  <si>
    <t>$ millions except per share data, FY ending May</t>
  </si>
  <si>
    <t>NORTH AMERICA</t>
  </si>
  <si>
    <t>Demand Creation Expense</t>
  </si>
  <si>
    <t>Operating Overhead Expense</t>
  </si>
  <si>
    <t xml:space="preserve">Net Intangible Assets </t>
  </si>
  <si>
    <t>Other Long Term Assets</t>
  </si>
  <si>
    <t>Cash</t>
  </si>
  <si>
    <t>Dilution</t>
  </si>
  <si>
    <t>Other Income</t>
  </si>
  <si>
    <t>North America</t>
  </si>
  <si>
    <t>Central &amp; Eastern Europe</t>
  </si>
  <si>
    <t xml:space="preserve">Greater China </t>
  </si>
  <si>
    <t>Japan</t>
  </si>
  <si>
    <t>Emerging Markets</t>
  </si>
  <si>
    <t>Global Brands</t>
  </si>
  <si>
    <t>Other Businesses</t>
  </si>
  <si>
    <t>Corporate</t>
  </si>
  <si>
    <t>Footwear</t>
  </si>
  <si>
    <t>Apparel</t>
  </si>
  <si>
    <t>Equipment</t>
  </si>
  <si>
    <t>Western Europe</t>
  </si>
  <si>
    <t>Greater China</t>
  </si>
  <si>
    <t>Converse</t>
  </si>
  <si>
    <t>Income Statement</t>
  </si>
  <si>
    <t>EBITDA</t>
  </si>
  <si>
    <t>Interest income</t>
  </si>
  <si>
    <t>Interest expense</t>
  </si>
  <si>
    <t>Total Nike Brand</t>
  </si>
  <si>
    <t>Net Interest</t>
  </si>
  <si>
    <t>Men's</t>
  </si>
  <si>
    <t>Women's</t>
  </si>
  <si>
    <t>Others</t>
  </si>
  <si>
    <t>add back: Cumulative Adjustments (impairments, etc)</t>
  </si>
  <si>
    <t>x Invested Capital Turnover</t>
  </si>
  <si>
    <t>= ROIC</t>
  </si>
  <si>
    <t xml:space="preserve">   NOPAT Margin</t>
  </si>
  <si>
    <t>RONTA</t>
  </si>
  <si>
    <t>Fixed Asset Turnover</t>
  </si>
  <si>
    <t>2012R</t>
  </si>
  <si>
    <t>Accum Amort</t>
  </si>
  <si>
    <t>Gross Intangibles</t>
  </si>
  <si>
    <t>Check</t>
  </si>
  <si>
    <t>RONTA - Invested Cap less Int</t>
  </si>
  <si>
    <t>Deferred Income Tax</t>
  </si>
  <si>
    <t>Other BS Items</t>
  </si>
  <si>
    <t>NOLs</t>
  </si>
  <si>
    <t>Foreign Cash</t>
  </si>
  <si>
    <t>Global Brand Divisions</t>
  </si>
  <si>
    <t>--</t>
  </si>
  <si>
    <t>Rent Expense</t>
  </si>
  <si>
    <t>CROCI</t>
  </si>
  <si>
    <t>Acct pay &amp; Oth CL</t>
  </si>
  <si>
    <t>Prepaid exp and oth CA</t>
  </si>
  <si>
    <t>Total Liab and Stock Eq</t>
  </si>
  <si>
    <t>TTM Sales</t>
  </si>
  <si>
    <t>Working Capital</t>
  </si>
  <si>
    <t>Tax rate</t>
  </si>
  <si>
    <t>Net Income - Cont. Ops</t>
  </si>
  <si>
    <t>Jordan</t>
  </si>
  <si>
    <t>Product costs</t>
  </si>
  <si>
    <t>Pricing and price-mix</t>
  </si>
  <si>
    <t>FX</t>
  </si>
  <si>
    <t>Payout ratio</t>
  </si>
  <si>
    <t>% FX impact</t>
  </si>
  <si>
    <t>Unit growth</t>
  </si>
  <si>
    <t>Price growth</t>
  </si>
  <si>
    <t>+DD</t>
  </si>
  <si>
    <t>PVOL</t>
  </si>
  <si>
    <t>EBITDAR</t>
  </si>
  <si>
    <t>ROA - Adj. PVOL</t>
  </si>
  <si>
    <t>add back: After-Tax Rent</t>
  </si>
  <si>
    <t>NOPAT - Adj. for Rent</t>
  </si>
  <si>
    <t>add back: PVOL</t>
  </si>
  <si>
    <t>Gross Cash Invested</t>
  </si>
  <si>
    <t>Avg Gross Cash Invested</t>
  </si>
  <si>
    <t>Cash from Operations</t>
  </si>
  <si>
    <t>add back: Incr/Decr in Working Capital</t>
  </si>
  <si>
    <t>Debt Adjusted Cash Flow</t>
  </si>
  <si>
    <t>EMEA</t>
  </si>
  <si>
    <t>Net Sales - OLD SEGMENTS</t>
  </si>
  <si>
    <t>EBIT - OLD SEGMENTS</t>
  </si>
  <si>
    <t>Global Brand</t>
  </si>
  <si>
    <t>APAC &amp; Latam</t>
  </si>
  <si>
    <t>incr</t>
  </si>
  <si>
    <t>decr</t>
  </si>
  <si>
    <t>incr.</t>
  </si>
  <si>
    <t>Store SSS</t>
  </si>
  <si>
    <t>Total N. America Sales</t>
  </si>
  <si>
    <t>Segment Build</t>
  </si>
  <si>
    <t>Gross Margin Disclosure</t>
  </si>
  <si>
    <t>SG&amp;A Disclosure</t>
  </si>
  <si>
    <t>N. America EBIT</t>
  </si>
  <si>
    <t>% Margin</t>
  </si>
  <si>
    <t>% chg. Y/Y</t>
  </si>
  <si>
    <t>% chg Y/Y, FX neutral</t>
  </si>
  <si>
    <t>% chg., FX neutral</t>
  </si>
  <si>
    <t>Margin chg. Y/Y bps</t>
  </si>
  <si>
    <t>Europe, Middle East, and Africa</t>
  </si>
  <si>
    <t>Total EMEA Sales</t>
  </si>
  <si>
    <t>DTC sales</t>
  </si>
  <si>
    <t>Wholesale sales</t>
  </si>
  <si>
    <t>EMEA EBIT</t>
  </si>
  <si>
    <t>Total GC Sales</t>
  </si>
  <si>
    <t>GC EBIT</t>
  </si>
  <si>
    <t>Greater China (GC)</t>
  </si>
  <si>
    <t>Total APLA Sales</t>
  </si>
  <si>
    <t>APLA EBIT</t>
  </si>
  <si>
    <t>Asia Pacific &amp; Latin America (APLA)</t>
  </si>
  <si>
    <t>Total Global Brand Divisions Sales</t>
  </si>
  <si>
    <t>Global Brand Divisions EBIT</t>
  </si>
  <si>
    <t>GC</t>
  </si>
  <si>
    <t>APLA</t>
  </si>
  <si>
    <t>Total Nike Revenues</t>
  </si>
  <si>
    <t>NIKE BRAND REVENUES - Additional Disclosure</t>
  </si>
  <si>
    <t>Total NIKE Brand EBIT</t>
  </si>
  <si>
    <t>Ecomm SSS</t>
  </si>
  <si>
    <t>Ecomm $ Sales</t>
  </si>
  <si>
    <t>Total Converse Sales</t>
  </si>
  <si>
    <t>Converse EBIT</t>
  </si>
  <si>
    <t>Total Corporate Sales</t>
  </si>
  <si>
    <t>Corporate EBIT</t>
  </si>
  <si>
    <t>Impact of actual vs standard FX</t>
  </si>
  <si>
    <t>Impact of FX gains/losses</t>
  </si>
  <si>
    <t>Operating overhead expense</t>
  </si>
  <si>
    <t>Total NIKE Consolidated EBIT</t>
  </si>
  <si>
    <t>Quarterly Segment Sales Build</t>
  </si>
  <si>
    <t>1Q</t>
  </si>
  <si>
    <t>2Q</t>
  </si>
  <si>
    <t>3Q</t>
  </si>
  <si>
    <t>4Q</t>
  </si>
  <si>
    <t>Total Nike Sales Model</t>
  </si>
  <si>
    <t>CONSOLIDATED SALES / EBIT SUMMARY</t>
  </si>
  <si>
    <t>Year to Date Cash Flow</t>
  </si>
  <si>
    <t>TTM COGS</t>
  </si>
  <si>
    <t>TTM EBITDA</t>
  </si>
  <si>
    <t>TTM Depreciation</t>
  </si>
  <si>
    <t>Depreciation / Gross PP&amp;E</t>
  </si>
  <si>
    <t>% chg Y/Y</t>
  </si>
  <si>
    <t>% of revenues</t>
  </si>
  <si>
    <t>% margin</t>
  </si>
  <si>
    <t>Share Count Build</t>
  </si>
  <si>
    <t>Period end shares</t>
  </si>
  <si>
    <t>Average common shares</t>
  </si>
  <si>
    <t>Share Repurchase ($)</t>
  </si>
  <si>
    <t>Average stock price in quarter</t>
  </si>
  <si>
    <t>Purchase price growth estimate</t>
  </si>
  <si>
    <t>3QE</t>
  </si>
  <si>
    <t>4QE</t>
  </si>
  <si>
    <t>1QE</t>
  </si>
  <si>
    <t>2QE</t>
  </si>
  <si>
    <t>DIVISIONAL SUMMARY</t>
  </si>
  <si>
    <t>Consolidated Financial Results</t>
  </si>
  <si>
    <t>Operating Profit</t>
  </si>
  <si>
    <t>CONSOLIDATED INCOME STATEMENT</t>
  </si>
  <si>
    <t>Pre-Tax Income</t>
  </si>
  <si>
    <t>Average Diluted Shares</t>
  </si>
  <si>
    <t>Share Repurchase (#, estimated)</t>
  </si>
  <si>
    <t>Options Outstanding</t>
  </si>
  <si>
    <t>Wtd Avg Price</t>
  </si>
  <si>
    <t>Exercise Proceeds</t>
  </si>
  <si>
    <t>CASH FLOW STATEMENT</t>
  </si>
  <si>
    <t>BALANCE SHEET</t>
  </si>
  <si>
    <t>BALANCE SHEET DRIVERS AND OTHER METRICS</t>
  </si>
  <si>
    <t>Net Debt / EBITDA</t>
  </si>
  <si>
    <t>Adj. Net Debt / EBITDAR</t>
  </si>
  <si>
    <t>TTM EBITDAR</t>
  </si>
  <si>
    <t>Net working capital</t>
  </si>
  <si>
    <t>Delta net working capital</t>
  </si>
  <si>
    <t>Debt and Other Leverage</t>
  </si>
  <si>
    <t>Current Ratio</t>
  </si>
  <si>
    <t>Quick Ratio</t>
  </si>
  <si>
    <t>Book Value</t>
  </si>
  <si>
    <t>Net Debt / Cap</t>
  </si>
  <si>
    <t>Leverage Ratio</t>
  </si>
  <si>
    <t>Asset Turnover</t>
  </si>
  <si>
    <t>Profit Margin</t>
  </si>
  <si>
    <t>ROE (Net Income)</t>
  </si>
  <si>
    <t>ROE (NOPAT adj for Rent)</t>
  </si>
  <si>
    <t>Debt and Interest Expense</t>
  </si>
  <si>
    <t>Short term debt</t>
  </si>
  <si>
    <t>Long term debt</t>
  </si>
  <si>
    <t>Total debt</t>
  </si>
  <si>
    <t>Net change in debt</t>
  </si>
  <si>
    <t>Average debt</t>
  </si>
  <si>
    <t>Net interest expense</t>
  </si>
  <si>
    <t>Blended annual interest rate</t>
  </si>
  <si>
    <t>Dividend Model</t>
  </si>
  <si>
    <t>Dividends per common share paid</t>
  </si>
  <si>
    <t>Dividends per common share declared</t>
  </si>
  <si>
    <t>Annualized dividend declared per share</t>
  </si>
  <si>
    <t>Annualized dividend paid per share</t>
  </si>
  <si>
    <t>Dividends per share declared</t>
  </si>
  <si>
    <t>brooke.roach@gs.com</t>
  </si>
  <si>
    <t>Sources: Company data, Goldman Sachs Global Investment Research</t>
  </si>
  <si>
    <t>COMPANY MODEL</t>
  </si>
  <si>
    <t>Nike Inc. (NKE)</t>
  </si>
  <si>
    <t>% of sales</t>
  </si>
  <si>
    <t>margin change (bp)</t>
  </si>
  <si>
    <t>% chg Y/Y, FX neutral (disclosed)</t>
  </si>
  <si>
    <t>% of revenues chg (bp)</t>
  </si>
  <si>
    <t>flat</t>
  </si>
  <si>
    <t>Implied  SG&amp;A</t>
  </si>
  <si>
    <t>Inventory / TTM COGS</t>
  </si>
  <si>
    <t>AR / TTM Sales</t>
  </si>
  <si>
    <t>AP / TTM COGS</t>
  </si>
  <si>
    <t>Capex / Sales</t>
  </si>
  <si>
    <t>Inventory Growth</t>
  </si>
  <si>
    <t>Sales Growth</t>
  </si>
  <si>
    <t>Inventory as a % of TTM Sales</t>
  </si>
  <si>
    <t>Receivables Growth</t>
  </si>
  <si>
    <t>Comparable direct distribution market sales % chg Y/Y</t>
  </si>
  <si>
    <t>Impact of conversion of licensed to direct dist.</t>
  </si>
  <si>
    <t>Revs from comparable Licensed Market % chg Y/Y</t>
  </si>
  <si>
    <t>Impact on total converse revenues</t>
  </si>
  <si>
    <t>Reported Gross Margin Drivers</t>
  </si>
  <si>
    <t>2027E</t>
  </si>
  <si>
    <t>2028E</t>
  </si>
  <si>
    <t>Summary Model</t>
  </si>
  <si>
    <t>Total Revenues</t>
  </si>
  <si>
    <t>Income taxes</t>
  </si>
  <si>
    <t>EPS - Comparable</t>
  </si>
  <si>
    <t>Free Cash Flow</t>
  </si>
  <si>
    <t>Net Debt to EBITDA</t>
  </si>
  <si>
    <t>Nike Brand Operating Profit</t>
  </si>
  <si>
    <t>Nike Brand sales</t>
  </si>
  <si>
    <t>Nike (NKE) Summary Model</t>
  </si>
  <si>
    <t>Select other items</t>
  </si>
  <si>
    <t>ex-FX % Y/Y</t>
  </si>
  <si>
    <t>Store Comps Disclosure</t>
  </si>
  <si>
    <t>Gross Margin Disclosure (pt)</t>
  </si>
  <si>
    <t>Store Comps</t>
  </si>
  <si>
    <t>decr.</t>
  </si>
  <si>
    <t>% chg Y/Y in Comparable EPS</t>
  </si>
  <si>
    <t>unch.</t>
  </si>
  <si>
    <t>margin chg Y/Y (bps)</t>
  </si>
  <si>
    <t>Operating lease right-of-use assets,  net</t>
  </si>
  <si>
    <t>Current portion of operating lease liabilities</t>
  </si>
  <si>
    <t>Operating lease liabilities</t>
  </si>
  <si>
    <t xml:space="preserve">Invested Capital ex. Lease </t>
  </si>
  <si>
    <t>ROIC: PVOL method</t>
  </si>
  <si>
    <t>Brooke Roach, CFA</t>
  </si>
  <si>
    <t>Wholesale Sales</t>
  </si>
  <si>
    <t>Other sales</t>
  </si>
  <si>
    <t>Digital commerce sales growth disclosure</t>
  </si>
  <si>
    <t>ND</t>
  </si>
  <si>
    <t>Ecomm growth</t>
  </si>
  <si>
    <t>E-commerce growth</t>
  </si>
  <si>
    <t>Direct % of total NKE Brand</t>
  </si>
  <si>
    <t>&gt;100%</t>
  </si>
  <si>
    <t>2029E</t>
  </si>
  <si>
    <t xml:space="preserve">decr. </t>
  </si>
  <si>
    <t>tel: 212-357-2421</t>
  </si>
  <si>
    <t>Cash + Short-term investments</t>
  </si>
  <si>
    <t>Key customer concentration (US top 3)</t>
  </si>
  <si>
    <t>Number of significant distribution centers in US</t>
  </si>
  <si>
    <t>Key customer concentration (intl top 3)</t>
  </si>
  <si>
    <t>Number of signif intl dcs</t>
  </si>
  <si>
    <t>Wholesale-equivalent revenues:</t>
  </si>
  <si>
    <t>NIKE Kids'</t>
  </si>
  <si>
    <t>Men's % of total</t>
  </si>
  <si>
    <t>Women's % of total</t>
  </si>
  <si>
    <t>NIKE Kids' % of total</t>
  </si>
  <si>
    <t>Jordan % of total</t>
  </si>
  <si>
    <t>Others % of total</t>
  </si>
  <si>
    <t>Channel mix (DTC)</t>
  </si>
  <si>
    <t>Total Wholesale Equivalent Sales</t>
  </si>
  <si>
    <t>Sales from Wholesale Ops to NKE Direct Ops</t>
  </si>
  <si>
    <t>Sales from WS to NKE Direct % of total</t>
  </si>
  <si>
    <t>+2.4</t>
  </si>
  <si>
    <t>-.8</t>
  </si>
  <si>
    <t>% chg. y/y</t>
  </si>
  <si>
    <t>Analyst</t>
  </si>
  <si>
    <t>+2.9</t>
  </si>
  <si>
    <t>+1.8</t>
  </si>
  <si>
    <t>-1.9</t>
  </si>
  <si>
    <t>-1.4</t>
  </si>
  <si>
    <t>Mentesnot Adamu</t>
  </si>
  <si>
    <t>tel: 801-744-0630</t>
  </si>
  <si>
    <t>mentesnot.adamu@gs.com</t>
  </si>
  <si>
    <t>Ecomm penetration</t>
  </si>
  <si>
    <t>Interest rate</t>
  </si>
  <si>
    <t>+2.2</t>
  </si>
  <si>
    <t>+1.9</t>
  </si>
  <si>
    <t>-1.7</t>
  </si>
  <si>
    <t>+0.2</t>
  </si>
  <si>
    <t>-0.5</t>
  </si>
  <si>
    <t>+1.0</t>
  </si>
  <si>
    <t>-4.9</t>
  </si>
  <si>
    <t>-1.2</t>
  </si>
  <si>
    <t>+4%</t>
  </si>
  <si>
    <t>-3.8</t>
  </si>
  <si>
    <t>+3%</t>
  </si>
  <si>
    <t>+12%</t>
  </si>
  <si>
    <t>-4.2</t>
  </si>
  <si>
    <t>-4%</t>
  </si>
  <si>
    <t>+2%</t>
  </si>
  <si>
    <t>Total Segment Sales</t>
  </si>
  <si>
    <t>Global Brands % of total</t>
  </si>
  <si>
    <t>bps chg. y/y</t>
  </si>
  <si>
    <t>N. America Gross Profit</t>
  </si>
  <si>
    <t>N. America Demand Creation Exp.</t>
  </si>
  <si>
    <t>N. America Op. Overhead Exp.</t>
  </si>
  <si>
    <t>N. America Total SG&amp;A</t>
  </si>
  <si>
    <t>N. America Other Income/Expense</t>
  </si>
  <si>
    <t>Corporate Gross Profit</t>
  </si>
  <si>
    <t>Corporate Demand Creation Exp.</t>
  </si>
  <si>
    <t>Corporate Op. Overhead Exp.</t>
  </si>
  <si>
    <t>Corporate Total SG&amp;A</t>
  </si>
  <si>
    <t>Corporate Other Income/Expense</t>
  </si>
  <si>
    <t>Converse Gross Profit</t>
  </si>
  <si>
    <t>Converse Demand Creation Exp.</t>
  </si>
  <si>
    <t>Converse Op. Overhead Exp.</t>
  </si>
  <si>
    <t>Converse Total SG&amp;A</t>
  </si>
  <si>
    <t>Converse Other Income/Expense</t>
  </si>
  <si>
    <t>APLA Gross Profit</t>
  </si>
  <si>
    <t>APLA Demand Creation Exp.</t>
  </si>
  <si>
    <t>APLA Op. Overhead Exp.</t>
  </si>
  <si>
    <t>APLA Total SG&amp;A</t>
  </si>
  <si>
    <t>APLA Other Income/Expense</t>
  </si>
  <si>
    <t>GC Gross Profit</t>
  </si>
  <si>
    <t>GC Demand Creation Exp.</t>
  </si>
  <si>
    <t>GC Op. Overhead Exp.</t>
  </si>
  <si>
    <t>GC Total SG&amp;A</t>
  </si>
  <si>
    <t>GC Other Income/Expense</t>
  </si>
  <si>
    <t>EMEA Gross Profit</t>
  </si>
  <si>
    <t>EMEA Demand Creation Exp.</t>
  </si>
  <si>
    <t>EMEA Op. Overhead Exp.</t>
  </si>
  <si>
    <t>EMEA Total SG&amp;A</t>
  </si>
  <si>
    <t>EMEA Other Income/Expense</t>
  </si>
  <si>
    <t>EMEA D&amp;A</t>
  </si>
  <si>
    <t>EMEA Inventories</t>
  </si>
  <si>
    <t>N. America D&amp;A</t>
  </si>
  <si>
    <t>N. America Inventories</t>
  </si>
  <si>
    <t>GC D&amp;A</t>
  </si>
  <si>
    <t>GC Inventories</t>
  </si>
  <si>
    <t>APLA D&amp;A</t>
  </si>
  <si>
    <t>APLA Inventories</t>
  </si>
  <si>
    <t>Converse D&amp;A</t>
  </si>
  <si>
    <t>Converse Inventories</t>
  </si>
  <si>
    <t>Total NIKE Brand Op. Overhead</t>
  </si>
  <si>
    <t>Total NIKE Brand Demand Creation</t>
  </si>
  <si>
    <t>Total NIKE Brand SG&amp;A</t>
  </si>
  <si>
    <t>Nike Brand Segment Revenues</t>
  </si>
  <si>
    <t>Global Brand Gross Profit</t>
  </si>
  <si>
    <t>Global Brand Demand Creation Exp.</t>
  </si>
  <si>
    <t>Global Brand Op. Overhead Exp.</t>
  </si>
  <si>
    <t>Global Brand Total SG&amp;A</t>
  </si>
  <si>
    <t>Global Brand Other Income/Expense</t>
  </si>
  <si>
    <t>Global Brand D&amp;A</t>
  </si>
  <si>
    <t>Global Brand Inventories</t>
  </si>
  <si>
    <t>NIKE Brand Gross Profit</t>
  </si>
  <si>
    <t>NIKE Brand Profit Summary</t>
  </si>
  <si>
    <t>Managing Director</t>
  </si>
  <si>
    <t>Carly Chasen</t>
  </si>
  <si>
    <t>tel: 212-902-2327</t>
  </si>
  <si>
    <t>carly.chasen@gs.com</t>
  </si>
  <si>
    <t xml:space="preserve"> </t>
  </si>
  <si>
    <t>Date: October 1st,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</si>
</sst>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0.0%"/>
    <numFmt numFmtId="167" formatCode="0.0"/>
    <numFmt numFmtId="168" formatCode="&quot;$&quot;#,##0.00"/>
    <numFmt numFmtId="169" formatCode="0.0&quot;x&quot;"/>
    <numFmt numFmtId="170" formatCode="#,##0.000"/>
    <numFmt numFmtId="171" formatCode="0.00&quot;x&quot;"/>
    <numFmt numFmtId="172" formatCode="0.0_)\%;\(0.0\)\%;0.0_)\%;@_)_%"/>
    <numFmt numFmtId="173" formatCode="#,##0.0_)_%;\(#,##0.0\)_%;0.0_)_%;@_)_%"/>
    <numFmt numFmtId="174" formatCode="#,##0.0_);\(#,##0.0\);#,##0.0_);@_)"/>
    <numFmt numFmtId="175" formatCode="#,##0.0_);\(#,##0.0\)"/>
    <numFmt numFmtId="176" formatCode="&quot;$&quot;_(#,##0.00_);&quot;$&quot;\(#,##0.00\)"/>
    <numFmt numFmtId="177" formatCode="&quot;$&quot;_(#,##0.00_);&quot;$&quot;\(#,##0.00\);&quot;$&quot;_(0.00_);@_)"/>
    <numFmt numFmtId="178" formatCode="#,##0.00_);\(#,##0.00\);0.00_);@_)"/>
    <numFmt numFmtId="179" formatCode="\€_(#,##0.00_);\€\(#,##0.00\);\€_(0.00_);@_)"/>
    <numFmt numFmtId="180" formatCode="#,##0.0_)\x;\(#,##0.0\)\x"/>
    <numFmt numFmtId="181" formatCode="#,##0_)\x;\(#,##0\)\x;0_)\x;@_)_x"/>
    <numFmt numFmtId="182" formatCode="#,##0.0_)\x;\(#,##0.0\)\x;0.0_)\x;@_)_x"/>
    <numFmt numFmtId="183" formatCode="#,##0.0_)_x;\(#,##0.0\)_x"/>
    <numFmt numFmtId="184" formatCode="#,##0_)_x;\(#,##0\)_x;0_)_x;@_)_x"/>
    <numFmt numFmtId="185" formatCode="#,##0.0_)_x;\(#,##0.0\)_x;0.0_)_x;@_)_x"/>
    <numFmt numFmtId="186" formatCode="0.0_)\%;\(0.0\)\%"/>
    <numFmt numFmtId="187" formatCode="#,##0.0_)_%;\(#,##0.0\)_%"/>
    <numFmt numFmtId="188" formatCode="#,##0;\(#,##0\)"/>
    <numFmt numFmtId="189" formatCode="0\A"/>
    <numFmt numFmtId="190" formatCode="0.00_)"/>
    <numFmt numFmtId="191" formatCode="0\p"/>
    <numFmt numFmtId="192" formatCode="\$0.00;\(\$0.00\)"/>
    <numFmt numFmtId="193" formatCode="0.0&quot;  &quot;"/>
    <numFmt numFmtId="194" formatCode="_-* #,##0_-;\(#,##0\);_-* &quot;–&quot;_-;_-@_-"/>
    <numFmt numFmtId="195" formatCode="#,##0.00;;;[White]General"/>
    <numFmt numFmtId="196" formatCode="_(* #,##0.00000_);_(* \(#,##0.00000\);_(* &quot;-&quot;??_);_(@_)"/>
    <numFmt numFmtId="197" formatCode="#,##0.000_);[Red]\(#,##0.000\)"/>
    <numFmt numFmtId="198" formatCode="&quot;$&quot;0.0"/>
    <numFmt numFmtId="199" formatCode="#,##0;\(#,##0\);\–;@"/>
    <numFmt numFmtId="200" formatCode="_(&quot;CHF&quot;* #,##0.0_);_(&quot;CHF&quot;* \(#,##0.0\);_(&quot;CHF&quot;* &quot;-&quot;??_);_(@_)"/>
    <numFmt numFmtId="201" formatCode="0.0&quot;bp&quot;"/>
    <numFmt numFmtId="202" formatCode="_(* #,##0_);_(* \(#,##0\);_(* &quot;-&quot;??_);_(@_)"/>
    <numFmt numFmtId="203" formatCode="0.000%"/>
    <numFmt numFmtId="204" formatCode="0.000"/>
    <numFmt numFmtId="205" formatCode="#,##0.0000"/>
    <numFmt numFmtId="206" formatCode="#,##0.00000"/>
    <numFmt numFmtId="207" formatCode="mmm"/>
    <numFmt numFmtId="208" formatCode="#,##0.0\ ;\(#,##0.0\)"/>
    <numFmt numFmtId="209" formatCode="0.0_)"/>
    <numFmt numFmtId="210" formatCode="#,##0.000000\ ;[Red]\(#,##0.000000\)"/>
    <numFmt numFmtId="211" formatCode="\C&quot;$&quot;\ #,##0.00_);\C&quot;$&quot;\ \(#,##0.00\);\C&quot;$&quot;\ 0.00_)"/>
    <numFmt numFmtId="212" formatCode="#,##0.0_);[Red]\(#,##0.0\)"/>
    <numFmt numFmtId="213" formatCode="\ &quot;R$ &quot;#,##0.00_);\ \(&quot;R$ &quot;#,##0.00\)"/>
    <numFmt numFmtId="214" formatCode="&quot;$&quot;#,##0.0\ \ ;&quot;$&quot;\(#,##0.0\)\ ;&quot;$&quot;&quot; - &quot;\ \ \ \ ;@_)"/>
    <numFmt numFmtId="215" formatCode="&quot;$&quot;#,##0.000\ ;\(&quot;$&quot;#,##0.000\)"/>
    <numFmt numFmtId="216" formatCode="_(&quot;$&quot;#,##0_)&quot;millions&quot;;\(&quot;$&quot;#,##0\)&quot; millions&quot;"/>
    <numFmt numFmtId="217" formatCode="0.00%;\(0.00\)%"/>
    <numFmt numFmtId="218" formatCode="&quot;$&quot;#,##0.00_)\ \ \ ;\(&quot;$&quot;#,##0.00\)\ \ \ "/>
    <numFmt numFmtId="219" formatCode="&quot;$&quot;#,##0.00&quot;*&quot;\ \ ;\(&quot;$&quot;#,##0.00\)&quot;*&quot;\ \ "/>
    <numFmt numFmtId="220" formatCode="&quot;$&quot;#,##0.00\A_)\ ;\(&quot;$&quot;#,##0.00\A\)\ \ "/>
    <numFmt numFmtId="221" formatCode="0.0%_);\(0.0%\)"/>
    <numFmt numFmtId="222" formatCode="#,##0_%_);\(#,##0\)_%;**;@_%_)"/>
    <numFmt numFmtId="223" formatCode=";;;"/>
    <numFmt numFmtId="224" formatCode="#,##0.0000_);[Red]\(#,##0.0000\)"/>
    <numFmt numFmtId="225" formatCode="General_)"/>
    <numFmt numFmtId="226" formatCode="0.000000"/>
    <numFmt numFmtId="227" formatCode="&quot;R$ &quot;_(#,##0.00_);&quot;R$ &quot;\(#,##0.00\)"/>
    <numFmt numFmtId="228" formatCode="&quot;$&quot;#,##0.0_);[Red]\(&quot;$&quot;#,##0.0\)"/>
    <numFmt numFmtId="229" formatCode="#,##0.000_);\(#,##0.000\)"/>
    <numFmt numFmtId="230" formatCode="0.00\ ;\(0.00\)"/>
    <numFmt numFmtId="231" formatCode="0.000_)"/>
    <numFmt numFmtId="232" formatCode="_(* #,##0.0_);_(* \(#,##0.0\);_(* &quot;--- &quot;_)"/>
    <numFmt numFmtId="233" formatCode="m\-d\-yy"/>
    <numFmt numFmtId="234" formatCode="0_)"/>
    <numFmt numFmtId="235" formatCode="#,##0_);[Red]\(#,##0\);&quot;-  &quot;"/>
    <numFmt numFmtId="236" formatCode="&quot;$&quot;\ #,##0.000\ \ \ \ ;&quot;$&quot;\ \(#,##0.000\)\ \ \ ;&quot;$&quot;\ &quot;-&quot;\ \ \ \ ;@_)"/>
    <numFmt numFmtId="237" formatCode="\A\ &quot;$&quot;#,##0.00\ ;\(\A\ &quot;$&quot;#,##0.00\)"/>
    <numFmt numFmtId="238" formatCode="_(* #,##0.0_);_(* \(#,##0.0\);_(* &quot;-&quot;??_);_(@_)"/>
    <numFmt numFmtId="239" formatCode="#,##0.0000000000"/>
    <numFmt numFmtId="240" formatCode="#,##0,,,_);[Red]\(#,##0,,,\)"/>
    <numFmt numFmtId="241" formatCode="#,##0.0;[Red]\(#,##0.0\)"/>
    <numFmt numFmtId="242" formatCode="0.0%;\(0.0%\)"/>
    <numFmt numFmtId="243" formatCode="#,##0.00\p;\(#,##0.00\p\)"/>
    <numFmt numFmtId="244" formatCode="#,##0.0%_);\(#,##0.0%\);#,##0.0%_);@_%_)"/>
    <numFmt numFmtId="245" formatCode="#,##0\ \b\p;\(#,##0\)\b\p;0\ \ \ "/>
    <numFmt numFmtId="246" formatCode="&quot;R$ &quot;#,##0.0_)_);\(&quot;R$ &quot;#,##0.0\)_);&quot;R$ &quot;#,##0.0_)_);@_%_)"/>
    <numFmt numFmtId="247" formatCode="\•\ \ @"/>
    <numFmt numFmtId="248" formatCode="0.000000000"/>
    <numFmt numFmtId="249" formatCode="#,##0.00000;[Red]\(#,##0.00000\)"/>
    <numFmt numFmtId="250" formatCode="#,##0.0000;\(#,##0.0000\)"/>
    <numFmt numFmtId="251" formatCode="#,##0_%_);\(#,##0\)_%;#,##0_%_);@_%_)"/>
    <numFmt numFmtId="252" formatCode="#,##0.0_)\ &quot;Tcfe&quot;;[Red]\(#,##0.0\)\ &quot;Tcfe&quot;"/>
    <numFmt numFmtId="253" formatCode="#,##0.00_%_);\(#,##0.00\)_%;**;@_%_)"/>
    <numFmt numFmtId="254" formatCode="_(* #,##0_);_(* \(#,##0\);_(* &quot;-&quot;?_);_(@_)"/>
    <numFmt numFmtId="255" formatCode="#,##0.000_%_);\(#,##0.000\)_%;**;@_%_)"/>
    <numFmt numFmtId="256" formatCode="[$-416]mmm\-yy;@"/>
    <numFmt numFmtId="257" formatCode="_(* #,##0,_);_(* \(#,##0,\)"/>
    <numFmt numFmtId="258" formatCode="#,##0.0\x"/>
    <numFmt numFmtId="259" formatCode="#,##0.0___);\(#,##0.0__\)"/>
    <numFmt numFmtId="260" formatCode="#,##0.00_)\ \ ;\(#,##0.00\)\ \ "/>
    <numFmt numFmtId="261" formatCode="#,##0_)\ \-\ ;[Red]\(#,##0\)\ \-"/>
    <numFmt numFmtId="262" formatCode="#,##0.0\A"/>
    <numFmt numFmtId="263" formatCode="#,##0.0\x_);\(#,##0.0\x\);#,##0.0\x_);@_)"/>
    <numFmt numFmtId="264" formatCode="#,##0.0_%_);\(#,##0.0\)_%;#,##0.0_%_);@_%_)"/>
    <numFmt numFmtId="265" formatCode="#,##0.0\p"/>
    <numFmt numFmtId="266" formatCode="0.0\x\ "/>
    <numFmt numFmtId="267" formatCode="#,##0;[Red]\(#,##0\);&quot;-&quot;"/>
    <numFmt numFmtId="268" formatCode="#,##0.0;\(#,##0.0\);&quot;-&quot;"/>
    <numFmt numFmtId="269" formatCode="#,##0.00;\(#,##0.00\);&quot;-&quot;"/>
    <numFmt numFmtId="270" formatCode="#,##0.000;\(#,##0.000\);&quot;-&quot;"/>
    <numFmt numFmtId="271" formatCode="&quot;R$ &quot;#,##0_);[Red]\(&quot;R$ &quot;#,##0\)"/>
    <numFmt numFmtId="272" formatCode="_(&quot;R$ &quot;* #,##0.00_);_(&quot;R$ &quot;* \(#,##0.00\)"/>
    <numFmt numFmtId="273" formatCode="m/d/yy_)"/>
    <numFmt numFmtId="274" formatCode="&quot;R$ &quot;#,##0.00_);\(&quot;R$ &quot;#,##0.00\)"/>
    <numFmt numFmtId="275" formatCode="&quot;$&quot;#,##0.000_);[Red]\(&quot;$&quot;#,##0.000\)"/>
    <numFmt numFmtId="276" formatCode="&quot;R$ &quot;#,##0.0_);[Red]\(&quot;R$ &quot;#,##0.0\)"/>
    <numFmt numFmtId="277" formatCode="0.0%_);\(0.0%\);0.0%_);@_)"/>
    <numFmt numFmtId="278" formatCode="&quot;$&quot;#,##0.00_%_);\(&quot;$&quot;#,##0.00\)_%;**;@_%_)"/>
    <numFmt numFmtId="279" formatCode="_(* #,##0_);_(* \(#,##0\);_(* &quot;----&quot;_);_(@_)"/>
    <numFmt numFmtId="280" formatCode="&quot;$&quot;#,##0.0_);\(&quot;$&quot;#,##0.0\)"/>
    <numFmt numFmtId="281" formatCode="&quot;$&quot;#,##0.000_);\(&quot;$&quot;#,##0.000\)"/>
    <numFmt numFmtId="282" formatCode="&quot;$&quot;#,##0;[Red]\ &quot;$&quot;\(#,##0\);&quot;-&quot;"/>
    <numFmt numFmtId="283" formatCode="&quot;$&quot;#,##0.0;\(&quot;$&quot;#,##0.0\);&quot;-&quot;"/>
    <numFmt numFmtId="284" formatCode="&quot;$&quot;#,##0.00;\(&quot;$&quot;#,##0.00\);&quot;-&quot;"/>
    <numFmt numFmtId="285" formatCode="&quot;$&quot;#,##0.00_)\ \ ;\(&quot;$&quot;#,##0.00\)\ \ "/>
    <numFmt numFmtId="286" formatCode="@\ \ \ \ \ "/>
    <numFmt numFmtId="287" formatCode="_(* #,##0.00_);_(* \(#,##0.00\);_(* &quot;-----&quot;_);_(@_)"/>
    <numFmt numFmtId="288" formatCode="yyyy"/>
    <numFmt numFmtId="289" formatCode="#,##0.0&quot; days&quot;;[Red]\(#,##0.0&quot; days&quot;\);&quot;-&quot;"/>
    <numFmt numFmtId="290" formatCode="_(* #,##0.00_);_(* \(#,##0.00\);_(* &quot;---&quot;_);_(@_)"/>
    <numFmt numFmtId="291" formatCode="0&quot;E&quot;"/>
    <numFmt numFmtId="292" formatCode="&quot;$&quot;#,##0.00\A\ \ \ \ ;\(&quot;$&quot;#,##0.00\A\)\ \ \ \ "/>
    <numFmt numFmtId="293" formatCode="&quot;$&quot;#,##0.00&quot;E&quot;\ \ \ \ ;\(&quot;$&quot;#,##0.00&quot;E&quot;\)\ \ \ \ "/>
    <numFmt numFmtId="294" formatCode="#,##0.00\A\ \ \ \ ;\(#,##0.00\A\)\ \ \ \ "/>
    <numFmt numFmtId="295" formatCode="&quot;$&quot;#,##0.00&quot;A&quot;;[Red]\(&quot;$&quot;#,##0.00\)&quot;A&quot;"/>
    <numFmt numFmtId="296" formatCode="#,##0.00&quot;E&quot;\ \ \ \ ;\(#,##0.00&quot;E&quot;\)\ \ \ \ "/>
    <numFmt numFmtId="297" formatCode="&quot;$&quot;#,##0.00&quot;E&quot;;[Red]\(&quot;$&quot;#,##0.00\)&quot;E&quot;"/>
    <numFmt numFmtId="298" formatCode="_([$€-2]* #,##0.00_);_([$€-2]* \(#,##0.00\);_([$€-2]* &quot;-&quot;??_)"/>
    <numFmt numFmtId="299" formatCode="\F\F\r\ \ #,##0.00_);\F\F\r\ \ \(#,##0.00\)"/>
    <numFmt numFmtId="300" formatCode="&quot;$&quot;#,##0.00_)\ \ \ \ \ ;\(&quot;$&quot;#,##0.00\)\ \ \ \ \ "/>
    <numFmt numFmtId="301" formatCode="0%\ \ \ \ \ \ \ "/>
    <numFmt numFmtId="302" formatCode="0.0%_);[Red]\(0.0%\)"/>
    <numFmt numFmtId="303" formatCode="0.00%;\(0.00%\)"/>
    <numFmt numFmtId="304" formatCode="_(* #,##0.0_);_(* \(#,##0.0\);_(* &quot;----&quot;_);_(@_)"/>
    <numFmt numFmtId="305" formatCode="#,##0;[Red]\(#,##0\)"/>
    <numFmt numFmtId="306" formatCode="&quot;$&quot;#,##0.0_%_);\(&quot;$&quot;#,##0.0\)_%"/>
    <numFmt numFmtId="307" formatCode="&quot;$&quot;#,##0.00_%_);\(&quot;$&quot;#,##0.00\)_%"/>
    <numFmt numFmtId="308" formatCode="[Blue]#,##0.00\ ;[Blue]\(#,##0.00\);[Blue]**"/>
    <numFmt numFmtId="309" formatCode="0.0\x_)_);&quot;NM    &quot;;0.0\x_)_)"/>
    <numFmt numFmtId="310" formatCode="&quot;$&quot;#,##0.0_)\ \ ;\(&quot;$&quot;#,##0.0\)\ \ "/>
    <numFmt numFmtId="311" formatCode="#,##0.00_);\(&quot;$&quot;#,##0.00\)"/>
    <numFmt numFmtId="312" formatCode="0.0\ \x\ \ \ \ ;&quot;NM      &quot;;\ 0.0\ \x\ \ \ \ "/>
    <numFmt numFmtId="313" formatCode="0.0%_)\ \ ;\(0.0%\)\ \ "/>
    <numFmt numFmtId="314" formatCode="0.0\x"/>
    <numFmt numFmtId="315" formatCode="&quot;$&quot;#,##0\ &quot;MM&quot;;\(&quot;$&quot;#,##0.00\ &quot;MM&quot;\)"/>
    <numFmt numFmtId="316" formatCode="_(&quot;$&quot;* #,##0_)\ &quot;millions&quot;;_(&quot;$&quot;* \(#,##0\)&quot; millions&quot;"/>
    <numFmt numFmtId="317" formatCode="#,##0\ &quot;DM&quot;;\-#,##0\ &quot;DM&quot;"/>
    <numFmt numFmtId="318" formatCode="#,##0\ &quot;DM&quot;;[Red]\-#,##0\ &quot;DM&quot;"/>
    <numFmt numFmtId="319" formatCode="_-* #,##0\ _D_M_-;\-* #,##0\ _D_M_-;_-* &quot;-&quot;\ _D_M_-;_-@_-"/>
    <numFmt numFmtId="320" formatCode="_-* #,##0.00\ _D_M_-;\-* #,##0.00\ _D_M_-;_-* &quot;-&quot;??\ _D_M_-;_-@_-"/>
    <numFmt numFmtId="321" formatCode="_-* #,##0\ &quot;DM&quot;_-;\-* #,##0\ &quot;DM&quot;_-;_-* &quot;-&quot;\ &quot;DM&quot;_-;_-@_-"/>
    <numFmt numFmtId="322" formatCode="_-* #,##0.00\ &quot;DM&quot;_-;\-* #,##0.00\ &quot;DM&quot;_-;_-* &quot;-&quot;??\ &quot;DM&quot;_-;_-@_-"/>
    <numFmt numFmtId="323" formatCode="#,##0.0\x;[Red]\(#,##0.0\x\);&quot;-&quot;"/>
    <numFmt numFmtId="324" formatCode="#,##0.0___);\(#,##0.0\)__\)"/>
    <numFmt numFmtId="325" formatCode="#,##0.00;[Red]\(#,##0.00\)"/>
    <numFmt numFmtId="326" formatCode="0.0\x_);[Red]\(0.0\x\)"/>
    <numFmt numFmtId="327" formatCode="0.0\ "/>
    <numFmt numFmtId="328" formatCode="0.0%\ \ \ \ \ "/>
    <numFmt numFmtId="329" formatCode="#,##0.0%;\(#,##0.0%\)"/>
    <numFmt numFmtId="330" formatCode="#,##0.000%;[Red]\(#,##0.000%\);&quot;-&quot;"/>
    <numFmt numFmtId="331" formatCode="\£#,##0.00_);\(\£#,##0.00\)"/>
    <numFmt numFmtId="332" formatCode="0.00\ \ \ \ "/>
    <numFmt numFmtId="333" formatCode="@\ "/>
    <numFmt numFmtId="334" formatCode="&quot;$&quot;@"/>
    <numFmt numFmtId="335" formatCode="&quot;$&quot;#\ ??/??"/>
    <numFmt numFmtId="336" formatCode="#,##0.0_%_);\(#,##0.0\)_%"/>
    <numFmt numFmtId="337" formatCode="#,##0.000;[Red]\(#,##0.000\)"/>
    <numFmt numFmtId="338" formatCode="0.0\ \ \ ;\(0.0\)\ \ \ "/>
    <numFmt numFmtId="339" formatCode="0.0%;[Red]\-0.0%"/>
    <numFmt numFmtId="340" formatCode="\¥#,##0.00_);\(\¥#,##0.00\)"/>
    <numFmt numFmtId="341" formatCode="0&quot;bp&quot;"/>
    <numFmt numFmtId="342" formatCode="[$-409]mmm;@"/>
    <numFmt numFmtId="343" formatCode="0.00000%"/>
    <numFmt numFmtId="344" formatCode="#,##0.0000_);\(#,##0.0000\)"/>
    <numFmt numFmtId="345" formatCode="_(* #,##0.0000_);_(* \(#,##0.0000\);_(* &quot;-&quot;_);_(@_)"/>
    <numFmt numFmtId="346" formatCode="_(* #,##0.00000_);_(* \(#,##0.00000\);_(* &quot;-&quot;_);_(@_)"/>
    <numFmt numFmtId="347" formatCode="#,##0&quot;bps&quot;"/>
    <numFmt numFmtId="348" formatCode="[$$-409]#,##0.0_);\([$$-409]#,##0.0\);[$$-409]#,##0.0_);@_)"/>
  </numFmts>
  <fonts count="26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GS TheSans"/>
      <family val="2"/>
    </font>
    <font>
      <sz val="10"/>
      <name val="Arial"/>
      <family val="2"/>
    </font>
    <font>
      <sz val="8"/>
      <name val="Tahoma"/>
      <family val="2"/>
    </font>
    <font>
      <b/>
      <sz val="10"/>
      <name val="MS Sans Serif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name val="Arial"/>
      <family val="2"/>
    </font>
    <font>
      <sz val="8"/>
      <name val="Times"/>
      <family val="1"/>
    </font>
    <font>
      <sz val="8"/>
      <name val="Helvetica"/>
      <family val="2"/>
    </font>
    <font>
      <b/>
      <sz val="12"/>
      <name val="Tms Rmn"/>
    </font>
    <font>
      <sz val="9"/>
      <color indexed="9"/>
      <name val="Times New Roman"/>
      <family val="1"/>
    </font>
    <font>
      <sz val="8"/>
      <color indexed="12"/>
      <name val="Tms Rmn"/>
    </font>
    <font>
      <b/>
      <sz val="10"/>
      <color indexed="9"/>
      <name val="Arial"/>
      <family val="2"/>
    </font>
    <font>
      <b/>
      <i/>
      <sz val="8"/>
      <name val="Arial"/>
      <family val="2"/>
    </font>
    <font>
      <b/>
      <sz val="10"/>
      <name val="Bookman"/>
      <family val="1"/>
    </font>
    <font>
      <b/>
      <sz val="24"/>
      <name val="Times New Roman"/>
      <family val="1"/>
    </font>
    <font>
      <b/>
      <sz val="14"/>
      <name val="Book Antiqua"/>
      <family val="1"/>
    </font>
    <font>
      <sz val="11"/>
      <color indexed="12"/>
      <name val="Book Antiqua"/>
      <family val="1"/>
    </font>
    <font>
      <b/>
      <u/>
      <sz val="7"/>
      <name val="Helvetica"/>
      <family val="2"/>
    </font>
    <font>
      <sz val="9"/>
      <name val="Arial"/>
      <family val="2"/>
    </font>
    <font>
      <sz val="9"/>
      <name val="Times New Roman"/>
      <family val="1"/>
    </font>
    <font>
      <sz val="10"/>
      <name val="Book Antiqua"/>
      <family val="1"/>
    </font>
    <font>
      <sz val="7"/>
      <name val="Arial"/>
      <family val="2"/>
    </font>
    <font>
      <b/>
      <sz val="8.5"/>
      <color indexed="1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8"/>
      <name val="Book Antiqua"/>
      <family val="1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Palatino"/>
      <family val="1"/>
    </font>
    <font>
      <b/>
      <sz val="14"/>
      <name val="Arial"/>
      <family val="2"/>
    </font>
    <font>
      <sz val="8"/>
      <name val="Book Antiqua"/>
      <family val="1"/>
    </font>
    <font>
      <i/>
      <sz val="7"/>
      <name val="Book Antiqua"/>
      <family val="1"/>
    </font>
    <font>
      <sz val="8"/>
      <color indexed="9"/>
      <name val="Arial"/>
      <family val="2"/>
    </font>
    <font>
      <b/>
      <i/>
      <sz val="16"/>
      <name val="Helv"/>
    </font>
    <font>
      <b/>
      <sz val="8"/>
      <name val="Arial"/>
      <family val="2"/>
    </font>
    <font>
      <sz val="10"/>
      <color indexed="72"/>
      <name val="System"/>
      <family val="2"/>
    </font>
    <font>
      <b/>
      <sz val="14"/>
      <name val="Times New Roman"/>
      <family val="1"/>
    </font>
    <font>
      <sz val="10"/>
      <name val="Palatino"/>
      <family val="1"/>
    </font>
    <font>
      <sz val="8"/>
      <name val="Helv"/>
      <family val="2"/>
    </font>
    <font>
      <sz val="10"/>
      <name val="Times New Roman"/>
      <family val="1"/>
    </font>
    <font>
      <sz val="8"/>
      <name val="Helv"/>
    </font>
    <font>
      <sz val="12"/>
      <name val="Helvetica"/>
      <family val="2"/>
    </font>
    <font>
      <b/>
      <sz val="14"/>
      <name val="Bookman"/>
      <family val="1"/>
    </font>
    <font>
      <b/>
      <sz val="8"/>
      <name val="HelveticaNeue Condensed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b/>
      <sz val="8.5"/>
      <color indexed="8"/>
      <name val="Arial"/>
      <family val="2"/>
    </font>
    <font>
      <b/>
      <sz val="12"/>
      <color indexed="16"/>
      <name val="Arial"/>
      <family val="2"/>
    </font>
    <font>
      <sz val="7"/>
      <name val="Times New Roman"/>
      <family val="1"/>
    </font>
    <font>
      <b/>
      <u/>
      <sz val="9"/>
      <name val="Arial"/>
      <family val="2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9"/>
      <name val="Arial"/>
      <family val="2"/>
    </font>
    <font>
      <b/>
      <sz val="10"/>
      <name val="Times New Roman"/>
      <family val="1"/>
    </font>
    <font>
      <sz val="9"/>
      <color theme="1"/>
      <name val="Times New Roman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0"/>
      <color theme="1"/>
      <name val="Arial"/>
      <family val="2"/>
    </font>
    <font>
      <b/>
      <sz val="10"/>
      <color rgb="FFFF0000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i/>
      <sz val="10"/>
      <color rgb="FF0000FF"/>
      <name val="Arial"/>
      <family val="2"/>
    </font>
    <font>
      <i/>
      <sz val="10"/>
      <color rgb="FFFF0000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indexed="12"/>
      <name val="Arial"/>
      <family val="2"/>
    </font>
    <font>
      <sz val="10"/>
      <color indexed="8"/>
      <name val="MS Sans Serif"/>
      <family val="2"/>
    </font>
    <font>
      <sz val="10"/>
      <name val="Courier"/>
      <family val="3"/>
    </font>
    <font>
      <sz val="8"/>
      <name val="Tms Rmn"/>
    </font>
    <font>
      <sz val="10"/>
      <name val="GillSans"/>
      <family val="2"/>
    </font>
    <font>
      <sz val="8"/>
      <name val="Times New Roman"/>
      <family val="1"/>
    </font>
    <font>
      <sz val="8"/>
      <name val="GS TheSans"/>
      <family val="2"/>
    </font>
    <font>
      <b/>
      <sz val="8"/>
      <name val="GS TheSans"/>
      <family val="2"/>
    </font>
    <font>
      <sz val="8"/>
      <color indexed="49"/>
      <name val="Times New Roman"/>
      <family val="1"/>
    </font>
    <font>
      <sz val="12"/>
      <name val="MS Sans Serif"/>
      <family val="2"/>
    </font>
    <font>
      <sz val="14"/>
      <name val="Terminal"/>
      <family val="3"/>
      <charset val="255"/>
    </font>
    <font>
      <sz val="12"/>
      <name val="???"/>
      <family val="1"/>
      <charset val="129"/>
    </font>
    <font>
      <sz val="11"/>
      <name val="??"/>
      <family val="1"/>
    </font>
    <font>
      <u/>
      <sz val="8.4"/>
      <color indexed="12"/>
      <name val="Arial"/>
      <family val="2"/>
    </font>
    <font>
      <sz val="10"/>
      <name val="Helv"/>
      <family val="2"/>
    </font>
    <font>
      <sz val="10"/>
      <name val="Helv"/>
    </font>
    <font>
      <sz val="10"/>
      <name val="Helv"/>
      <charset val="204"/>
    </font>
    <font>
      <sz val="9"/>
      <name val="‚l‚r –¾’©"/>
      <family val="1"/>
      <charset val="128"/>
    </font>
    <font>
      <sz val="12"/>
      <name val="Times New Roman"/>
      <family val="1"/>
    </font>
    <font>
      <sz val="11"/>
      <name val="‚l‚r ƒSƒVƒbƒN"/>
      <charset val="128"/>
    </font>
    <font>
      <sz val="10"/>
      <name val="Times"/>
      <family val="1"/>
    </font>
    <font>
      <sz val="10"/>
      <color indexed="8"/>
      <name val="Palatino"/>
      <family val="1"/>
    </font>
    <font>
      <sz val="14"/>
      <name val="Tms Rmn"/>
    </font>
    <font>
      <sz val="11"/>
      <color indexed="8"/>
      <name val="Calibri"/>
      <family val="2"/>
    </font>
    <font>
      <sz val="10"/>
      <color indexed="12"/>
      <name val="Times New Roman"/>
      <family val="1"/>
    </font>
    <font>
      <sz val="7"/>
      <name val="Helvetica"/>
      <family val="2"/>
    </font>
    <font>
      <sz val="11"/>
      <color indexed="9"/>
      <name val="Calibri"/>
      <family val="2"/>
    </font>
    <font>
      <sz val="12"/>
      <name val="Arial MT"/>
    </font>
    <font>
      <sz val="10"/>
      <color indexed="12"/>
      <name val="Arial"/>
      <family val="2"/>
    </font>
    <font>
      <sz val="11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11"/>
      <name val="Arial"/>
      <family val="2"/>
    </font>
    <font>
      <sz val="8"/>
      <name val="Palatino"/>
      <family val="1"/>
    </font>
    <font>
      <sz val="9"/>
      <color indexed="12"/>
      <name val="Times New Roman"/>
      <family val="1"/>
    </font>
    <font>
      <sz val="11"/>
      <name val="Tms Rmn"/>
    </font>
    <font>
      <b/>
      <sz val="9"/>
      <color indexed="8"/>
      <name val="Helvetica 65"/>
    </font>
    <font>
      <sz val="7"/>
      <color indexed="8"/>
      <name val="Helvetica 45"/>
      <family val="2"/>
    </font>
    <font>
      <sz val="7"/>
      <color indexed="8"/>
      <name val="Helvetica 65"/>
      <family val="2"/>
    </font>
    <font>
      <sz val="6"/>
      <color indexed="8"/>
      <name val="Helvetica 65"/>
      <family val="2"/>
    </font>
    <font>
      <sz val="8"/>
      <name val="Arial MT"/>
    </font>
    <font>
      <sz val="11"/>
      <name val="Times New Roman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7"/>
      <name val="Palatino"/>
      <family val="1"/>
    </font>
    <font>
      <sz val="7"/>
      <name val="Ariel"/>
    </font>
    <font>
      <sz val="11"/>
      <color indexed="36"/>
      <name val="Calibri"/>
      <family val="2"/>
    </font>
    <font>
      <sz val="8"/>
      <color indexed="13"/>
      <name val="Arial"/>
      <family val="2"/>
    </font>
    <font>
      <sz val="10"/>
      <name val="Geneva"/>
      <family val="2"/>
    </font>
    <font>
      <sz val="8"/>
      <name val="Tms Rmn"/>
      <family val="1"/>
    </font>
    <font>
      <sz val="9"/>
      <name val="Arial"/>
      <family val="2"/>
      <charset val="177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8"/>
      <color indexed="12"/>
      <name val="Helvetica"/>
      <family val="2"/>
    </font>
    <font>
      <sz val="8"/>
      <color indexed="12"/>
      <name val="Arial MT"/>
      <family val="2"/>
    </font>
    <font>
      <b/>
      <sz val="12"/>
      <name val="Times New Roman"/>
      <family val="1"/>
    </font>
    <font>
      <sz val="8"/>
      <name val="SwitzerlandLight"/>
    </font>
    <font>
      <b/>
      <sz val="8"/>
      <color indexed="8"/>
      <name val="Arial"/>
      <family val="2"/>
    </font>
    <font>
      <sz val="11"/>
      <color indexed="17"/>
      <name val="Calibri"/>
      <family val="2"/>
    </font>
    <font>
      <sz val="10"/>
      <color rgb="FF006100"/>
      <name val="Arial"/>
      <family val="2"/>
    </font>
    <font>
      <sz val="10"/>
      <color indexed="10"/>
      <name val="Times New Roman"/>
      <family val="1"/>
    </font>
    <font>
      <sz val="8"/>
      <color indexed="12"/>
      <name val="Times New Roman"/>
      <family val="1"/>
    </font>
    <font>
      <b/>
      <i/>
      <sz val="12"/>
      <name val="Times New Roman"/>
      <family val="1"/>
    </font>
    <font>
      <i/>
      <sz val="10"/>
      <name val="Tms Rmn"/>
      <family val="1"/>
    </font>
    <font>
      <u val="singleAccounting"/>
      <sz val="10"/>
      <name val="Arial"/>
      <family val="2"/>
    </font>
    <font>
      <b/>
      <sz val="8"/>
      <name val="TimesNewRomanPS"/>
      <family val="1"/>
    </font>
    <font>
      <sz val="12"/>
      <color indexed="24"/>
      <name val="Arial"/>
      <family val="2"/>
    </font>
    <font>
      <sz val="14"/>
      <color indexed="24"/>
      <name val="Arial"/>
      <family val="2"/>
    </font>
    <font>
      <b/>
      <sz val="11"/>
      <color indexed="43"/>
      <name val="Calibri"/>
      <family val="2"/>
    </font>
    <font>
      <b/>
      <sz val="11"/>
      <color indexed="52"/>
      <name val="Calibri"/>
      <family val="2"/>
    </font>
    <font>
      <b/>
      <sz val="10"/>
      <color rgb="FFFA7D00"/>
      <name val="Arial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rgb="FFFA7D00"/>
      <name val="Arial"/>
      <family val="2"/>
    </font>
    <font>
      <sz val="10"/>
      <color indexed="18"/>
      <name val="Times New Roman"/>
      <family val="1"/>
    </font>
    <font>
      <sz val="8"/>
      <color indexed="8"/>
      <name val="Times New Roman"/>
      <family val="1"/>
    </font>
    <font>
      <b/>
      <sz val="14"/>
      <name val="CG Times (WN)"/>
      <family val="1"/>
    </font>
    <font>
      <b/>
      <sz val="7"/>
      <name val="TarzanaNarrow"/>
    </font>
    <font>
      <sz val="7"/>
      <name val="TarzanaNarrow"/>
    </font>
    <font>
      <b/>
      <sz val="8"/>
      <name val="GillSans"/>
      <family val="2"/>
    </font>
    <font>
      <sz val="8"/>
      <color indexed="8"/>
      <name val="Arial MT"/>
      <family val="2"/>
    </font>
    <font>
      <b/>
      <u/>
      <sz val="8"/>
      <name val="Arial"/>
      <family val="2"/>
    </font>
    <font>
      <sz val="10"/>
      <color indexed="24"/>
      <name val="Arial"/>
      <family val="2"/>
    </font>
    <font>
      <sz val="11"/>
      <name val="Tms Rmn"/>
      <family val="1"/>
    </font>
    <font>
      <sz val="8"/>
      <color indexed="12"/>
      <name val="Helv"/>
      <family val="2"/>
    </font>
    <font>
      <b/>
      <sz val="11"/>
      <name val="Book Antiqua"/>
      <family val="1"/>
    </font>
    <font>
      <sz val="10"/>
      <color theme="1"/>
      <name val="Univers LT Std 45 Light"/>
      <family val="2"/>
    </font>
    <font>
      <sz val="9"/>
      <name val="Helvetica"/>
      <family val="2"/>
    </font>
    <font>
      <sz val="10"/>
      <color indexed="8"/>
      <name val="Univers LT Std 45 Light"/>
      <family val="2"/>
    </font>
    <font>
      <sz val="9"/>
      <name val="Helv"/>
    </font>
    <font>
      <sz val="8.5"/>
      <name val="Arial Narrow"/>
      <family val="2"/>
    </font>
    <font>
      <sz val="8"/>
      <color indexed="12"/>
      <name val="Arial Narrow"/>
      <family val="2"/>
    </font>
    <font>
      <sz val="8.5"/>
      <color indexed="49"/>
      <name val="Arial Narrow"/>
      <family val="2"/>
    </font>
    <font>
      <sz val="10"/>
      <name val="BERNHARD"/>
    </font>
    <font>
      <u/>
      <sz val="8"/>
      <name val="Times New Roman"/>
      <family val="1"/>
    </font>
    <font>
      <i/>
      <sz val="9"/>
      <name val="MS Sans Serif"/>
      <family val="2"/>
    </font>
    <font>
      <b/>
      <sz val="9"/>
      <name val="CG Times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b/>
      <sz val="9"/>
      <name val="Univers 47 CondensedLight"/>
      <family val="2"/>
    </font>
    <font>
      <sz val="8"/>
      <color indexed="16"/>
      <name val="Palatino"/>
      <family val="1"/>
    </font>
    <font>
      <b/>
      <i/>
      <u/>
      <sz val="8.5"/>
      <color indexed="12"/>
      <name val="Arial Narrow"/>
      <family val="2"/>
    </font>
    <font>
      <sz val="8.5"/>
      <color indexed="12"/>
      <name val="Arial Narrow"/>
      <family val="2"/>
    </font>
    <font>
      <b/>
      <sz val="8.5"/>
      <name val="Arial Narrow"/>
      <family val="2"/>
    </font>
    <font>
      <sz val="10"/>
      <name val="System"/>
      <family val="2"/>
    </font>
    <font>
      <sz val="8"/>
      <name val="Univers 47 CondensedLight"/>
      <family val="2"/>
    </font>
    <font>
      <b/>
      <sz val="7.5"/>
      <color indexed="8"/>
      <name val="Arial"/>
      <family val="2"/>
    </font>
    <font>
      <sz val="8"/>
      <color indexed="18"/>
      <name val="Times New Roman"/>
      <family val="1"/>
    </font>
    <font>
      <b/>
      <sz val="10"/>
      <name val="Helv"/>
    </font>
    <font>
      <sz val="10"/>
      <name val="TarzanaNarrow"/>
    </font>
    <font>
      <sz val="8"/>
      <color indexed="14"/>
      <name val="Arial Narrow"/>
      <family val="2"/>
    </font>
    <font>
      <b/>
      <sz val="9.5"/>
      <color indexed="10"/>
      <name val="MS Sans Serif"/>
      <family val="2"/>
    </font>
    <font>
      <sz val="6"/>
      <color indexed="23"/>
      <name val="Helvetica-Black"/>
    </font>
    <font>
      <sz val="9.5"/>
      <color indexed="23"/>
      <name val="Helvetica-Black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sz val="6"/>
      <name val="Palatino"/>
      <family val="1"/>
    </font>
    <font>
      <sz val="6"/>
      <color indexed="12"/>
      <name val="Palatino"/>
      <family val="1"/>
    </font>
    <font>
      <sz val="10"/>
      <name val="Helvetica-Black"/>
    </font>
    <font>
      <sz val="28"/>
      <name val="Helvetica-Black"/>
    </font>
    <font>
      <sz val="18"/>
      <name val="Palatino"/>
      <family val="1"/>
    </font>
    <font>
      <i/>
      <sz val="14"/>
      <name val="Palatino"/>
      <family val="1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8"/>
      <color indexed="12"/>
      <name val="Palatino"/>
      <family val="1"/>
    </font>
    <font>
      <i/>
      <sz val="8"/>
      <name val="Tms Rmn"/>
    </font>
    <font>
      <sz val="8"/>
      <color indexed="10"/>
      <name val="Times New Roman"/>
      <family val="1"/>
    </font>
    <font>
      <b/>
      <sz val="8"/>
      <color indexed="12"/>
      <name val="Arial Narrow"/>
      <family val="2"/>
    </font>
    <font>
      <b/>
      <sz val="9"/>
      <color indexed="8"/>
      <name val="Helvetica 65"/>
      <family val="2"/>
    </font>
    <font>
      <sz val="9"/>
      <color indexed="8"/>
      <name val="Helvetica 45"/>
      <family val="2"/>
    </font>
    <font>
      <b/>
      <sz val="8"/>
      <color indexed="8"/>
      <name val="Helvetica 65"/>
    </font>
    <font>
      <sz val="8"/>
      <name val="Helvetica 65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16"/>
      <name val="Helvetica-Black"/>
    </font>
    <font>
      <b/>
      <sz val="8"/>
      <name val="Arial Narrow"/>
      <family val="2"/>
    </font>
    <font>
      <u/>
      <sz val="10"/>
      <name val="GillSans"/>
      <family val="2"/>
    </font>
    <font>
      <sz val="8"/>
      <name val="Wingdings"/>
      <charset val="2"/>
    </font>
    <font>
      <sz val="14"/>
      <name val="MS Sans Serif"/>
      <family val="2"/>
    </font>
    <font>
      <i/>
      <sz val="10"/>
      <name val="Times New Roman"/>
      <family val="1"/>
    </font>
    <font>
      <sz val="8"/>
      <name val="MS Sans Serif"/>
      <family val="2"/>
    </font>
    <font>
      <sz val="10"/>
      <name val="Helvetica"/>
      <family val="2"/>
    </font>
    <font>
      <sz val="8"/>
      <color indexed="39"/>
      <name val="Arial"/>
      <family val="2"/>
    </font>
    <font>
      <sz val="9"/>
      <color indexed="21"/>
      <name val="Helvetica-Black"/>
    </font>
    <font>
      <b/>
      <sz val="9"/>
      <name val="Palatino"/>
      <family val="1"/>
    </font>
    <font>
      <sz val="9"/>
      <name val="Palatino"/>
      <family val="1"/>
    </font>
    <font>
      <b/>
      <sz val="14"/>
      <color indexed="8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b/>
      <sz val="12"/>
      <name val="GillSans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sz val="11"/>
      <name val="Helvetica-Black"/>
      <family val="2"/>
    </font>
    <font>
      <b/>
      <sz val="8"/>
      <color indexed="18"/>
      <name val="Times New Roman"/>
      <family val="1"/>
    </font>
    <font>
      <u/>
      <sz val="11"/>
      <name val="GillSans"/>
      <family val="2"/>
    </font>
    <font>
      <b/>
      <sz val="8"/>
      <name val="Palatino"/>
      <family val="1"/>
    </font>
    <font>
      <b/>
      <u/>
      <sz val="8"/>
      <name val="Helvetica"/>
      <family val="2"/>
    </font>
    <font>
      <u/>
      <sz val="8"/>
      <name val="Tms Rmn"/>
    </font>
    <font>
      <sz val="8.5"/>
      <color indexed="14"/>
      <name val="Arial Narrow"/>
      <family val="2"/>
    </font>
    <font>
      <sz val="12"/>
      <name val="宋体"/>
      <charset val="134"/>
    </font>
    <font>
      <b/>
      <sz val="14"/>
      <color theme="0"/>
      <name val="Arial"/>
      <family val="2"/>
    </font>
    <font>
      <b/>
      <sz val="30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4"/>
      <name val="Arial"/>
      <family val="2"/>
    </font>
    <font>
      <i/>
      <sz val="10"/>
      <color rgb="FF00B050"/>
      <name val="Arial"/>
      <family val="2"/>
    </font>
    <font>
      <i/>
      <sz val="10"/>
      <color theme="4" tint="0.249977111117893"/>
      <name val="Arial"/>
      <family val="2"/>
    </font>
  </fonts>
  <fills count="9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gray0625">
        <fgColor indexed="10"/>
        <bgColor indexed="9"/>
      </patternFill>
    </fill>
    <fill>
      <patternFill patternType="solid">
        <fgColor indexed="18"/>
        <bgColor indexed="64"/>
      </patternFill>
    </fill>
    <fill>
      <patternFill patternType="lightGray">
        <fgColor indexed="14"/>
        <bgColor indexed="9"/>
      </patternFill>
    </fill>
    <fill>
      <patternFill patternType="lightGray">
        <fgColor indexed="15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10"/>
      </patternFill>
    </fill>
    <fill>
      <patternFill patternType="lightGray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52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0"/>
      </patternFill>
    </fill>
    <fill>
      <patternFill patternType="solid">
        <fgColor indexed="11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</patternFill>
    </fill>
    <fill>
      <patternFill patternType="solid">
        <fgColor indexed="57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gray125">
        <fgColor indexed="8"/>
      </patternFill>
    </fill>
    <fill>
      <patternFill patternType="gray0625">
        <fgColor indexed="13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darkVertical"/>
    </fill>
    <fill>
      <patternFill patternType="solid">
        <fgColor indexed="35"/>
        <bgColor indexed="64"/>
      </patternFill>
    </fill>
    <fill>
      <patternFill patternType="gray0625"/>
    </fill>
    <fill>
      <patternFill patternType="solid">
        <fgColor indexed="1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5ECFF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438">
    <xf numFmtId="0" fontId="0" fillId="0" borderId="0"/>
    <xf numFmtId="9" fontId="3" fillId="0" borderId="0" applyFont="0" applyFill="0" applyBorder="0" applyAlignment="0" applyProtection="0"/>
    <xf numFmtId="0" fontId="2" fillId="0" borderId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7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6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3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2" borderId="0" applyNumberFormat="0" applyFont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6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4" fontId="5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6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4" fontId="7" fillId="0" borderId="0" applyFont="0" applyFill="0" applyBorder="0" applyProtection="0">
      <alignment horizontal="right"/>
    </xf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4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4" fontId="5" fillId="0" borderId="0" applyFont="0" applyFill="0" applyBorder="0" applyProtection="0">
      <alignment horizontal="right"/>
    </xf>
    <xf numFmtId="184" fontId="4" fillId="0" borderId="0" applyFont="0" applyFill="0" applyBorder="0" applyProtection="0">
      <alignment horizontal="right"/>
    </xf>
    <xf numFmtId="184" fontId="4" fillId="0" borderId="0" applyFont="0" applyFill="0" applyBorder="0" applyProtection="0">
      <alignment horizontal="right"/>
    </xf>
    <xf numFmtId="184" fontId="4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4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4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4" fontId="5" fillId="0" borderId="0" applyFont="0" applyFill="0" applyBorder="0" applyProtection="0">
      <alignment horizontal="right"/>
    </xf>
    <xf numFmtId="184" fontId="5" fillId="0" borderId="0" applyFont="0" applyFill="0" applyBorder="0" applyProtection="0">
      <alignment horizontal="right"/>
    </xf>
    <xf numFmtId="186" fontId="5" fillId="0" borderId="0" applyFont="0" applyFill="0" applyBorder="0" applyAlignment="0" applyProtection="0"/>
    <xf numFmtId="172" fontId="5" fillId="0" borderId="0" applyFont="0" applyFill="0" applyBorder="0" applyProtection="0">
      <alignment horizontal="right"/>
    </xf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73" fontId="5" fillId="0" borderId="0" applyFont="0" applyFill="0" applyBorder="0" applyProtection="0">
      <alignment horizontal="right"/>
    </xf>
    <xf numFmtId="173" fontId="5" fillId="0" borderId="0" applyFont="0" applyFill="0" applyBorder="0" applyProtection="0">
      <alignment horizontal="right"/>
    </xf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Alignment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1" fillId="0" borderId="8" applyNumberFormat="0" applyFill="0" applyProtection="0">
      <alignment horizontal="center"/>
    </xf>
    <xf numFmtId="0" fontId="11" fillId="0" borderId="0" applyNumberFormat="0" applyFill="0" applyBorder="0" applyProtection="0">
      <alignment horizontal="left"/>
    </xf>
    <xf numFmtId="0" fontId="12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12" fillId="0" borderId="0" applyNumberFormat="0" applyFill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188" fontId="13" fillId="3" borderId="0" applyNumberFormat="0" applyFont="0" applyBorder="0" applyAlignment="0">
      <alignment horizontal="right"/>
    </xf>
    <xf numFmtId="189" fontId="14" fillId="3" borderId="3" applyFont="0">
      <alignment horizontal="right"/>
    </xf>
    <xf numFmtId="0" fontId="15" fillId="0" borderId="0" applyNumberFormat="0" applyFill="0" applyBorder="0" applyAlignment="0" applyProtection="0"/>
    <xf numFmtId="0" fontId="16" fillId="0" borderId="0"/>
    <xf numFmtId="2" fontId="17" fillId="0" borderId="0" applyNumberFormat="0" applyBorder="0" applyAlignment="0"/>
    <xf numFmtId="165" fontId="18" fillId="0" borderId="0"/>
    <xf numFmtId="0" fontId="19" fillId="0" borderId="0" applyNumberFormat="0" applyFill="0" applyBorder="0" applyAlignment="0"/>
    <xf numFmtId="0" fontId="20" fillId="0" borderId="0" applyNumberFormat="0" applyFill="0" applyBorder="0" applyAlignment="0" applyProtection="0"/>
    <xf numFmtId="0" fontId="21" fillId="4" borderId="9">
      <alignment horizontal="center"/>
    </xf>
    <xf numFmtId="2" fontId="15" fillId="5" borderId="0" applyNumberFormat="0" applyFont="0" applyBorder="0" applyAlignment="0" applyProtection="0"/>
    <xf numFmtId="190" fontId="15" fillId="6" borderId="0" applyNumberFormat="0" applyFont="0" applyBorder="0" applyAlignment="0">
      <protection locked="0"/>
    </xf>
    <xf numFmtId="0" fontId="1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90" fontId="23" fillId="0" borderId="0" applyNumberFormat="0" applyFill="0" applyBorder="0" applyProtection="0">
      <alignment horizontal="right"/>
    </xf>
    <xf numFmtId="191" fontId="5" fillId="0" borderId="0">
      <protection locked="0"/>
    </xf>
    <xf numFmtId="0" fontId="24" fillId="0" borderId="0" applyNumberFormat="0" applyFill="0" applyBorder="0">
      <alignment horizontal="right"/>
    </xf>
    <xf numFmtId="38" fontId="25" fillId="0" borderId="0" applyNumberFormat="0" applyFill="0" applyBorder="0">
      <alignment vertical="center"/>
    </xf>
    <xf numFmtId="8" fontId="26" fillId="0" borderId="10">
      <protection locked="0"/>
    </xf>
    <xf numFmtId="191" fontId="5" fillId="0" borderId="0">
      <protection locked="0"/>
    </xf>
    <xf numFmtId="14" fontId="27" fillId="0" borderId="0">
      <alignment horizontal="right"/>
    </xf>
    <xf numFmtId="0" fontId="28" fillId="0" borderId="0"/>
    <xf numFmtId="192" fontId="29" fillId="0" borderId="0" applyFont="0" applyFill="0" applyBorder="0" applyAlignment="0" applyProtection="0">
      <alignment horizontal="right"/>
    </xf>
    <xf numFmtId="0" fontId="17" fillId="0" borderId="0" applyNumberFormat="0" applyAlignment="0"/>
    <xf numFmtId="193" fontId="15" fillId="7" borderId="1" applyNumberFormat="0" applyFont="0" applyBorder="0" applyAlignment="0" applyProtection="0">
      <alignment horizontal="right"/>
    </xf>
    <xf numFmtId="166" fontId="30" fillId="0" borderId="0" applyNumberFormat="0" applyFont="0" applyAlignment="0">
      <alignment vertical="center"/>
    </xf>
    <xf numFmtId="191" fontId="5" fillId="0" borderId="0">
      <protection locked="0"/>
    </xf>
    <xf numFmtId="0" fontId="31" fillId="0" borderId="0" applyNumberFormat="0" applyFill="0" applyBorder="0" applyAlignment="0" applyProtection="0"/>
    <xf numFmtId="1" fontId="15" fillId="0" borderId="0" applyNumberFormat="0" applyBorder="0" applyAlignment="0" applyProtection="0"/>
    <xf numFmtId="194" fontId="32" fillId="0" borderId="0">
      <alignment vertical="center"/>
    </xf>
    <xf numFmtId="49" fontId="31" fillId="0" borderId="0">
      <alignment horizontal="right"/>
    </xf>
    <xf numFmtId="49" fontId="33" fillId="0" borderId="0">
      <alignment horizontal="right"/>
    </xf>
    <xf numFmtId="194" fontId="34" fillId="0" borderId="0">
      <alignment vertical="center"/>
    </xf>
    <xf numFmtId="166" fontId="35" fillId="0" borderId="0" applyNumberFormat="0" applyFill="0" applyBorder="0">
      <alignment horizontal="left" vertical="center"/>
    </xf>
    <xf numFmtId="0" fontId="36" fillId="0" borderId="0"/>
    <xf numFmtId="0" fontId="37" fillId="8" borderId="0" applyNumberFormat="0" applyFont="0" applyBorder="0" applyAlignment="0" applyProtection="0"/>
    <xf numFmtId="195" fontId="5" fillId="0" borderId="0" applyNumberFormat="0" applyFill="0" applyBorder="0" applyAlignment="0" applyProtection="0"/>
    <xf numFmtId="0" fontId="38" fillId="0" borderId="0"/>
    <xf numFmtId="0" fontId="39" fillId="0" borderId="0"/>
    <xf numFmtId="38" fontId="40" fillId="0" borderId="0" applyNumberFormat="0" applyFill="0" applyBorder="0">
      <alignment horizontal="left" vertical="center"/>
    </xf>
    <xf numFmtId="166" fontId="41" fillId="0" borderId="0" applyFill="0" applyBorder="0">
      <alignment vertical="center"/>
    </xf>
    <xf numFmtId="0" fontId="42" fillId="9" borderId="0"/>
    <xf numFmtId="196" fontId="5" fillId="0" borderId="0" applyFont="0" applyFill="0" applyBorder="0" applyAlignment="0" applyProtection="0"/>
    <xf numFmtId="190" fontId="43" fillId="0" borderId="0"/>
    <xf numFmtId="0" fontId="3" fillId="0" borderId="0"/>
    <xf numFmtId="2" fontId="37" fillId="0" borderId="0" applyBorder="0" applyProtection="0"/>
    <xf numFmtId="0" fontId="5" fillId="0" borderId="0"/>
    <xf numFmtId="0" fontId="1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95" fontId="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5" fillId="0" borderId="0">
      <alignment horizontal="left" vertical="top"/>
      <protection locked="0"/>
    </xf>
    <xf numFmtId="197" fontId="5" fillId="0" borderId="0" applyFill="0">
      <alignment horizontal="center" vertical="center"/>
    </xf>
    <xf numFmtId="0" fontId="46" fillId="0" borderId="0" applyNumberFormat="0" applyFill="0" applyBorder="0">
      <alignment horizontal="left"/>
    </xf>
    <xf numFmtId="198" fontId="5" fillId="0" borderId="0"/>
    <xf numFmtId="7" fontId="47" fillId="0" borderId="0" applyFont="0" applyFill="0" applyBorder="0" applyAlignment="0" applyProtection="0"/>
    <xf numFmtId="0" fontId="48" fillId="0" borderId="0" applyNumberFormat="0" applyAlignment="0"/>
    <xf numFmtId="165" fontId="5" fillId="0" borderId="0" applyFill="0" applyBorder="0" applyAlignment="0" applyProtection="0"/>
    <xf numFmtId="175" fontId="49" fillId="0" borderId="0">
      <alignment vertical="top"/>
    </xf>
    <xf numFmtId="167" fontId="37" fillId="10" borderId="11" applyNumberFormat="0" applyFont="0" applyBorder="0" applyAlignment="0" applyProtection="0">
      <alignment horizontal="center"/>
    </xf>
    <xf numFmtId="37" fontId="50" fillId="1" borderId="0">
      <alignment horizontal="right"/>
    </xf>
    <xf numFmtId="1" fontId="51" fillId="11" borderId="0" applyNumberFormat="0" applyFont="0" applyBorder="0" applyAlignment="0">
      <alignment horizontal="left"/>
    </xf>
    <xf numFmtId="2" fontId="52" fillId="0" borderId="0"/>
    <xf numFmtId="1" fontId="5" fillId="0" borderId="0"/>
    <xf numFmtId="0" fontId="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199" fontId="53" fillId="0" borderId="0" applyNumberFormat="0" applyFill="0" applyBorder="0" applyAlignment="0" applyProtection="0">
      <alignment horizontal="right" vertical="center" wrapText="1"/>
    </xf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protection locked="0"/>
    </xf>
    <xf numFmtId="0" fontId="56" fillId="0" borderId="1" applyNumberFormat="0" applyFill="0" applyProtection="0">
      <alignment horizontal="right"/>
    </xf>
    <xf numFmtId="6" fontId="40" fillId="0" borderId="12" applyFill="0">
      <alignment vertical="center"/>
    </xf>
    <xf numFmtId="200" fontId="15" fillId="0" borderId="0"/>
    <xf numFmtId="39" fontId="57" fillId="0" borderId="3" applyNumberFormat="0" applyBorder="0">
      <alignment horizontal="right"/>
    </xf>
    <xf numFmtId="0" fontId="56" fillId="0" borderId="13" applyNumberFormat="0" applyProtection="0">
      <alignment horizontal="right"/>
    </xf>
    <xf numFmtId="0" fontId="58" fillId="0" borderId="2" applyNumberFormat="0" applyFill="0" applyProtection="0"/>
    <xf numFmtId="0" fontId="59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60" fillId="0" borderId="0" applyNumberFormat="0">
      <alignment horizontal="left"/>
    </xf>
    <xf numFmtId="0" fontId="61" fillId="0" borderId="0" applyFill="0" applyBorder="0" applyProtection="0">
      <alignment horizontal="left" vertical="top"/>
    </xf>
    <xf numFmtId="14" fontId="5" fillId="0" borderId="0" applyFill="0" applyBorder="0">
      <alignment vertical="center"/>
    </xf>
    <xf numFmtId="0" fontId="3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38" fontId="63" fillId="0" borderId="0" applyNumberFormat="0" applyFill="0" applyBorder="0">
      <alignment horizontal="left" vertical="center"/>
    </xf>
    <xf numFmtId="38" fontId="64" fillId="0" borderId="0" applyNumberFormat="0" applyFill="0" applyBorder="0">
      <alignment horizontal="centerContinuous" vertical="center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67" fontId="17" fillId="0" borderId="0" applyNumberFormat="0" applyBorder="0" applyAlignment="0"/>
    <xf numFmtId="1" fontId="67" fillId="0" borderId="3" applyFill="0" applyProtection="0">
      <alignment horizontal="right"/>
    </xf>
    <xf numFmtId="168" fontId="5" fillId="0" borderId="0" applyFill="0" applyBorder="0">
      <alignment vertical="center"/>
    </xf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68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9" fontId="87" fillId="0" borderId="0">
      <alignment horizontal="right"/>
    </xf>
    <xf numFmtId="0" fontId="88" fillId="0" borderId="0"/>
    <xf numFmtId="0" fontId="89" fillId="0" borderId="0">
      <alignment vertical="center"/>
    </xf>
    <xf numFmtId="208" fontId="28" fillId="0" borderId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90" fillId="0" borderId="0">
      <alignment horizontal="right"/>
    </xf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208" fontId="90" fillId="0" borderId="0">
      <alignment horizontal="right"/>
    </xf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209" fontId="5" fillId="0" borderId="0"/>
    <xf numFmtId="210" fontId="28" fillId="0" borderId="0"/>
    <xf numFmtId="208" fontId="28" fillId="0" borderId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0" fontId="91" fillId="0" borderId="0"/>
    <xf numFmtId="210" fontId="28" fillId="0" borderId="0"/>
    <xf numFmtId="208" fontId="28" fillId="0" borderId="0"/>
    <xf numFmtId="211" fontId="92" fillId="0" borderId="0"/>
    <xf numFmtId="8" fontId="16" fillId="0" borderId="0"/>
    <xf numFmtId="212" fontId="28" fillId="0" borderId="0"/>
    <xf numFmtId="213" fontId="5" fillId="0" borderId="0">
      <alignment horizontal="right"/>
    </xf>
    <xf numFmtId="213" fontId="5" fillId="0" borderId="0">
      <alignment horizontal="right"/>
    </xf>
    <xf numFmtId="213" fontId="5" fillId="0" borderId="20">
      <alignment horizontal="right"/>
    </xf>
    <xf numFmtId="214" fontId="5" fillId="0" borderId="0">
      <alignment horizontal="right"/>
    </xf>
    <xf numFmtId="214" fontId="5" fillId="0" borderId="0">
      <alignment horizontal="right"/>
    </xf>
    <xf numFmtId="215" fontId="50" fillId="0" borderId="0"/>
    <xf numFmtId="216" fontId="91" fillId="0" borderId="0">
      <alignment horizontal="right"/>
    </xf>
    <xf numFmtId="0" fontId="93" fillId="0" borderId="29">
      <alignment vertical="top"/>
    </xf>
    <xf numFmtId="0" fontId="93" fillId="0" borderId="29">
      <alignment vertical="top"/>
    </xf>
    <xf numFmtId="217" fontId="94" fillId="45" borderId="29">
      <alignment vertical="top"/>
    </xf>
    <xf numFmtId="217" fontId="94" fillId="45" borderId="29">
      <alignment vertical="top"/>
    </xf>
    <xf numFmtId="218" fontId="91" fillId="46" borderId="0"/>
    <xf numFmtId="219" fontId="91" fillId="46" borderId="0"/>
    <xf numFmtId="220" fontId="91" fillId="46" borderId="0"/>
    <xf numFmtId="0" fontId="91" fillId="46" borderId="0">
      <alignment horizontal="right"/>
    </xf>
    <xf numFmtId="221" fontId="95" fillId="0" borderId="0" applyFont="0" applyFill="0" applyBorder="0" applyAlignment="0" applyProtection="0"/>
    <xf numFmtId="222" fontId="5" fillId="0" borderId="0" applyFont="0" applyFill="0" applyBorder="0" applyAlignment="0" applyProtection="0"/>
    <xf numFmtId="0" fontId="5" fillId="0" borderId="0"/>
    <xf numFmtId="223" fontId="5" fillId="0" borderId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5" fillId="0" borderId="0"/>
    <xf numFmtId="43" fontId="49" fillId="0" borderId="0"/>
    <xf numFmtId="43" fontId="49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49" fillId="0" borderId="0"/>
    <xf numFmtId="43" fontId="49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8" fillId="0" borderId="0" applyNumberFormat="0" applyFont="0" applyFill="0" applyBorder="0" applyAlignment="0" applyProtection="0"/>
    <xf numFmtId="0" fontId="96" fillId="0" borderId="2"/>
    <xf numFmtId="0" fontId="96" fillId="0" borderId="2"/>
    <xf numFmtId="0" fontId="96" fillId="0" borderId="2"/>
    <xf numFmtId="0" fontId="96" fillId="0" borderId="2"/>
    <xf numFmtId="224" fontId="49" fillId="0" borderId="0" applyFont="0" applyFill="0" applyBorder="0" applyAlignment="0"/>
    <xf numFmtId="42" fontId="5" fillId="0" borderId="0" applyFont="0" applyFill="0" applyBorder="0" applyAlignment="0" applyProtection="0"/>
    <xf numFmtId="172" fontId="97" fillId="0" borderId="0" applyFont="0" applyFill="0" applyBorder="0" applyAlignment="0" applyProtection="0"/>
    <xf numFmtId="0" fontId="98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0" fontId="99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5" fillId="0" borderId="0" applyFont="0" applyFill="0" applyBorder="0" applyAlignment="0" applyProtection="0"/>
    <xf numFmtId="0" fontId="98" fillId="0" borderId="0"/>
    <xf numFmtId="0" fontId="5" fillId="0" borderId="0"/>
    <xf numFmtId="0" fontId="5" fillId="0" borderId="0"/>
    <xf numFmtId="0" fontId="92" fillId="0" borderId="0"/>
    <xf numFmtId="0" fontId="92" fillId="0" borderId="0"/>
    <xf numFmtId="0" fontId="66" fillId="0" borderId="0" applyFont="0" applyAlignment="0">
      <alignment horizontal="center" vertical="center"/>
    </xf>
    <xf numFmtId="0" fontId="49" fillId="0" borderId="0"/>
    <xf numFmtId="0" fontId="66" fillId="0" borderId="0" applyFont="0" applyAlignment="0">
      <alignment horizontal="center" vertical="center"/>
    </xf>
    <xf numFmtId="0" fontId="66" fillId="0" borderId="0" applyFont="0" applyAlignment="0">
      <alignment horizontal="center" vertical="center"/>
    </xf>
    <xf numFmtId="0" fontId="66" fillId="0" borderId="0" applyFont="0" applyAlignment="0">
      <alignment horizontal="center" vertical="center"/>
    </xf>
    <xf numFmtId="0" fontId="66" fillId="0" borderId="0" applyFont="0" applyAlignment="0">
      <alignment horizontal="center" vertical="center"/>
    </xf>
    <xf numFmtId="0" fontId="66" fillId="0" borderId="0" applyFont="0" applyAlignment="0">
      <alignment horizontal="center" vertical="center"/>
    </xf>
    <xf numFmtId="0" fontId="66" fillId="0" borderId="0" applyFont="0" applyAlignment="0">
      <alignment horizontal="center" vertical="center"/>
    </xf>
    <xf numFmtId="0" fontId="49" fillId="0" borderId="0"/>
    <xf numFmtId="0" fontId="49" fillId="0" borderId="0"/>
    <xf numFmtId="172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89" fillId="0" borderId="0"/>
    <xf numFmtId="176" fontId="89" fillId="0" borderId="0"/>
    <xf numFmtId="225" fontId="89" fillId="0" borderId="0"/>
    <xf numFmtId="225" fontId="89" fillId="0" borderId="0"/>
    <xf numFmtId="9" fontId="87" fillId="0" borderId="0">
      <alignment horizontal="right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22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27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>
      <alignment vertical="top"/>
    </xf>
    <xf numFmtId="3" fontId="28" fillId="0" borderId="0"/>
    <xf numFmtId="0" fontId="101" fillId="0" borderId="0"/>
    <xf numFmtId="0" fontId="5" fillId="0" borderId="0">
      <alignment vertical="top"/>
    </xf>
    <xf numFmtId="0" fontId="5" fillId="0" borderId="0"/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87" fillId="0" borderId="0">
      <alignment horizontal="right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88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9" fillId="0" borderId="0"/>
    <xf numFmtId="0" fontId="89" fillId="0" borderId="0"/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3" fontId="28" fillId="0" borderId="0"/>
    <xf numFmtId="0" fontId="88" fillId="0" borderId="0" applyNumberFormat="0" applyFill="0" applyBorder="0" applyAlignment="0" applyProtection="0"/>
    <xf numFmtId="186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226" fontId="5" fillId="0" borderId="0">
      <alignment horizontal="left" wrapText="1"/>
    </xf>
    <xf numFmtId="0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" fontId="28" fillId="0" borderId="0"/>
    <xf numFmtId="19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4" fontId="5" fillId="0" borderId="0" applyFont="0" applyFill="0" applyBorder="0" applyProtection="0">
      <alignment horizontal="right"/>
    </xf>
    <xf numFmtId="0" fontId="5" fillId="0" borderId="0" applyFont="0" applyFill="0" applyBorder="0" applyProtection="0">
      <alignment horizontal="right"/>
    </xf>
    <xf numFmtId="183" fontId="5" fillId="0" borderId="0" applyFont="0" applyFill="0" applyBorder="0" applyAlignment="0" applyProtection="0"/>
    <xf numFmtId="184" fontId="5" fillId="0" borderId="0" applyFont="0" applyFill="0" applyBorder="0" applyProtection="0">
      <alignment horizontal="right"/>
    </xf>
    <xf numFmtId="184" fontId="5" fillId="0" borderId="0" applyFont="0" applyFill="0" applyBorder="0" applyProtection="0">
      <alignment horizontal="right"/>
    </xf>
    <xf numFmtId="0" fontId="102" fillId="0" borderId="0"/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103" fillId="0" borderId="0"/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>
      <alignment horizontal="left" wrapText="1"/>
    </xf>
    <xf numFmtId="228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229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0" fontId="102" fillId="0" borderId="0"/>
    <xf numFmtId="0" fontId="5" fillId="0" borderId="0"/>
    <xf numFmtId="0" fontId="5" fillId="0" borderId="0"/>
    <xf numFmtId="0" fontId="5" fillId="0" borderId="0"/>
    <xf numFmtId="186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226" fontId="5" fillId="0" borderId="0">
      <alignment horizontal="left" wrapText="1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 applyFill="0" applyAlignment="0">
      <protection locked="0"/>
    </xf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37" fillId="0" borderId="0" applyFont="0" applyFill="0" applyBorder="0" applyAlignment="0" applyProtection="0"/>
    <xf numFmtId="37" fontId="37" fillId="0" borderId="0" applyFont="0" applyFill="0" applyBorder="0" applyAlignment="0" applyProtection="0"/>
    <xf numFmtId="186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226" fontId="5" fillId="0" borderId="0">
      <alignment horizontal="left" wrapText="1"/>
    </xf>
    <xf numFmtId="37" fontId="37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0" fontId="5" fillId="0" borderId="0" applyNumberFormat="0" applyFill="0" applyBorder="0" applyAlignment="0" applyProtection="0"/>
    <xf numFmtId="176" fontId="89" fillId="0" borderId="0"/>
    <xf numFmtId="225" fontId="89" fillId="0" borderId="0"/>
    <xf numFmtId="225" fontId="89" fillId="0" borderId="0"/>
    <xf numFmtId="0" fontId="5" fillId="0" borderId="0" applyNumberFormat="0" applyFill="0" applyBorder="0" applyAlignment="0" applyProtection="0"/>
    <xf numFmtId="0" fontId="9" fillId="0" borderId="0" applyNumberFormat="0" applyFill="0" applyBorder="0" applyProtection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Protection="0">
      <alignment vertical="top"/>
    </xf>
    <xf numFmtId="0" fontId="5" fillId="0" borderId="0" applyNumberFormat="0" applyFill="0" applyBorder="0" applyAlignment="0" applyProtection="0"/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5" fillId="0" borderId="0" applyNumberFormat="0" applyFill="0" applyBorder="0" applyAlignment="0" applyProtection="0"/>
    <xf numFmtId="0" fontId="9" fillId="0" borderId="0" applyNumberFormat="0" applyFill="0" applyBorder="0" applyProtection="0">
      <alignment vertical="top"/>
    </xf>
    <xf numFmtId="0" fontId="9" fillId="0" borderId="0" applyNumberFormat="0" applyFill="0" applyBorder="0" applyProtection="0">
      <alignment vertical="top"/>
    </xf>
    <xf numFmtId="0" fontId="89" fillId="0" borderId="0">
      <alignment vertical="center"/>
    </xf>
    <xf numFmtId="0" fontId="5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5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9" fillId="0" borderId="0">
      <alignment vertical="center"/>
    </xf>
    <xf numFmtId="0" fontId="5" fillId="0" borderId="0" applyFont="0" applyFill="0" applyBorder="0" applyAlignment="0" applyProtection="0"/>
    <xf numFmtId="0" fontId="5" fillId="0" borderId="0"/>
    <xf numFmtId="0" fontId="89" fillId="0" borderId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11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8" applyNumberFormat="0" applyFill="0" applyProtection="0">
      <alignment horizontal="center"/>
    </xf>
    <xf numFmtId="0" fontId="5" fillId="0" borderId="30" applyNumberFormat="0" applyFont="0" applyFill="0" applyAlignment="0" applyProtection="0"/>
    <xf numFmtId="0" fontId="5" fillId="0" borderId="30" applyNumberFormat="0" applyFont="0" applyFill="0" applyAlignment="0" applyProtection="0"/>
    <xf numFmtId="0" fontId="5" fillId="0" borderId="30" applyNumberFormat="0" applyFont="0" applyFill="0" applyAlignment="0" applyProtection="0"/>
    <xf numFmtId="0" fontId="5" fillId="0" borderId="30" applyNumberFormat="0" applyFont="0" applyFill="0" applyAlignment="0" applyProtection="0"/>
    <xf numFmtId="0" fontId="5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11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left"/>
    </xf>
    <xf numFmtId="0" fontId="5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12" fillId="0" borderId="0" applyNumberFormat="0" applyFill="0" applyBorder="0" applyProtection="0">
      <alignment horizontal="centerContinuous"/>
    </xf>
    <xf numFmtId="0" fontId="5" fillId="0" borderId="0" applyNumberFormat="0" applyFill="0" applyBorder="0" applyProtection="0">
      <alignment horizontal="centerContinuous"/>
    </xf>
    <xf numFmtId="0" fontId="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176" fontId="89" fillId="0" borderId="0"/>
    <xf numFmtId="176" fontId="89" fillId="0" borderId="0"/>
    <xf numFmtId="225" fontId="89" fillId="0" borderId="0"/>
    <xf numFmtId="225" fontId="89" fillId="0" borderId="0"/>
    <xf numFmtId="0" fontId="5" fillId="0" borderId="0"/>
    <xf numFmtId="0" fontId="8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4" fillId="0" borderId="31" applyBorder="0"/>
    <xf numFmtId="230" fontId="105" fillId="0" borderId="0" applyFont="0" applyFill="0" applyBorder="0" applyAlignment="0" applyProtection="0"/>
    <xf numFmtId="202" fontId="92" fillId="0" borderId="0"/>
    <xf numFmtId="0" fontId="105" fillId="0" borderId="0" applyFont="0" applyFill="0" applyBorder="0" applyAlignment="0" applyProtection="0"/>
    <xf numFmtId="0" fontId="5" fillId="0" borderId="0"/>
    <xf numFmtId="0" fontId="106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31" fontId="37" fillId="0" borderId="0"/>
    <xf numFmtId="9" fontId="5" fillId="0" borderId="0"/>
    <xf numFmtId="0" fontId="105" fillId="0" borderId="0"/>
    <xf numFmtId="0" fontId="105" fillId="0" borderId="0"/>
    <xf numFmtId="212" fontId="107" fillId="0" borderId="0"/>
    <xf numFmtId="232" fontId="108" fillId="0" borderId="0">
      <alignment horizontal="left"/>
      <protection locked="0"/>
    </xf>
    <xf numFmtId="166" fontId="37" fillId="0" borderId="0"/>
    <xf numFmtId="0" fontId="37" fillId="0" borderId="0"/>
    <xf numFmtId="40" fontId="107" fillId="0" borderId="0"/>
    <xf numFmtId="10" fontId="37" fillId="0" borderId="0"/>
    <xf numFmtId="2" fontId="37" fillId="0" borderId="0"/>
    <xf numFmtId="211" fontId="9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33" fontId="5" fillId="0" borderId="0" applyBorder="0"/>
    <xf numFmtId="165" fontId="5" fillId="0" borderId="0" applyBorder="0"/>
    <xf numFmtId="0" fontId="5" fillId="0" borderId="0" applyBorder="0"/>
    <xf numFmtId="231" fontId="37" fillId="0" borderId="0"/>
    <xf numFmtId="234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31" fontId="37" fillId="0" borderId="0"/>
    <xf numFmtId="234" fontId="37" fillId="0" borderId="0"/>
    <xf numFmtId="0" fontId="37" fillId="0" borderId="0"/>
    <xf numFmtId="0" fontId="37" fillId="0" borderId="0"/>
    <xf numFmtId="231" fontId="37" fillId="0" borderId="0"/>
    <xf numFmtId="234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31" fontId="37" fillId="0" borderId="0"/>
    <xf numFmtId="231" fontId="37" fillId="0" borderId="0"/>
    <xf numFmtId="234" fontId="37" fillId="0" borderId="0"/>
    <xf numFmtId="234" fontId="37" fillId="0" borderId="0"/>
    <xf numFmtId="231" fontId="37" fillId="0" borderId="0"/>
    <xf numFmtId="231" fontId="37" fillId="0" borderId="0"/>
    <xf numFmtId="234" fontId="37" fillId="0" borderId="0"/>
    <xf numFmtId="234" fontId="37" fillId="0" borderId="0"/>
    <xf numFmtId="0" fontId="37" fillId="0" borderId="0"/>
    <xf numFmtId="0" fontId="37" fillId="0" borderId="0"/>
    <xf numFmtId="234" fontId="37" fillId="0" borderId="0"/>
    <xf numFmtId="231" fontId="37" fillId="0" borderId="0"/>
    <xf numFmtId="231" fontId="37" fillId="0" borderId="0"/>
    <xf numFmtId="234" fontId="37" fillId="0" borderId="0"/>
    <xf numFmtId="234" fontId="37" fillId="0" borderId="0"/>
    <xf numFmtId="231" fontId="37" fillId="0" borderId="0"/>
    <xf numFmtId="231" fontId="37" fillId="0" borderId="0"/>
    <xf numFmtId="234" fontId="37" fillId="0" borderId="0"/>
    <xf numFmtId="234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31" fontId="37" fillId="0" borderId="0"/>
    <xf numFmtId="231" fontId="37" fillId="0" borderId="0"/>
    <xf numFmtId="234" fontId="37" fillId="0" borderId="0"/>
    <xf numFmtId="234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33" fontId="5" fillId="0" borderId="0" applyBorder="0"/>
    <xf numFmtId="165" fontId="5" fillId="0" borderId="0" applyBorder="0"/>
    <xf numFmtId="0" fontId="5" fillId="0" borderId="0" applyBorder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0" fillId="0" borderId="0">
      <alignment horizontal="center"/>
    </xf>
    <xf numFmtId="214" fontId="5" fillId="0" borderId="0"/>
    <xf numFmtId="0" fontId="5" fillId="0" borderId="0"/>
    <xf numFmtId="0" fontId="96" fillId="0" borderId="0"/>
    <xf numFmtId="227" fontId="15" fillId="0" borderId="0"/>
    <xf numFmtId="235" fontId="109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" fillId="19" borderId="0" applyNumberFormat="0" applyBorder="0" applyAlignment="0" applyProtection="0"/>
    <xf numFmtId="0" fontId="110" fillId="47" borderId="0" applyNumberFormat="0" applyBorder="0" applyAlignment="0" applyProtection="0"/>
    <xf numFmtId="0" fontId="1" fillId="19" borderId="0" applyNumberFormat="0" applyBorder="0" applyAlignment="0" applyProtection="0"/>
    <xf numFmtId="0" fontId="110" fillId="47" borderId="0" applyNumberFormat="0" applyBorder="0" applyAlignment="0" applyProtection="0"/>
    <xf numFmtId="0" fontId="1" fillId="19" borderId="0" applyNumberFormat="0" applyBorder="0" applyAlignment="0" applyProtection="0"/>
    <xf numFmtId="0" fontId="110" fillId="47" borderId="0" applyNumberFormat="0" applyBorder="0" applyAlignment="0" applyProtection="0"/>
    <xf numFmtId="0" fontId="1" fillId="19" borderId="0" applyNumberFormat="0" applyBorder="0" applyAlignment="0" applyProtection="0"/>
    <xf numFmtId="0" fontId="110" fillId="4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23" borderId="0" applyNumberFormat="0" applyBorder="0" applyAlignment="0" applyProtection="0"/>
    <xf numFmtId="0" fontId="110" fillId="48" borderId="0" applyNumberFormat="0" applyBorder="0" applyAlignment="0" applyProtection="0"/>
    <xf numFmtId="0" fontId="1" fillId="23" borderId="0" applyNumberFormat="0" applyBorder="0" applyAlignment="0" applyProtection="0"/>
    <xf numFmtId="0" fontId="110" fillId="48" borderId="0" applyNumberFormat="0" applyBorder="0" applyAlignment="0" applyProtection="0"/>
    <xf numFmtId="0" fontId="1" fillId="23" borderId="0" applyNumberFormat="0" applyBorder="0" applyAlignment="0" applyProtection="0"/>
    <xf numFmtId="0" fontId="110" fillId="48" borderId="0" applyNumberFormat="0" applyBorder="0" applyAlignment="0" applyProtection="0"/>
    <xf numFmtId="0" fontId="1" fillId="23" borderId="0" applyNumberFormat="0" applyBorder="0" applyAlignment="0" applyProtection="0"/>
    <xf numFmtId="0" fontId="110" fillId="48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" fillId="27" borderId="0" applyNumberFormat="0" applyBorder="0" applyAlignment="0" applyProtection="0"/>
    <xf numFmtId="0" fontId="110" fillId="49" borderId="0" applyNumberFormat="0" applyBorder="0" applyAlignment="0" applyProtection="0"/>
    <xf numFmtId="0" fontId="1" fillId="27" borderId="0" applyNumberFormat="0" applyBorder="0" applyAlignment="0" applyProtection="0"/>
    <xf numFmtId="0" fontId="110" fillId="49" borderId="0" applyNumberFormat="0" applyBorder="0" applyAlignment="0" applyProtection="0"/>
    <xf numFmtId="0" fontId="1" fillId="27" borderId="0" applyNumberFormat="0" applyBorder="0" applyAlignment="0" applyProtection="0"/>
    <xf numFmtId="0" fontId="110" fillId="49" borderId="0" applyNumberFormat="0" applyBorder="0" applyAlignment="0" applyProtection="0"/>
    <xf numFmtId="0" fontId="1" fillId="27" borderId="0" applyNumberFormat="0" applyBorder="0" applyAlignment="0" applyProtection="0"/>
    <xf numFmtId="0" fontId="110" fillId="4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1" fillId="31" borderId="0" applyNumberFormat="0" applyBorder="0" applyAlignment="0" applyProtection="0"/>
    <xf numFmtId="0" fontId="110" fillId="50" borderId="0" applyNumberFormat="0" applyBorder="0" applyAlignment="0" applyProtection="0"/>
    <xf numFmtId="0" fontId="1" fillId="31" borderId="0" applyNumberFormat="0" applyBorder="0" applyAlignment="0" applyProtection="0"/>
    <xf numFmtId="0" fontId="110" fillId="50" borderId="0" applyNumberFormat="0" applyBorder="0" applyAlignment="0" applyProtection="0"/>
    <xf numFmtId="0" fontId="1" fillId="31" borderId="0" applyNumberFormat="0" applyBorder="0" applyAlignment="0" applyProtection="0"/>
    <xf numFmtId="0" fontId="110" fillId="50" borderId="0" applyNumberFormat="0" applyBorder="0" applyAlignment="0" applyProtection="0"/>
    <xf numFmtId="0" fontId="1" fillId="31" borderId="0" applyNumberFormat="0" applyBorder="0" applyAlignment="0" applyProtection="0"/>
    <xf numFmtId="0" fontId="110" fillId="50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" fillId="35" borderId="0" applyNumberFormat="0" applyBorder="0" applyAlignment="0" applyProtection="0"/>
    <xf numFmtId="0" fontId="110" fillId="47" borderId="0" applyNumberFormat="0" applyBorder="0" applyAlignment="0" applyProtection="0"/>
    <xf numFmtId="0" fontId="1" fillId="35" borderId="0" applyNumberFormat="0" applyBorder="0" applyAlignment="0" applyProtection="0"/>
    <xf numFmtId="0" fontId="110" fillId="47" borderId="0" applyNumberFormat="0" applyBorder="0" applyAlignment="0" applyProtection="0"/>
    <xf numFmtId="0" fontId="1" fillId="35" borderId="0" applyNumberFormat="0" applyBorder="0" applyAlignment="0" applyProtection="0"/>
    <xf numFmtId="0" fontId="110" fillId="47" borderId="0" applyNumberFormat="0" applyBorder="0" applyAlignment="0" applyProtection="0"/>
    <xf numFmtId="0" fontId="1" fillId="35" borderId="0" applyNumberFormat="0" applyBorder="0" applyAlignment="0" applyProtection="0"/>
    <xf numFmtId="0" fontId="110" fillId="47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1" fillId="39" borderId="0" applyNumberFormat="0" applyBorder="0" applyAlignment="0" applyProtection="0"/>
    <xf numFmtId="0" fontId="110" fillId="51" borderId="0" applyNumberFormat="0" applyBorder="0" applyAlignment="0" applyProtection="0"/>
    <xf numFmtId="0" fontId="1" fillId="39" borderId="0" applyNumberFormat="0" applyBorder="0" applyAlignment="0" applyProtection="0"/>
    <xf numFmtId="0" fontId="110" fillId="51" borderId="0" applyNumberFormat="0" applyBorder="0" applyAlignment="0" applyProtection="0"/>
    <xf numFmtId="0" fontId="1" fillId="39" borderId="0" applyNumberFormat="0" applyBorder="0" applyAlignment="0" applyProtection="0"/>
    <xf numFmtId="0" fontId="110" fillId="51" borderId="0" applyNumberFormat="0" applyBorder="0" applyAlignment="0" applyProtection="0"/>
    <xf numFmtId="0" fontId="1" fillId="39" borderId="0" applyNumberFormat="0" applyBorder="0" applyAlignment="0" applyProtection="0"/>
    <xf numFmtId="0" fontId="110" fillId="51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110" fillId="5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10" fillId="5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10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10" fillId="5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10" fillId="5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10" fillId="5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10" fillId="52" borderId="0" applyNumberFormat="0" applyBorder="0" applyAlignment="0" applyProtection="0"/>
    <xf numFmtId="0" fontId="110" fillId="53" borderId="0" applyNumberFormat="0" applyBorder="0" applyAlignment="0" applyProtection="0"/>
    <xf numFmtId="0" fontId="110" fillId="49" borderId="0" applyNumberFormat="0" applyBorder="0" applyAlignment="0" applyProtection="0"/>
    <xf numFmtId="0" fontId="110" fillId="54" borderId="0" applyNumberFormat="0" applyBorder="0" applyAlignment="0" applyProtection="0"/>
    <xf numFmtId="0" fontId="110" fillId="55" borderId="0" applyNumberFormat="0" applyBorder="0" applyAlignment="0" applyProtection="0"/>
    <xf numFmtId="0" fontId="110" fillId="51" borderId="0" applyNumberFormat="0" applyBorder="0" applyAlignment="0" applyProtection="0"/>
    <xf numFmtId="236" fontId="111" fillId="0" borderId="0"/>
    <xf numFmtId="0" fontId="111" fillId="0" borderId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20" borderId="0" applyNumberFormat="0" applyBorder="0" applyAlignment="0" applyProtection="0"/>
    <xf numFmtId="0" fontId="110" fillId="56" borderId="0" applyNumberFormat="0" applyBorder="0" applyAlignment="0" applyProtection="0"/>
    <xf numFmtId="0" fontId="1" fillId="20" borderId="0" applyNumberFormat="0" applyBorder="0" applyAlignment="0" applyProtection="0"/>
    <xf numFmtId="0" fontId="110" fillId="56" borderId="0" applyNumberFormat="0" applyBorder="0" applyAlignment="0" applyProtection="0"/>
    <xf numFmtId="0" fontId="1" fillId="20" borderId="0" applyNumberFormat="0" applyBorder="0" applyAlignment="0" applyProtection="0"/>
    <xf numFmtId="0" fontId="110" fillId="56" borderId="0" applyNumberFormat="0" applyBorder="0" applyAlignment="0" applyProtection="0"/>
    <xf numFmtId="0" fontId="1" fillId="20" borderId="0" applyNumberFormat="0" applyBorder="0" applyAlignment="0" applyProtection="0"/>
    <xf numFmtId="0" fontId="110" fillId="5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24" borderId="0" applyNumberFormat="0" applyBorder="0" applyAlignment="0" applyProtection="0"/>
    <xf numFmtId="0" fontId="110" fillId="48" borderId="0" applyNumberFormat="0" applyBorder="0" applyAlignment="0" applyProtection="0"/>
    <xf numFmtId="0" fontId="1" fillId="24" borderId="0" applyNumberFormat="0" applyBorder="0" applyAlignment="0" applyProtection="0"/>
    <xf numFmtId="0" fontId="110" fillId="48" borderId="0" applyNumberFormat="0" applyBorder="0" applyAlignment="0" applyProtection="0"/>
    <xf numFmtId="0" fontId="1" fillId="24" borderId="0" applyNumberFormat="0" applyBorder="0" applyAlignment="0" applyProtection="0"/>
    <xf numFmtId="0" fontId="110" fillId="48" borderId="0" applyNumberFormat="0" applyBorder="0" applyAlignment="0" applyProtection="0"/>
    <xf numFmtId="0" fontId="1" fillId="24" borderId="0" applyNumberFormat="0" applyBorder="0" applyAlignment="0" applyProtection="0"/>
    <xf numFmtId="0" fontId="110" fillId="48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1" fillId="28" borderId="0" applyNumberFormat="0" applyBorder="0" applyAlignment="0" applyProtection="0"/>
    <xf numFmtId="0" fontId="110" fillId="57" borderId="0" applyNumberFormat="0" applyBorder="0" applyAlignment="0" applyProtection="0"/>
    <xf numFmtId="0" fontId="1" fillId="28" borderId="0" applyNumberFormat="0" applyBorder="0" applyAlignment="0" applyProtection="0"/>
    <xf numFmtId="0" fontId="110" fillId="57" borderId="0" applyNumberFormat="0" applyBorder="0" applyAlignment="0" applyProtection="0"/>
    <xf numFmtId="0" fontId="1" fillId="28" borderId="0" applyNumberFormat="0" applyBorder="0" applyAlignment="0" applyProtection="0"/>
    <xf numFmtId="0" fontId="110" fillId="57" borderId="0" applyNumberFormat="0" applyBorder="0" applyAlignment="0" applyProtection="0"/>
    <xf numFmtId="0" fontId="1" fillId="28" borderId="0" applyNumberFormat="0" applyBorder="0" applyAlignment="0" applyProtection="0"/>
    <xf numFmtId="0" fontId="110" fillId="5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1" fillId="32" borderId="0" applyNumberFormat="0" applyBorder="0" applyAlignment="0" applyProtection="0"/>
    <xf numFmtId="0" fontId="110" fillId="50" borderId="0" applyNumberFormat="0" applyBorder="0" applyAlignment="0" applyProtection="0"/>
    <xf numFmtId="0" fontId="1" fillId="32" borderId="0" applyNumberFormat="0" applyBorder="0" applyAlignment="0" applyProtection="0"/>
    <xf numFmtId="0" fontId="110" fillId="50" borderId="0" applyNumberFormat="0" applyBorder="0" applyAlignment="0" applyProtection="0"/>
    <xf numFmtId="0" fontId="1" fillId="32" borderId="0" applyNumberFormat="0" applyBorder="0" applyAlignment="0" applyProtection="0"/>
    <xf numFmtId="0" fontId="110" fillId="50" borderId="0" applyNumberFormat="0" applyBorder="0" applyAlignment="0" applyProtection="0"/>
    <xf numFmtId="0" fontId="1" fillId="32" borderId="0" applyNumberFormat="0" applyBorder="0" applyAlignment="0" applyProtection="0"/>
    <xf numFmtId="0" fontId="110" fillId="50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1" fillId="36" borderId="0" applyNumberFormat="0" applyBorder="0" applyAlignment="0" applyProtection="0"/>
    <xf numFmtId="0" fontId="110" fillId="56" borderId="0" applyNumberFormat="0" applyBorder="0" applyAlignment="0" applyProtection="0"/>
    <xf numFmtId="0" fontId="1" fillId="36" borderId="0" applyNumberFormat="0" applyBorder="0" applyAlignment="0" applyProtection="0"/>
    <xf numFmtId="0" fontId="110" fillId="56" borderId="0" applyNumberFormat="0" applyBorder="0" applyAlignment="0" applyProtection="0"/>
    <xf numFmtId="0" fontId="1" fillId="36" borderId="0" applyNumberFormat="0" applyBorder="0" applyAlignment="0" applyProtection="0"/>
    <xf numFmtId="0" fontId="110" fillId="56" borderId="0" applyNumberFormat="0" applyBorder="0" applyAlignment="0" applyProtection="0"/>
    <xf numFmtId="0" fontId="1" fillId="36" borderId="0" applyNumberFormat="0" applyBorder="0" applyAlignment="0" applyProtection="0"/>
    <xf numFmtId="0" fontId="110" fillId="5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1" fillId="40" borderId="0" applyNumberFormat="0" applyBorder="0" applyAlignment="0" applyProtection="0"/>
    <xf numFmtId="0" fontId="110" fillId="51" borderId="0" applyNumberFormat="0" applyBorder="0" applyAlignment="0" applyProtection="0"/>
    <xf numFmtId="0" fontId="1" fillId="40" borderId="0" applyNumberFormat="0" applyBorder="0" applyAlignment="0" applyProtection="0"/>
    <xf numFmtId="0" fontId="110" fillId="51" borderId="0" applyNumberFormat="0" applyBorder="0" applyAlignment="0" applyProtection="0"/>
    <xf numFmtId="0" fontId="1" fillId="40" borderId="0" applyNumberFormat="0" applyBorder="0" applyAlignment="0" applyProtection="0"/>
    <xf numFmtId="0" fontId="110" fillId="51" borderId="0" applyNumberFormat="0" applyBorder="0" applyAlignment="0" applyProtection="0"/>
    <xf numFmtId="0" fontId="1" fillId="40" borderId="0" applyNumberFormat="0" applyBorder="0" applyAlignment="0" applyProtection="0"/>
    <xf numFmtId="0" fontId="110" fillId="51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110" fillId="4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10" fillId="58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10" fillId="5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10" fillId="5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10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10" fillId="5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10" fillId="47" borderId="0" applyNumberFormat="0" applyBorder="0" applyAlignment="0" applyProtection="0"/>
    <xf numFmtId="0" fontId="110" fillId="58" borderId="0" applyNumberFormat="0" applyBorder="0" applyAlignment="0" applyProtection="0"/>
    <xf numFmtId="0" fontId="110" fillId="57" borderId="0" applyNumberFormat="0" applyBorder="0" applyAlignment="0" applyProtection="0"/>
    <xf numFmtId="0" fontId="110" fillId="54" borderId="0" applyNumberFormat="0" applyBorder="0" applyAlignment="0" applyProtection="0"/>
    <xf numFmtId="0" fontId="110" fillId="47" borderId="0" applyNumberFormat="0" applyBorder="0" applyAlignment="0" applyProtection="0"/>
    <xf numFmtId="0" fontId="110" fillId="59" borderId="0" applyNumberFormat="0" applyBorder="0" applyAlignment="0" applyProtection="0"/>
    <xf numFmtId="0" fontId="112" fillId="0" borderId="0"/>
    <xf numFmtId="0" fontId="85" fillId="21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85" fillId="25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85" fillId="29" borderId="0" applyNumberFormat="0" applyBorder="0" applyAlignment="0" applyProtection="0"/>
    <xf numFmtId="0" fontId="113" fillId="57" borderId="0" applyNumberFormat="0" applyBorder="0" applyAlignment="0" applyProtection="0"/>
    <xf numFmtId="0" fontId="113" fillId="57" borderId="0" applyNumberFormat="0" applyBorder="0" applyAlignment="0" applyProtection="0"/>
    <xf numFmtId="0" fontId="113" fillId="57" borderId="0" applyNumberFormat="0" applyBorder="0" applyAlignment="0" applyProtection="0"/>
    <xf numFmtId="0" fontId="113" fillId="57" borderId="0" applyNumberFormat="0" applyBorder="0" applyAlignment="0" applyProtection="0"/>
    <xf numFmtId="0" fontId="113" fillId="57" borderId="0" applyNumberFormat="0" applyBorder="0" applyAlignment="0" applyProtection="0"/>
    <xf numFmtId="0" fontId="113" fillId="57" borderId="0" applyNumberFormat="0" applyBorder="0" applyAlignment="0" applyProtection="0"/>
    <xf numFmtId="0" fontId="113" fillId="57" borderId="0" applyNumberFormat="0" applyBorder="0" applyAlignment="0" applyProtection="0"/>
    <xf numFmtId="0" fontId="85" fillId="33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85" fillId="37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113" fillId="56" borderId="0" applyNumberFormat="0" applyBorder="0" applyAlignment="0" applyProtection="0"/>
    <xf numFmtId="0" fontId="85" fillId="41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62" borderId="0" applyNumberFormat="0" applyBorder="0" applyAlignment="0" applyProtection="0"/>
    <xf numFmtId="0" fontId="79" fillId="21" borderId="0" applyNumberFormat="0" applyBorder="0" applyAlignment="0" applyProtection="0"/>
    <xf numFmtId="0" fontId="79" fillId="21" borderId="0" applyNumberFormat="0" applyBorder="0" applyAlignment="0" applyProtection="0"/>
    <xf numFmtId="0" fontId="79" fillId="21" borderId="0" applyNumberFormat="0" applyBorder="0" applyAlignment="0" applyProtection="0"/>
    <xf numFmtId="0" fontId="79" fillId="21" borderId="0" applyNumberFormat="0" applyBorder="0" applyAlignment="0" applyProtection="0"/>
    <xf numFmtId="0" fontId="79" fillId="21" borderId="0" applyNumberFormat="0" applyBorder="0" applyAlignment="0" applyProtection="0"/>
    <xf numFmtId="0" fontId="113" fillId="58" borderId="0" applyNumberFormat="0" applyBorder="0" applyAlignment="0" applyProtection="0"/>
    <xf numFmtId="0" fontId="79" fillId="25" borderId="0" applyNumberFormat="0" applyBorder="0" applyAlignment="0" applyProtection="0"/>
    <xf numFmtId="0" fontId="79" fillId="25" borderId="0" applyNumberFormat="0" applyBorder="0" applyAlignment="0" applyProtection="0"/>
    <xf numFmtId="0" fontId="79" fillId="25" borderId="0" applyNumberFormat="0" applyBorder="0" applyAlignment="0" applyProtection="0"/>
    <xf numFmtId="0" fontId="79" fillId="25" borderId="0" applyNumberFormat="0" applyBorder="0" applyAlignment="0" applyProtection="0"/>
    <xf numFmtId="0" fontId="79" fillId="25" borderId="0" applyNumberFormat="0" applyBorder="0" applyAlignment="0" applyProtection="0"/>
    <xf numFmtId="0" fontId="113" fillId="57" borderId="0" applyNumberFormat="0" applyBorder="0" applyAlignment="0" applyProtection="0"/>
    <xf numFmtId="0" fontId="79" fillId="29" borderId="0" applyNumberFormat="0" applyBorder="0" applyAlignment="0" applyProtection="0"/>
    <xf numFmtId="0" fontId="79" fillId="29" borderId="0" applyNumberFormat="0" applyBorder="0" applyAlignment="0" applyProtection="0"/>
    <xf numFmtId="0" fontId="79" fillId="29" borderId="0" applyNumberFormat="0" applyBorder="0" applyAlignment="0" applyProtection="0"/>
    <xf numFmtId="0" fontId="79" fillId="29" borderId="0" applyNumberFormat="0" applyBorder="0" applyAlignment="0" applyProtection="0"/>
    <xf numFmtId="0" fontId="79" fillId="29" borderId="0" applyNumberFormat="0" applyBorder="0" applyAlignment="0" applyProtection="0"/>
    <xf numFmtId="0" fontId="113" fillId="63" borderId="0" applyNumberFormat="0" applyBorder="0" applyAlignment="0" applyProtection="0"/>
    <xf numFmtId="0" fontId="79" fillId="33" borderId="0" applyNumberFormat="0" applyBorder="0" applyAlignment="0" applyProtection="0"/>
    <xf numFmtId="0" fontId="79" fillId="33" borderId="0" applyNumberFormat="0" applyBorder="0" applyAlignment="0" applyProtection="0"/>
    <xf numFmtId="0" fontId="79" fillId="33" borderId="0" applyNumberFormat="0" applyBorder="0" applyAlignment="0" applyProtection="0"/>
    <xf numFmtId="0" fontId="79" fillId="33" borderId="0" applyNumberFormat="0" applyBorder="0" applyAlignment="0" applyProtection="0"/>
    <xf numFmtId="0" fontId="79" fillId="33" borderId="0" applyNumberFormat="0" applyBorder="0" applyAlignment="0" applyProtection="0"/>
    <xf numFmtId="0" fontId="113" fillId="64" borderId="0" applyNumberFormat="0" applyBorder="0" applyAlignment="0" applyProtection="0"/>
    <xf numFmtId="0" fontId="79" fillId="37" borderId="0" applyNumberFormat="0" applyBorder="0" applyAlignment="0" applyProtection="0"/>
    <xf numFmtId="0" fontId="79" fillId="37" borderId="0" applyNumberFormat="0" applyBorder="0" applyAlignment="0" applyProtection="0"/>
    <xf numFmtId="0" fontId="79" fillId="37" borderId="0" applyNumberFormat="0" applyBorder="0" applyAlignment="0" applyProtection="0"/>
    <xf numFmtId="0" fontId="79" fillId="37" borderId="0" applyNumberFormat="0" applyBorder="0" applyAlignment="0" applyProtection="0"/>
    <xf numFmtId="0" fontId="79" fillId="37" borderId="0" applyNumberFormat="0" applyBorder="0" applyAlignment="0" applyProtection="0"/>
    <xf numFmtId="0" fontId="113" fillId="48" borderId="0" applyNumberFormat="0" applyBorder="0" applyAlignment="0" applyProtection="0"/>
    <xf numFmtId="0" fontId="79" fillId="41" borderId="0" applyNumberFormat="0" applyBorder="0" applyAlignment="0" applyProtection="0"/>
    <xf numFmtId="0" fontId="79" fillId="41" borderId="0" applyNumberFormat="0" applyBorder="0" applyAlignment="0" applyProtection="0"/>
    <xf numFmtId="0" fontId="79" fillId="41" borderId="0" applyNumberFormat="0" applyBorder="0" applyAlignment="0" applyProtection="0"/>
    <xf numFmtId="0" fontId="79" fillId="41" borderId="0" applyNumberFormat="0" applyBorder="0" applyAlignment="0" applyProtection="0"/>
    <xf numFmtId="0" fontId="79" fillId="41" borderId="0" applyNumberFormat="0" applyBorder="0" applyAlignment="0" applyProtection="0"/>
    <xf numFmtId="0" fontId="113" fillId="62" borderId="0" applyNumberFormat="0" applyBorder="0" applyAlignment="0" applyProtection="0"/>
    <xf numFmtId="0" fontId="113" fillId="58" borderId="0" applyNumberFormat="0" applyBorder="0" applyAlignment="0" applyProtection="0"/>
    <xf numFmtId="0" fontId="113" fillId="57" borderId="0" applyNumberFormat="0" applyBorder="0" applyAlignment="0" applyProtection="0"/>
    <xf numFmtId="0" fontId="113" fillId="63" borderId="0" applyNumberFormat="0" applyBorder="0" applyAlignment="0" applyProtection="0"/>
    <xf numFmtId="0" fontId="113" fillId="64" borderId="0" applyNumberFormat="0" applyBorder="0" applyAlignment="0" applyProtection="0"/>
    <xf numFmtId="0" fontId="113" fillId="48" borderId="0" applyNumberFormat="0" applyBorder="0" applyAlignment="0" applyProtection="0"/>
    <xf numFmtId="0" fontId="50" fillId="0" borderId="0">
      <alignment horizontal="center"/>
    </xf>
    <xf numFmtId="0" fontId="102" fillId="0" borderId="0">
      <protection locked="0"/>
    </xf>
    <xf numFmtId="0" fontId="50" fillId="0" borderId="0">
      <alignment horizontal="center"/>
    </xf>
    <xf numFmtId="37" fontId="114" fillId="0" borderId="0">
      <alignment horizontal="center"/>
    </xf>
    <xf numFmtId="0" fontId="115" fillId="65" borderId="0" applyFont="0" applyFill="0"/>
    <xf numFmtId="237" fontId="90" fillId="0" borderId="0"/>
    <xf numFmtId="238" fontId="92" fillId="0" borderId="0"/>
    <xf numFmtId="175" fontId="116" fillId="46" borderId="0" applyFont="0" applyBorder="0"/>
    <xf numFmtId="0" fontId="29" fillId="4" borderId="0"/>
    <xf numFmtId="175" fontId="116" fillId="66" borderId="0" applyNumberFormat="0" applyFont="0" applyBorder="0" applyAlignment="0" applyProtection="0"/>
    <xf numFmtId="175" fontId="89" fillId="67" borderId="0" applyNumberFormat="0" applyFont="0" applyBorder="0" applyAlignment="0" applyProtection="0"/>
    <xf numFmtId="175" fontId="15" fillId="68" borderId="0" applyBorder="0"/>
    <xf numFmtId="175" fontId="15" fillId="68" borderId="0" applyBorder="0"/>
    <xf numFmtId="175" fontId="5" fillId="0" borderId="32" applyNumberFormat="0" applyBorder="0" applyAlignment="0" applyProtection="0"/>
    <xf numFmtId="165" fontId="87" fillId="0" borderId="0" applyBorder="0">
      <alignment horizontal="right"/>
    </xf>
    <xf numFmtId="165" fontId="15" fillId="0" borderId="32" applyBorder="0">
      <alignment horizontal="right"/>
    </xf>
    <xf numFmtId="165" fontId="15" fillId="0" borderId="32" applyBorder="0">
      <alignment horizontal="right"/>
    </xf>
    <xf numFmtId="166" fontId="117" fillId="0" borderId="0" applyBorder="0">
      <alignment horizontal="right"/>
    </xf>
    <xf numFmtId="166" fontId="118" fillId="0" borderId="32" applyBorder="0">
      <alignment horizontal="right"/>
    </xf>
    <xf numFmtId="175" fontId="119" fillId="0" borderId="0">
      <alignment horizontal="left" indent="1"/>
    </xf>
    <xf numFmtId="175" fontId="120" fillId="0" borderId="33" applyBorder="0"/>
    <xf numFmtId="175" fontId="116" fillId="65" borderId="32" applyNumberFormat="0" applyFont="0" applyBorder="0" applyAlignment="0" applyProtection="0"/>
    <xf numFmtId="165" fontId="66" fillId="69" borderId="33" applyBorder="0">
      <alignment horizontal="right"/>
    </xf>
    <xf numFmtId="165" fontId="66" fillId="0" borderId="33" applyBorder="0">
      <alignment horizontal="right"/>
    </xf>
    <xf numFmtId="175" fontId="28" fillId="0" borderId="32" applyNumberFormat="0" applyBorder="0" applyAlignment="0" applyProtection="0"/>
    <xf numFmtId="175" fontId="28" fillId="0" borderId="32" applyNumberFormat="0" applyBorder="0" applyAlignment="0" applyProtection="0"/>
    <xf numFmtId="0" fontId="66" fillId="46" borderId="34" applyBorder="0">
      <alignment horizontal="center"/>
    </xf>
    <xf numFmtId="37" fontId="121" fillId="0" borderId="0"/>
    <xf numFmtId="0" fontId="85" fillId="18" borderId="0" applyNumberFormat="0" applyBorder="0" applyAlignment="0" applyProtection="0"/>
    <xf numFmtId="0" fontId="113" fillId="70" borderId="0" applyNumberFormat="0" applyBorder="0" applyAlignment="0" applyProtection="0"/>
    <xf numFmtId="0" fontId="113" fillId="70" borderId="0" applyNumberFormat="0" applyBorder="0" applyAlignment="0" applyProtection="0"/>
    <xf numFmtId="0" fontId="113" fillId="70" borderId="0" applyNumberFormat="0" applyBorder="0" applyAlignment="0" applyProtection="0"/>
    <xf numFmtId="0" fontId="113" fillId="70" borderId="0" applyNumberFormat="0" applyBorder="0" applyAlignment="0" applyProtection="0"/>
    <xf numFmtId="0" fontId="113" fillId="70" borderId="0" applyNumberFormat="0" applyBorder="0" applyAlignment="0" applyProtection="0"/>
    <xf numFmtId="0" fontId="113" fillId="70" borderId="0" applyNumberFormat="0" applyBorder="0" applyAlignment="0" applyProtection="0"/>
    <xf numFmtId="0" fontId="113" fillId="70" borderId="0" applyNumberFormat="0" applyBorder="0" applyAlignment="0" applyProtection="0"/>
    <xf numFmtId="0" fontId="85" fillId="22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113" fillId="60" borderId="0" applyNumberFormat="0" applyBorder="0" applyAlignment="0" applyProtection="0"/>
    <xf numFmtId="0" fontId="85" fillId="26" borderId="0" applyNumberFormat="0" applyBorder="0" applyAlignment="0" applyProtection="0"/>
    <xf numFmtId="0" fontId="113" fillId="71" borderId="0" applyNumberFormat="0" applyBorder="0" applyAlignment="0" applyProtection="0"/>
    <xf numFmtId="0" fontId="113" fillId="71" borderId="0" applyNumberFormat="0" applyBorder="0" applyAlignment="0" applyProtection="0"/>
    <xf numFmtId="0" fontId="113" fillId="71" borderId="0" applyNumberFormat="0" applyBorder="0" applyAlignment="0" applyProtection="0"/>
    <xf numFmtId="0" fontId="113" fillId="71" borderId="0" applyNumberFormat="0" applyBorder="0" applyAlignment="0" applyProtection="0"/>
    <xf numFmtId="0" fontId="113" fillId="71" borderId="0" applyNumberFormat="0" applyBorder="0" applyAlignment="0" applyProtection="0"/>
    <xf numFmtId="0" fontId="113" fillId="71" borderId="0" applyNumberFormat="0" applyBorder="0" applyAlignment="0" applyProtection="0"/>
    <xf numFmtId="0" fontId="113" fillId="71" borderId="0" applyNumberFormat="0" applyBorder="0" applyAlignment="0" applyProtection="0"/>
    <xf numFmtId="0" fontId="85" fillId="30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113" fillId="61" borderId="0" applyNumberFormat="0" applyBorder="0" applyAlignment="0" applyProtection="0"/>
    <xf numFmtId="0" fontId="85" fillId="34" borderId="0" applyNumberFormat="0" applyBorder="0" applyAlignment="0" applyProtection="0"/>
    <xf numFmtId="0" fontId="113" fillId="64" borderId="0" applyNumberFormat="0" applyBorder="0" applyAlignment="0" applyProtection="0"/>
    <xf numFmtId="0" fontId="113" fillId="64" borderId="0" applyNumberFormat="0" applyBorder="0" applyAlignment="0" applyProtection="0"/>
    <xf numFmtId="0" fontId="113" fillId="64" borderId="0" applyNumberFormat="0" applyBorder="0" applyAlignment="0" applyProtection="0"/>
    <xf numFmtId="0" fontId="113" fillId="64" borderId="0" applyNumberFormat="0" applyBorder="0" applyAlignment="0" applyProtection="0"/>
    <xf numFmtId="0" fontId="113" fillId="64" borderId="0" applyNumberFormat="0" applyBorder="0" applyAlignment="0" applyProtection="0"/>
    <xf numFmtId="0" fontId="113" fillId="64" borderId="0" applyNumberFormat="0" applyBorder="0" applyAlignment="0" applyProtection="0"/>
    <xf numFmtId="0" fontId="113" fillId="64" borderId="0" applyNumberFormat="0" applyBorder="0" applyAlignment="0" applyProtection="0"/>
    <xf numFmtId="0" fontId="85" fillId="3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0" fontId="113" fillId="48" borderId="0" applyNumberFormat="0" applyBorder="0" applyAlignment="0" applyProtection="0"/>
    <xf numFmtId="239" fontId="122" fillId="0" borderId="0" applyFont="0" applyFill="0" applyBorder="0" applyAlignment="0" applyProtection="0"/>
    <xf numFmtId="189" fontId="123" fillId="0" borderId="0">
      <alignment horizontal="centerContinuous"/>
    </xf>
    <xf numFmtId="240" fontId="57" fillId="72" borderId="35">
      <alignment horizontal="center" vertical="center"/>
    </xf>
    <xf numFmtId="240" fontId="57" fillId="72" borderId="35">
      <alignment horizontal="center" vertical="center"/>
    </xf>
    <xf numFmtId="0" fontId="124" fillId="0" borderId="0" applyNumberFormat="0" applyAlignment="0"/>
    <xf numFmtId="0" fontId="125" fillId="0" borderId="0" applyNumberFormat="0" applyAlignment="0"/>
    <xf numFmtId="0" fontId="126" fillId="0" borderId="0" applyNumberFormat="0" applyAlignment="0"/>
    <xf numFmtId="0" fontId="127" fillId="0" borderId="0" applyNumberFormat="0" applyAlignment="0"/>
    <xf numFmtId="0" fontId="5" fillId="0" borderId="0"/>
    <xf numFmtId="176" fontId="128" fillId="0" borderId="0">
      <alignment horizontal="left"/>
    </xf>
    <xf numFmtId="241" fontId="129" fillId="0" borderId="0"/>
    <xf numFmtId="0" fontId="92" fillId="0" borderId="0">
      <alignment horizontal="center" wrapText="1"/>
      <protection locked="0"/>
    </xf>
    <xf numFmtId="5" fontId="130" fillId="0" borderId="36">
      <alignment horizontal="right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76" fontId="131" fillId="44" borderId="0" applyNumberFormat="0" applyFont="0" applyFill="0" applyBorder="0" applyAlignment="0"/>
    <xf numFmtId="0" fontId="130" fillId="0" borderId="0" applyNumberFormat="0" applyFill="0" applyBorder="0" applyAlignment="0" applyProtection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5" fontId="130" fillId="0" borderId="36">
      <alignment horizontal="right"/>
    </xf>
    <xf numFmtId="5" fontId="130" fillId="0" borderId="36">
      <alignment horizontal="right"/>
    </xf>
    <xf numFmtId="5" fontId="130" fillId="0" borderId="36">
      <alignment horizontal="right"/>
    </xf>
    <xf numFmtId="5" fontId="130" fillId="0" borderId="36">
      <alignment horizontal="right"/>
    </xf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176" fontId="131" fillId="44" borderId="0" applyNumberFormat="0" applyFont="0" applyFill="0" applyBorder="0" applyAlignment="0"/>
    <xf numFmtId="0" fontId="132" fillId="0" borderId="0">
      <alignment horizontal="left"/>
    </xf>
    <xf numFmtId="0" fontId="15" fillId="0" borderId="37" applyNumberFormat="0" applyFill="0" applyAlignment="0" applyProtection="0"/>
    <xf numFmtId="0" fontId="15" fillId="0" borderId="37" applyNumberFormat="0" applyFill="0" applyAlignment="0" applyProtection="0"/>
    <xf numFmtId="0" fontId="133" fillId="0" borderId="0" applyNumberFormat="0" applyProtection="0"/>
    <xf numFmtId="242" fontId="5" fillId="73" borderId="21" applyNumberFormat="0" applyFont="0" applyAlignment="0" applyProtection="0"/>
    <xf numFmtId="242" fontId="5" fillId="73" borderId="21" applyNumberFormat="0" applyFont="0" applyAlignment="0" applyProtection="0"/>
    <xf numFmtId="243" fontId="93" fillId="0" borderId="29">
      <alignment vertical="top"/>
    </xf>
    <xf numFmtId="243" fontId="93" fillId="0" borderId="29">
      <alignment vertical="top"/>
    </xf>
    <xf numFmtId="0" fontId="49" fillId="0" borderId="0" applyNumberFormat="0" applyFont="0" applyAlignment="0"/>
    <xf numFmtId="0" fontId="49" fillId="0" borderId="0" applyNumberFormat="0" applyFont="0" applyAlignment="0"/>
    <xf numFmtId="0" fontId="82" fillId="15" borderId="0" applyNumberFormat="0" applyBorder="0" applyAlignment="0" applyProtection="0"/>
    <xf numFmtId="0" fontId="134" fillId="53" borderId="0" applyNumberFormat="0" applyBorder="0" applyAlignment="0" applyProtection="0"/>
    <xf numFmtId="0" fontId="134" fillId="53" borderId="0" applyNumberFormat="0" applyBorder="0" applyAlignment="0" applyProtection="0"/>
    <xf numFmtId="0" fontId="134" fillId="53" borderId="0" applyNumberFormat="0" applyBorder="0" applyAlignment="0" applyProtection="0"/>
    <xf numFmtId="0" fontId="134" fillId="53" borderId="0" applyNumberFormat="0" applyBorder="0" applyAlignment="0" applyProtection="0"/>
    <xf numFmtId="0" fontId="134" fillId="53" borderId="0" applyNumberFormat="0" applyBorder="0" applyAlignment="0" applyProtection="0"/>
    <xf numFmtId="0" fontId="134" fillId="53" borderId="0" applyNumberFormat="0" applyBorder="0" applyAlignment="0" applyProtection="0"/>
    <xf numFmtId="0" fontId="134" fillId="53" borderId="0" applyNumberFormat="0" applyBorder="0" applyAlignment="0" applyProtection="0"/>
    <xf numFmtId="0" fontId="5" fillId="0" borderId="0"/>
    <xf numFmtId="197" fontId="92" fillId="0" borderId="0" applyFill="0" applyBorder="0" applyAlignment="0" applyProtection="0">
      <protection locked="0"/>
    </xf>
    <xf numFmtId="242" fontId="92" fillId="0" borderId="0" applyFont="0" applyFill="0" applyBorder="0" applyAlignment="0" applyProtection="0"/>
    <xf numFmtId="1" fontId="135" fillId="74" borderId="15" applyNumberFormat="0" applyBorder="0" applyAlignment="0">
      <alignment horizontal="center" vertical="top" wrapText="1"/>
      <protection hidden="1"/>
    </xf>
    <xf numFmtId="0" fontId="136" fillId="0" borderId="0" applyFont="0" applyFill="0" applyBorder="0" applyAlignment="0" applyProtection="0">
      <alignment vertical="top"/>
    </xf>
    <xf numFmtId="37" fontId="137" fillId="0" borderId="0" applyNumberFormat="0" applyFill="0" applyBorder="0" applyAlignment="0" applyProtection="0"/>
    <xf numFmtId="244" fontId="138" fillId="67" borderId="21" applyFont="0" applyFill="0" applyBorder="0" applyAlignment="0" applyProtection="0"/>
    <xf numFmtId="0" fontId="5" fillId="0" borderId="0" applyNumberFormat="0" applyFill="0" applyBorder="0" applyAlignment="0" applyProtection="0"/>
    <xf numFmtId="176" fontId="107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" fontId="139" fillId="0" borderId="0" applyFill="0" applyBorder="0" applyProtection="0">
      <alignment horizontal="right" wrapText="1"/>
      <protection locked="0"/>
    </xf>
    <xf numFmtId="245" fontId="140" fillId="0" borderId="0" applyFill="0" applyBorder="0" applyProtection="0">
      <alignment horizontal="right"/>
      <protection locked="0"/>
    </xf>
    <xf numFmtId="1" fontId="139" fillId="0" borderId="0" applyFill="0" applyBorder="0" applyProtection="0">
      <alignment horizontal="right" wrapText="1"/>
      <protection locked="0"/>
    </xf>
    <xf numFmtId="0" fontId="141" fillId="0" borderId="0" applyNumberFormat="0" applyFill="0" applyBorder="0" applyAlignment="0" applyProtection="0"/>
    <xf numFmtId="0" fontId="142" fillId="44" borderId="0" applyNumberFormat="0" applyFill="0" applyBorder="0" applyAlignment="0" applyProtection="0">
      <protection locked="0"/>
    </xf>
    <xf numFmtId="0" fontId="5" fillId="0" borderId="0"/>
    <xf numFmtId="0" fontId="143" fillId="0" borderId="0" applyNumberFormat="0" applyFill="0" applyBorder="0" applyProtection="0">
      <protection locked="0"/>
    </xf>
    <xf numFmtId="245" fontId="144" fillId="0" borderId="0">
      <protection locked="0"/>
    </xf>
    <xf numFmtId="0" fontId="143" fillId="0" borderId="0" applyNumberFormat="0" applyFill="0" applyBorder="0" applyProtection="0">
      <protection locked="0"/>
    </xf>
    <xf numFmtId="14" fontId="145" fillId="0" borderId="0" applyNumberFormat="0" applyFill="0" applyBorder="0" applyAlignment="0" applyProtection="0">
      <alignment horizontal="center"/>
    </xf>
    <xf numFmtId="246" fontId="92" fillId="0" borderId="0">
      <alignment horizontal="right"/>
    </xf>
    <xf numFmtId="0" fontId="146" fillId="0" borderId="0"/>
    <xf numFmtId="0" fontId="5" fillId="65" borderId="0" applyNumberFormat="0"/>
    <xf numFmtId="176" fontId="18" fillId="0" borderId="0" applyNumberFormat="0" applyFill="0" applyBorder="0" applyAlignment="0" applyProtection="0">
      <protection locked="0"/>
    </xf>
    <xf numFmtId="0" fontId="147" fillId="0" borderId="2" applyNumberFormat="0" applyFill="0" applyAlignment="0" applyProtection="0"/>
    <xf numFmtId="0" fontId="147" fillId="0" borderId="2" applyNumberFormat="0" applyFill="0" applyAlignment="0" applyProtection="0"/>
    <xf numFmtId="0" fontId="147" fillId="0" borderId="2" applyNumberFormat="0" applyFill="0" applyAlignment="0" applyProtection="0"/>
    <xf numFmtId="0" fontId="147" fillId="0" borderId="2" applyNumberFormat="0" applyFill="0" applyAlignment="0" applyProtection="0"/>
    <xf numFmtId="176" fontId="148" fillId="0" borderId="0">
      <alignment vertical="top"/>
    </xf>
    <xf numFmtId="0" fontId="149" fillId="44" borderId="16" applyNumberFormat="0" applyFill="0" applyBorder="0" applyAlignment="0" applyProtection="0">
      <protection locked="0"/>
    </xf>
    <xf numFmtId="176" fontId="61" fillId="0" borderId="0">
      <alignment horizontal="right"/>
    </xf>
    <xf numFmtId="0" fontId="61" fillId="0" borderId="0">
      <alignment horizontal="left"/>
    </xf>
    <xf numFmtId="0" fontId="61" fillId="0" borderId="0">
      <alignment horizontal="left"/>
    </xf>
    <xf numFmtId="0" fontId="150" fillId="49" borderId="0" applyNumberFormat="0" applyBorder="0" applyAlignment="0" applyProtection="0"/>
    <xf numFmtId="0" fontId="151" fillId="14" borderId="0" applyNumberFormat="0" applyBorder="0" applyAlignment="0" applyProtection="0"/>
    <xf numFmtId="0" fontId="151" fillId="14" borderId="0" applyNumberFormat="0" applyBorder="0" applyAlignment="0" applyProtection="0"/>
    <xf numFmtId="0" fontId="151" fillId="14" borderId="0" applyNumberFormat="0" applyBorder="0" applyAlignment="0" applyProtection="0"/>
    <xf numFmtId="0" fontId="151" fillId="14" borderId="0" applyNumberFormat="0" applyBorder="0" applyAlignment="0" applyProtection="0"/>
    <xf numFmtId="0" fontId="151" fillId="14" borderId="0" applyNumberFormat="0" applyBorder="0" applyAlignment="0" applyProtection="0"/>
    <xf numFmtId="4" fontId="152" fillId="0" borderId="0">
      <alignment horizontal="center"/>
      <protection locked="0"/>
    </xf>
    <xf numFmtId="176" fontId="29" fillId="0" borderId="0" applyNumberFormat="0" applyAlignment="0"/>
    <xf numFmtId="227" fontId="5" fillId="0" borderId="33" applyNumberFormat="0" applyFont="0" applyFill="0" applyAlignment="0" applyProtection="0"/>
    <xf numFmtId="227" fontId="5" fillId="0" borderId="33" applyNumberFormat="0" applyFont="0" applyFill="0" applyAlignment="0" applyProtection="0"/>
    <xf numFmtId="0" fontId="92" fillId="0" borderId="36" applyNumberFormat="0" applyFont="0" applyFill="0" applyAlignment="0" applyProtection="0"/>
    <xf numFmtId="0" fontId="92" fillId="0" borderId="36" applyNumberFormat="0" applyFont="0" applyFill="0" applyAlignment="0" applyProtection="0"/>
    <xf numFmtId="0" fontId="92" fillId="0" borderId="36" applyNumberFormat="0" applyFont="0" applyFill="0" applyAlignment="0" applyProtection="0"/>
    <xf numFmtId="0" fontId="92" fillId="0" borderId="36" applyNumberFormat="0" applyFont="0" applyFill="0" applyAlignment="0" applyProtection="0"/>
    <xf numFmtId="0" fontId="92" fillId="0" borderId="38" applyNumberFormat="0" applyFont="0" applyFill="0" applyAlignment="0" applyProtection="0"/>
    <xf numFmtId="0" fontId="92" fillId="0" borderId="38" applyNumberFormat="0" applyFont="0" applyFill="0" applyAlignment="0" applyProtection="0"/>
    <xf numFmtId="0" fontId="92" fillId="0" borderId="39" applyNumberFormat="0" applyFont="0" applyFill="0" applyAlignment="0" applyProtection="0"/>
    <xf numFmtId="0" fontId="92" fillId="0" borderId="39" applyNumberFormat="0" applyFont="0" applyFill="0" applyAlignment="0" applyProtection="0"/>
    <xf numFmtId="0" fontId="92" fillId="0" borderId="39" applyNumberFormat="0" applyFont="0" applyFill="0" applyAlignment="0" applyProtection="0"/>
    <xf numFmtId="0" fontId="92" fillId="0" borderId="39" applyNumberFormat="0" applyFont="0" applyFill="0" applyAlignment="0" applyProtection="0"/>
    <xf numFmtId="247" fontId="153" fillId="0" borderId="0">
      <alignment horizontal="right"/>
    </xf>
    <xf numFmtId="176" fontId="56" fillId="0" borderId="0" applyFont="0">
      <alignment horizontal="centerContinuous"/>
    </xf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2" applyNumberFormat="0" applyFont="0" applyFill="0" applyAlignment="0" applyProtection="0"/>
    <xf numFmtId="0" fontId="5" fillId="0" borderId="15" applyNumberFormat="0" applyFont="0" applyFill="0" applyAlignment="0" applyProtection="0"/>
    <xf numFmtId="0" fontId="5" fillId="0" borderId="15" applyNumberFormat="0" applyFont="0" applyFill="0" applyAlignment="0" applyProtection="0"/>
    <xf numFmtId="0" fontId="5" fillId="0" borderId="16" applyNumberFormat="0" applyFont="0" applyFill="0" applyAlignment="0" applyProtection="0"/>
    <xf numFmtId="0" fontId="5" fillId="0" borderId="16" applyNumberFormat="0" applyFont="0" applyFill="0" applyAlignment="0" applyProtection="0"/>
    <xf numFmtId="0" fontId="5" fillId="0" borderId="33" applyNumberFormat="0" applyFont="0" applyFill="0" applyAlignment="0" applyProtection="0"/>
    <xf numFmtId="0" fontId="5" fillId="0" borderId="33" applyNumberFormat="0" applyFont="0" applyFill="0" applyAlignment="0" applyProtection="0"/>
    <xf numFmtId="5" fontId="7" fillId="0" borderId="33" applyAlignment="0" applyProtection="0"/>
    <xf numFmtId="248" fontId="131" fillId="0" borderId="0">
      <alignment horizontal="right"/>
    </xf>
    <xf numFmtId="248" fontId="131" fillId="0" borderId="0">
      <alignment horizontal="right"/>
    </xf>
    <xf numFmtId="0" fontId="154" fillId="0" borderId="40" applyFill="0" applyProtection="0">
      <alignment horizontal="right"/>
    </xf>
    <xf numFmtId="37" fontId="155" fillId="0" borderId="0" applyNumberFormat="0" applyFill="0" applyBorder="0" applyAlignment="0" applyProtection="0">
      <alignment horizontal="center"/>
    </xf>
    <xf numFmtId="249" fontId="15" fillId="0" borderId="0"/>
    <xf numFmtId="249" fontId="15" fillId="0" borderId="0"/>
    <xf numFmtId="250" fontId="156" fillId="0" borderId="0" applyFont="0" applyFill="0" applyBorder="0" applyAlignment="0" applyProtection="0"/>
    <xf numFmtId="251" fontId="49" fillId="0" borderId="0">
      <alignment horizontal="right"/>
    </xf>
    <xf numFmtId="0" fontId="150" fillId="49" borderId="0" applyNumberFormat="0" applyBorder="0" applyAlignment="0" applyProtection="0"/>
    <xf numFmtId="197" fontId="105" fillId="0" borderId="0" applyFont="0" applyFill="0" applyBorder="0" applyAlignment="0" applyProtection="0"/>
    <xf numFmtId="0" fontId="157" fillId="0" borderId="0"/>
    <xf numFmtId="252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8" fontId="5" fillId="0" borderId="0"/>
    <xf numFmtId="248" fontId="5" fillId="0" borderId="0"/>
    <xf numFmtId="0" fontId="15" fillId="0" borderId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5" fillId="0" borderId="0" applyFill="0" applyBorder="0" applyAlignment="0"/>
    <xf numFmtId="0" fontId="83" fillId="16" borderId="24" applyNumberFormat="0" applyAlignment="0" applyProtection="0"/>
    <xf numFmtId="0" fontId="160" fillId="75" borderId="41" applyNumberFormat="0" applyAlignment="0" applyProtection="0"/>
    <xf numFmtId="0" fontId="160" fillId="75" borderId="41" applyNumberFormat="0" applyAlignment="0" applyProtection="0"/>
    <xf numFmtId="0" fontId="160" fillId="75" borderId="41" applyNumberFormat="0" applyAlignment="0" applyProtection="0"/>
    <xf numFmtId="0" fontId="160" fillId="75" borderId="41" applyNumberFormat="0" applyAlignment="0" applyProtection="0"/>
    <xf numFmtId="0" fontId="160" fillId="75" borderId="41" applyNumberFormat="0" applyAlignment="0" applyProtection="0"/>
    <xf numFmtId="0" fontId="160" fillId="75" borderId="41" applyNumberFormat="0" applyAlignment="0" applyProtection="0"/>
    <xf numFmtId="0" fontId="160" fillId="75" borderId="41" applyNumberFormat="0" applyAlignment="0" applyProtection="0"/>
    <xf numFmtId="0" fontId="161" fillId="75" borderId="41" applyNumberFormat="0" applyAlignment="0" applyProtection="0"/>
    <xf numFmtId="0" fontId="162" fillId="16" borderId="24" applyNumberFormat="0" applyAlignment="0" applyProtection="0"/>
    <xf numFmtId="0" fontId="162" fillId="16" borderId="24" applyNumberFormat="0" applyAlignment="0" applyProtection="0"/>
    <xf numFmtId="0" fontId="162" fillId="16" borderId="24" applyNumberFormat="0" applyAlignment="0" applyProtection="0"/>
    <xf numFmtId="0" fontId="162" fillId="16" borderId="24" applyNumberFormat="0" applyAlignment="0" applyProtection="0"/>
    <xf numFmtId="0" fontId="162" fillId="16" borderId="24" applyNumberFormat="0" applyAlignment="0" applyProtection="0"/>
    <xf numFmtId="176" fontId="92" fillId="6" borderId="0" applyNumberFormat="0" applyFont="0" applyBorder="0" applyAlignment="0"/>
    <xf numFmtId="197" fontId="92" fillId="0" borderId="0" applyFont="0" applyFill="0" applyBorder="0" applyAlignment="0" applyProtection="0">
      <protection locked="0"/>
    </xf>
    <xf numFmtId="242" fontId="139" fillId="0" borderId="0" applyFont="0" applyFill="0" applyBorder="0" applyAlignment="0" applyProtection="0"/>
    <xf numFmtId="0" fontId="163" fillId="50" borderId="42" applyNumberFormat="0" applyAlignment="0" applyProtection="0"/>
    <xf numFmtId="0" fontId="164" fillId="0" borderId="43" applyNumberFormat="0" applyFill="0" applyAlignment="0" applyProtection="0"/>
    <xf numFmtId="0" fontId="163" fillId="50" borderId="42" applyNumberFormat="0" applyAlignment="0" applyProtection="0"/>
    <xf numFmtId="0" fontId="77" fillId="17" borderId="26" applyNumberFormat="0" applyAlignment="0" applyProtection="0"/>
    <xf numFmtId="0" fontId="77" fillId="17" borderId="26" applyNumberFormat="0" applyAlignment="0" applyProtection="0"/>
    <xf numFmtId="0" fontId="77" fillId="17" borderId="26" applyNumberFormat="0" applyAlignment="0" applyProtection="0"/>
    <xf numFmtId="0" fontId="77" fillId="17" borderId="26" applyNumberFormat="0" applyAlignment="0" applyProtection="0"/>
    <xf numFmtId="0" fontId="77" fillId="17" borderId="26" applyNumberFormat="0" applyAlignment="0" applyProtection="0"/>
    <xf numFmtId="0" fontId="164" fillId="0" borderId="43" applyNumberFormat="0" applyFill="0" applyAlignment="0" applyProtection="0"/>
    <xf numFmtId="0" fontId="165" fillId="0" borderId="25" applyNumberFormat="0" applyFill="0" applyAlignment="0" applyProtection="0"/>
    <xf numFmtId="0" fontId="165" fillId="0" borderId="25" applyNumberFormat="0" applyFill="0" applyAlignment="0" applyProtection="0"/>
    <xf numFmtId="0" fontId="165" fillId="0" borderId="25" applyNumberFormat="0" applyFill="0" applyAlignment="0" applyProtection="0"/>
    <xf numFmtId="0" fontId="165" fillId="0" borderId="25" applyNumberFormat="0" applyFill="0" applyAlignment="0" applyProtection="0"/>
    <xf numFmtId="0" fontId="165" fillId="0" borderId="25" applyNumberFormat="0" applyFill="0" applyAlignment="0" applyProtection="0"/>
    <xf numFmtId="0" fontId="89" fillId="0" borderId="0">
      <alignment horizontal="centerContinuous"/>
    </xf>
    <xf numFmtId="0" fontId="49" fillId="0" borderId="0" applyNumberFormat="0" applyFont="0" applyFill="0" applyBorder="0" applyProtection="0">
      <alignment horizontal="center" vertical="center" wrapText="1"/>
    </xf>
    <xf numFmtId="0" fontId="90" fillId="0" borderId="0">
      <alignment horizontal="right"/>
    </xf>
    <xf numFmtId="253" fontId="5" fillId="0" borderId="0"/>
    <xf numFmtId="1" fontId="166" fillId="0" borderId="0"/>
    <xf numFmtId="0" fontId="84" fillId="17" borderId="26" applyNumberFormat="0" applyAlignment="0" applyProtection="0"/>
    <xf numFmtId="0" fontId="163" fillId="76" borderId="42" applyNumberFormat="0" applyAlignment="0" applyProtection="0"/>
    <xf numFmtId="0" fontId="163" fillId="76" borderId="42" applyNumberFormat="0" applyAlignment="0" applyProtection="0"/>
    <xf numFmtId="0" fontId="163" fillId="76" borderId="42" applyNumberFormat="0" applyAlignment="0" applyProtection="0"/>
    <xf numFmtId="0" fontId="163" fillId="76" borderId="42" applyNumberFormat="0" applyAlignment="0" applyProtection="0"/>
    <xf numFmtId="0" fontId="163" fillId="76" borderId="42" applyNumberFormat="0" applyAlignment="0" applyProtection="0"/>
    <xf numFmtId="0" fontId="163" fillId="76" borderId="42" applyNumberFormat="0" applyAlignment="0" applyProtection="0"/>
    <xf numFmtId="0" fontId="163" fillId="76" borderId="42" applyNumberFormat="0" applyAlignment="0" applyProtection="0"/>
    <xf numFmtId="0" fontId="89" fillId="0" borderId="0"/>
    <xf numFmtId="37" fontId="89" fillId="77" borderId="0"/>
    <xf numFmtId="1" fontId="167" fillId="0" borderId="0">
      <protection locked="0"/>
    </xf>
    <xf numFmtId="0" fontId="168" fillId="0" borderId="0">
      <alignment horizontal="centerContinuous"/>
    </xf>
    <xf numFmtId="49" fontId="169" fillId="0" borderId="0">
      <alignment horizontal="right" vertical="center"/>
    </xf>
    <xf numFmtId="49" fontId="170" fillId="0" borderId="0">
      <alignment horizontal="right" vertical="center"/>
    </xf>
    <xf numFmtId="0" fontId="35" fillId="0" borderId="2" applyNumberFormat="0" applyFill="0" applyBorder="0" applyAlignment="0" applyProtection="0">
      <alignment horizontal="center"/>
    </xf>
    <xf numFmtId="0" fontId="35" fillId="0" borderId="2" applyNumberFormat="0" applyFill="0" applyBorder="0" applyAlignment="0" applyProtection="0">
      <alignment horizontal="center"/>
    </xf>
    <xf numFmtId="0" fontId="35" fillId="0" borderId="2" applyNumberFormat="0" applyFill="0" applyBorder="0" applyAlignment="0" applyProtection="0">
      <alignment horizontal="center"/>
    </xf>
    <xf numFmtId="0" fontId="35" fillId="0" borderId="2" applyNumberFormat="0" applyFill="0" applyBorder="0" applyAlignment="0" applyProtection="0">
      <alignment horizontal="center"/>
    </xf>
    <xf numFmtId="0" fontId="171" fillId="0" borderId="2" applyNumberFormat="0" applyFill="0" applyProtection="0">
      <alignment horizontal="left" vertical="center"/>
    </xf>
    <xf numFmtId="0" fontId="172" fillId="78" borderId="0"/>
    <xf numFmtId="0" fontId="44" fillId="44" borderId="0"/>
    <xf numFmtId="0" fontId="173" fillId="0" borderId="0" applyNumberFormat="0" applyFill="0" applyBorder="0" applyProtection="0">
      <alignment horizontal="right"/>
    </xf>
    <xf numFmtId="254" fontId="44" fillId="0" borderId="0" applyBorder="0">
      <alignment horizontal="right"/>
    </xf>
    <xf numFmtId="254" fontId="44" fillId="0" borderId="36" applyAlignment="0">
      <alignment horizontal="right"/>
    </xf>
    <xf numFmtId="254" fontId="44" fillId="0" borderId="36" applyAlignment="0">
      <alignment horizontal="right"/>
    </xf>
    <xf numFmtId="254" fontId="44" fillId="0" borderId="36" applyAlignment="0">
      <alignment horizontal="right"/>
    </xf>
    <xf numFmtId="254" fontId="44" fillId="0" borderId="36" applyAlignment="0">
      <alignment horizontal="right"/>
    </xf>
    <xf numFmtId="255" fontId="29" fillId="0" borderId="0">
      <alignment horizontal="right"/>
    </xf>
    <xf numFmtId="164" fontId="174" fillId="0" borderId="0" applyFont="0" applyFill="0" applyBorder="0" applyAlignment="0" applyProtection="0"/>
    <xf numFmtId="0" fontId="5" fillId="0" borderId="0"/>
    <xf numFmtId="256" fontId="175" fillId="0" borderId="0"/>
    <xf numFmtId="256" fontId="175" fillId="0" borderId="0"/>
    <xf numFmtId="256" fontId="175" fillId="0" borderId="0"/>
    <xf numFmtId="256" fontId="175" fillId="0" borderId="0"/>
    <xf numFmtId="256" fontId="175" fillId="0" borderId="0"/>
    <xf numFmtId="256" fontId="175" fillId="0" borderId="0"/>
    <xf numFmtId="256" fontId="175" fillId="0" borderId="0"/>
    <xf numFmtId="256" fontId="175" fillId="0" borderId="0"/>
    <xf numFmtId="241" fontId="92" fillId="0" borderId="0"/>
    <xf numFmtId="38" fontId="176" fillId="0" borderId="0">
      <alignment horizontal="center"/>
      <protection locked="0"/>
    </xf>
    <xf numFmtId="242" fontId="92" fillId="0" borderId="0" applyFont="0" applyFill="0" applyBorder="0" applyAlignment="0" applyProtection="0"/>
    <xf numFmtId="40" fontId="139" fillId="0" borderId="0" applyFont="0" applyFill="0" applyBorder="0" applyAlignment="0" applyProtection="0">
      <alignment horizontal="center"/>
    </xf>
    <xf numFmtId="40" fontId="139" fillId="0" borderId="0" applyFont="0" applyFill="0" applyBorder="0" applyAlignment="0" applyProtection="0">
      <alignment horizontal="center"/>
    </xf>
    <xf numFmtId="257" fontId="139" fillId="0" borderId="0" applyFont="0" applyFill="0" applyBorder="0" applyAlignment="0" applyProtection="0">
      <alignment horizontal="center"/>
    </xf>
    <xf numFmtId="257" fontId="139" fillId="0" borderId="0" applyFont="0" applyFill="0" applyBorder="0" applyAlignment="0" applyProtection="0">
      <alignment horizontal="center"/>
    </xf>
    <xf numFmtId="253" fontId="177" fillId="0" borderId="0" applyFont="0" applyFill="0" applyBorder="0" applyProtection="0">
      <alignment horizontal="right"/>
    </xf>
    <xf numFmtId="258" fontId="49" fillId="0" borderId="0" applyFont="0" applyFill="0" applyBorder="0" applyAlignment="0" applyProtection="0">
      <alignment horizontal="right"/>
    </xf>
    <xf numFmtId="259" fontId="17" fillId="0" borderId="0" applyFont="0" applyFill="0" applyBorder="0" applyAlignment="0" applyProtection="0"/>
    <xf numFmtId="260" fontId="17" fillId="0" borderId="0" applyFill="0" applyBorder="0" applyProtection="0"/>
    <xf numFmtId="175" fontId="37" fillId="0" borderId="0" applyFont="0" applyFill="0" applyBorder="0" applyAlignment="0" applyProtection="0"/>
    <xf numFmtId="223" fontId="50" fillId="0" borderId="0" applyFont="0" applyFill="0" applyBorder="0" applyAlignment="0" applyProtection="0"/>
    <xf numFmtId="261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262" fontId="49" fillId="0" borderId="0" applyFont="0" applyFill="0" applyBorder="0" applyAlignment="0" applyProtection="0">
      <alignment horizontal="right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63" fontId="1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29" fontId="179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64" fontId="1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8" fillId="0" borderId="0" applyFont="0" applyFill="0" applyBorder="0" applyAlignment="0" applyProtection="0"/>
    <xf numFmtId="40" fontId="5" fillId="0" borderId="0" applyFont="0" applyFill="0" applyBorder="0" applyProtection="0">
      <alignment horizontal="right"/>
    </xf>
    <xf numFmtId="40" fontId="5" fillId="0" borderId="0" applyFont="0" applyFill="0" applyBorder="0" applyProtection="0">
      <alignment horizontal="right"/>
    </xf>
    <xf numFmtId="265" fontId="28" fillId="0" borderId="2" applyFont="0" applyFill="0" applyBorder="0" applyAlignment="0" applyProtection="0"/>
    <xf numFmtId="265" fontId="138" fillId="0" borderId="0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65" fontId="28" fillId="0" borderId="2" applyFont="0" applyFill="0" applyBorder="0" applyAlignment="0" applyProtection="0"/>
    <xf numFmtId="257" fontId="28" fillId="0" borderId="2" applyFont="0" applyFill="0" applyBorder="0" applyAlignment="0" applyProtection="0"/>
    <xf numFmtId="266" fontId="181" fillId="0" borderId="0" applyFont="0" applyFill="0" applyBorder="0" applyAlignment="0" applyProtection="0">
      <protection locked="0"/>
    </xf>
    <xf numFmtId="37" fontId="92" fillId="0" borderId="0" applyFill="0" applyBorder="0" applyAlignment="0" applyProtection="0"/>
    <xf numFmtId="37" fontId="92" fillId="0" borderId="0" applyFill="0" applyBorder="0" applyAlignment="0" applyProtection="0"/>
    <xf numFmtId="267" fontId="182" fillId="0" borderId="0" applyFont="0" applyFill="0" applyBorder="0">
      <alignment horizontal="right"/>
    </xf>
    <xf numFmtId="268" fontId="183" fillId="0" borderId="0" applyFont="0" applyFill="0" applyBorder="0" applyAlignment="0"/>
    <xf numFmtId="269" fontId="182" fillId="0" borderId="0" applyFont="0" applyFill="0" applyBorder="0" applyAlignment="0"/>
    <xf numFmtId="270" fontId="184" fillId="79" borderId="14" applyFont="0" applyFill="0" applyBorder="0" applyAlignment="0"/>
    <xf numFmtId="0" fontId="184" fillId="79" borderId="14" applyFont="0" applyFill="0" applyBorder="0" applyAlignment="0"/>
    <xf numFmtId="271" fontId="121" fillId="0" borderId="0" applyFont="0" applyFill="0" applyBorder="0" applyAlignment="0" applyProtection="0"/>
    <xf numFmtId="227" fontId="15" fillId="0" borderId="0"/>
    <xf numFmtId="0" fontId="185" fillId="0" borderId="0"/>
    <xf numFmtId="0" fontId="5" fillId="0" borderId="0"/>
    <xf numFmtId="0" fontId="185" fillId="0" borderId="0"/>
    <xf numFmtId="0" fontId="5" fillId="0" borderId="0"/>
    <xf numFmtId="40" fontId="50" fillId="0" borderId="0" applyFont="0" applyFill="0" applyBorder="0" applyAlignment="0" applyProtection="0"/>
    <xf numFmtId="272" fontId="29" fillId="0" borderId="0">
      <alignment horizontal="right"/>
    </xf>
    <xf numFmtId="273" fontId="92" fillId="0" borderId="0" applyFont="0" applyFill="0" applyBorder="0" applyAlignment="0" applyProtection="0"/>
    <xf numFmtId="236" fontId="49" fillId="0" borderId="0">
      <alignment horizontal="right"/>
    </xf>
    <xf numFmtId="3" fontId="186" fillId="0" borderId="0"/>
    <xf numFmtId="164" fontId="186" fillId="0" borderId="0"/>
    <xf numFmtId="2" fontId="186" fillId="0" borderId="0"/>
    <xf numFmtId="0" fontId="187" fillId="0" borderId="0"/>
    <xf numFmtId="176" fontId="58" fillId="0" borderId="0" applyFill="0" applyBorder="0">
      <alignment horizontal="left"/>
    </xf>
    <xf numFmtId="37" fontId="188" fillId="80" borderId="21">
      <alignment horizontal="right"/>
    </xf>
    <xf numFmtId="0" fontId="5" fillId="0" borderId="0" applyNumberFormat="0" applyAlignment="0">
      <alignment horizontal="left"/>
    </xf>
    <xf numFmtId="0" fontId="49" fillId="0" borderId="0"/>
    <xf numFmtId="274" fontId="5" fillId="0" borderId="0" applyFont="0" applyFill="0" applyBorder="0" applyAlignment="0" applyProtection="0"/>
    <xf numFmtId="0" fontId="189" fillId="0" borderId="0">
      <alignment horizontal="left"/>
    </xf>
    <xf numFmtId="0" fontId="190" fillId="0" borderId="0"/>
    <xf numFmtId="0" fontId="191" fillId="0" borderId="0">
      <alignment horizontal="left"/>
    </xf>
    <xf numFmtId="265" fontId="5" fillId="0" borderId="0" applyFont="0" applyFill="0" applyBorder="0" applyAlignment="0" applyProtection="0"/>
    <xf numFmtId="275" fontId="192" fillId="0" borderId="0"/>
    <xf numFmtId="276" fontId="37" fillId="0" borderId="0" applyFont="0" applyFill="0" applyBorder="0" applyAlignment="0" applyProtection="0"/>
    <xf numFmtId="277" fontId="138" fillId="0" borderId="0" applyFont="0" applyFill="0" applyBorder="0" applyAlignment="0" applyProtection="0"/>
    <xf numFmtId="0" fontId="92" fillId="0" borderId="0" applyFont="0" applyFill="0" applyBorder="0" applyAlignment="0" applyProtection="0">
      <protection locked="0"/>
    </xf>
    <xf numFmtId="278" fontId="49" fillId="0" borderId="0" applyFont="0" applyFill="0" applyBorder="0" applyAlignment="0" applyProtection="0">
      <protection locked="0"/>
    </xf>
    <xf numFmtId="0" fontId="92" fillId="0" borderId="0"/>
    <xf numFmtId="0" fontId="105" fillId="0" borderId="0"/>
    <xf numFmtId="212" fontId="28" fillId="0" borderId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8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177" fillId="0" borderId="0" applyFont="0" applyFill="0" applyBorder="0" applyProtection="0">
      <alignment horizontal="right"/>
    </xf>
    <xf numFmtId="279" fontId="49" fillId="0" borderId="0" applyFont="0" applyFill="0" applyBorder="0" applyAlignment="0" applyProtection="0">
      <alignment horizontal="right"/>
    </xf>
    <xf numFmtId="0" fontId="49" fillId="0" borderId="0" applyFont="0" applyFill="0" applyBorder="0" applyAlignment="0" applyProtection="0">
      <alignment horizontal="right"/>
    </xf>
    <xf numFmtId="280" fontId="179" fillId="0" borderId="0" applyFont="0" applyFill="0" applyBorder="0" applyAlignment="0" applyProtection="0"/>
    <xf numFmtId="0" fontId="17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 applyFont="0" applyFill="0" applyBorder="0" applyAlignment="0" applyProtection="0">
      <alignment horizontal="right"/>
    </xf>
    <xf numFmtId="0" fontId="193" fillId="0" borderId="0" applyFont="0" applyFill="0" applyBorder="0" applyAlignment="0" applyProtection="0"/>
    <xf numFmtId="0" fontId="121" fillId="0" borderId="0" applyFont="0" applyFill="0" applyBorder="0" applyAlignment="0" applyProtection="0">
      <alignment horizontal="right"/>
    </xf>
    <xf numFmtId="281" fontId="179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5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28" fillId="0" borderId="2" applyFont="0" applyFill="0" applyBorder="0" applyAlignment="0" applyProtection="0"/>
    <xf numFmtId="0" fontId="92" fillId="0" borderId="0" applyFill="0" applyBorder="0" applyAlignment="0" applyProtection="0"/>
    <xf numFmtId="0" fontId="92" fillId="0" borderId="0" applyFill="0" applyBorder="0" applyAlignment="0" applyProtection="0"/>
    <xf numFmtId="186" fontId="29" fillId="0" borderId="0" applyFont="0" applyFill="0" applyBorder="0" applyProtection="0">
      <alignment horizontal="right"/>
    </xf>
    <xf numFmtId="282" fontId="194" fillId="0" borderId="0" applyFont="0" applyFill="0" applyBorder="0"/>
    <xf numFmtId="283" fontId="195" fillId="0" borderId="0" applyFont="0" applyFill="0" applyBorder="0" applyAlignment="0"/>
    <xf numFmtId="284" fontId="196" fillId="0" borderId="2" applyFont="0" applyFill="0" applyBorder="0" applyAlignment="0"/>
    <xf numFmtId="284" fontId="196" fillId="0" borderId="2" applyFont="0" applyFill="0" applyBorder="0" applyAlignment="0"/>
    <xf numFmtId="284" fontId="196" fillId="0" borderId="2" applyFont="0" applyFill="0" applyBorder="0" applyAlignment="0"/>
    <xf numFmtId="284" fontId="196" fillId="0" borderId="2" applyFont="0" applyFill="0" applyBorder="0" applyAlignment="0"/>
    <xf numFmtId="0" fontId="121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8" fillId="0" borderId="44" applyFont="0" applyFill="0" applyBorder="0" applyAlignment="0" applyProtection="0">
      <alignment horizontal="right"/>
    </xf>
    <xf numFmtId="285" fontId="121" fillId="0" borderId="0" applyFill="0" applyBorder="0" applyProtection="0">
      <alignment vertical="center"/>
    </xf>
    <xf numFmtId="0" fontId="92" fillId="0" borderId="0" applyFont="0" applyFill="0" applyBorder="0" applyAlignment="0" applyProtection="0"/>
    <xf numFmtId="7" fontId="50" fillId="0" borderId="0" applyFill="0" applyBorder="0">
      <alignment horizontal="right"/>
    </xf>
    <xf numFmtId="0" fontId="5" fillId="46" borderId="0" applyFont="0" applyBorder="0"/>
    <xf numFmtId="0" fontId="199" fillId="44" borderId="0" applyFont="0" applyFill="0" applyBorder="0" applyAlignment="0" applyProtection="0">
      <alignment vertical="center"/>
      <protection locked="0"/>
    </xf>
    <xf numFmtId="0" fontId="199" fillId="44" borderId="0" applyFont="0" applyFill="0" applyBorder="0" applyAlignment="0" applyProtection="0">
      <alignment vertical="center"/>
      <protection locked="0"/>
    </xf>
    <xf numFmtId="0" fontId="199" fillId="44" borderId="0" applyFont="0" applyFill="0" applyBorder="0" applyAlignment="0" applyProtection="0">
      <alignment vertical="center"/>
      <protection locked="0"/>
    </xf>
    <xf numFmtId="286" fontId="91" fillId="46" borderId="16">
      <alignment horizontal="right"/>
    </xf>
    <xf numFmtId="0" fontId="89" fillId="81" borderId="0"/>
    <xf numFmtId="0" fontId="105" fillId="0" borderId="0" applyFont="0" applyFill="0" applyBorder="0" applyAlignment="0" applyProtection="0"/>
    <xf numFmtId="2" fontId="181" fillId="0" borderId="0" applyNumberFormat="0" applyFill="0" applyBorder="0" applyAlignment="0" applyProtection="0">
      <protection locked="0"/>
    </xf>
    <xf numFmtId="8" fontId="200" fillId="0" borderId="0" applyNumberFormat="0" applyFill="0" applyBorder="0" applyAlignment="0"/>
    <xf numFmtId="2" fontId="102" fillId="0" borderId="0" applyNumberFormat="0" applyFill="0" applyBorder="0" applyProtection="0">
      <alignment horizontal="left"/>
    </xf>
    <xf numFmtId="38" fontId="142" fillId="67" borderId="45">
      <protection locked="0"/>
    </xf>
    <xf numFmtId="0" fontId="89" fillId="0" borderId="0"/>
    <xf numFmtId="17" fontId="44" fillId="0" borderId="0" applyFill="0" applyBorder="0">
      <alignment horizontal="right"/>
    </xf>
    <xf numFmtId="17" fontId="44" fillId="0" borderId="0" applyFill="0" applyBorder="0">
      <alignment horizontal="right"/>
    </xf>
    <xf numFmtId="0" fontId="201" fillId="0" borderId="0" applyFont="0" applyFill="0" applyBorder="0" applyAlignment="0" applyProtection="0"/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176" fontId="92" fillId="0" borderId="0" applyFont="0" applyFill="0" applyBorder="0" applyProtection="0">
      <alignment horizontal="right"/>
    </xf>
    <xf numFmtId="287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0" fontId="202" fillId="0" borderId="0"/>
    <xf numFmtId="14" fontId="15" fillId="0" borderId="0" applyFont="0" applyFill="0" applyBorder="0" applyAlignment="0" applyProtection="0"/>
    <xf numFmtId="14" fontId="15" fillId="0" borderId="0" applyFont="0" applyFill="0" applyBorder="0" applyAlignment="0" applyProtection="0"/>
    <xf numFmtId="17" fontId="56" fillId="0" borderId="14" applyFont="0" applyFill="0" applyBorder="0" applyAlignment="0" applyProtection="0"/>
    <xf numFmtId="0" fontId="92" fillId="0" borderId="0" applyFont="0" applyFill="0" applyBorder="0" applyProtection="0">
      <alignment horizontal="right"/>
    </xf>
    <xf numFmtId="14" fontId="5" fillId="0" borderId="0">
      <alignment horizontal="right"/>
      <protection locked="0"/>
    </xf>
    <xf numFmtId="0" fontId="5" fillId="0" borderId="0"/>
    <xf numFmtId="14" fontId="139" fillId="0" borderId="0" applyFont="0" applyFill="0" applyBorder="0" applyAlignment="0" applyProtection="0">
      <alignment horizontal="center"/>
    </xf>
    <xf numFmtId="14" fontId="139" fillId="0" borderId="0" applyFont="0" applyFill="0" applyBorder="0" applyAlignment="0" applyProtection="0">
      <alignment horizontal="center"/>
    </xf>
    <xf numFmtId="288" fontId="139" fillId="0" borderId="0" applyFont="0" applyFill="0" applyBorder="0" applyAlignment="0" applyProtection="0">
      <alignment horizontal="center"/>
    </xf>
    <xf numFmtId="14" fontId="37" fillId="0" borderId="0"/>
    <xf numFmtId="289" fontId="203" fillId="79" borderId="0" applyFont="0" applyFill="0">
      <alignment horizontal="right"/>
    </xf>
    <xf numFmtId="0" fontId="203" fillId="79" borderId="0" applyFont="0" applyFill="0">
      <alignment horizontal="right"/>
    </xf>
    <xf numFmtId="0" fontId="50" fillId="0" borderId="0"/>
    <xf numFmtId="1" fontId="49" fillId="0" borderId="0" applyFont="0" applyFill="0" applyBorder="0" applyAlignment="0" applyProtection="0">
      <alignment horizontal="right"/>
    </xf>
    <xf numFmtId="0" fontId="92" fillId="0" borderId="0"/>
    <xf numFmtId="0" fontId="90" fillId="0" borderId="0">
      <alignment horizontal="right"/>
    </xf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0" fillId="0" borderId="0">
      <alignment horizontal="right"/>
    </xf>
    <xf numFmtId="2" fontId="149" fillId="80" borderId="0">
      <alignment horizontal="left"/>
      <protection hidden="1"/>
    </xf>
    <xf numFmtId="6" fontId="92" fillId="0" borderId="0" applyFont="0" applyFill="0" applyBorder="0" applyAlignment="0" applyProtection="0">
      <alignment horizontal="right"/>
    </xf>
    <xf numFmtId="6" fontId="92" fillId="0" borderId="0" applyFont="0" applyFill="0" applyBorder="0" applyAlignment="0" applyProtection="0"/>
    <xf numFmtId="290" fontId="49" fillId="0" borderId="46" applyNumberFormat="0" applyFont="0" applyFill="0" applyAlignment="0" applyProtection="0"/>
    <xf numFmtId="0" fontId="49" fillId="0" borderId="46" applyNumberFormat="0" applyFont="0" applyFill="0" applyAlignment="0" applyProtection="0"/>
    <xf numFmtId="1" fontId="92" fillId="0" borderId="0"/>
    <xf numFmtId="291" fontId="196" fillId="0" borderId="2" applyFont="0" applyFill="0" applyBorder="0">
      <alignment horizontal="center"/>
    </xf>
    <xf numFmtId="291" fontId="196" fillId="0" borderId="2" applyFont="0" applyFill="0" applyBorder="0">
      <alignment horizontal="center"/>
    </xf>
    <xf numFmtId="291" fontId="196" fillId="0" borderId="2" applyFont="0" applyFill="0" applyBorder="0">
      <alignment horizontal="center"/>
    </xf>
    <xf numFmtId="291" fontId="196" fillId="0" borderId="2" applyFont="0" applyFill="0" applyBorder="0">
      <alignment horizontal="center"/>
    </xf>
    <xf numFmtId="0" fontId="5" fillId="0" borderId="0" applyNumberFormat="0" applyAlignment="0">
      <alignment horizontal="left"/>
    </xf>
    <xf numFmtId="9" fontId="204" fillId="0" borderId="21" applyNumberFormat="0" applyBorder="0" applyAlignment="0">
      <protection locked="0"/>
    </xf>
    <xf numFmtId="0" fontId="92" fillId="82" borderId="45" applyNumberFormat="0" applyFont="0" applyAlignment="0">
      <protection locked="0"/>
    </xf>
    <xf numFmtId="8" fontId="92" fillId="0" borderId="0" applyFont="0" applyFill="0" applyBorder="0" applyAlignment="0" applyProtection="0">
      <alignment horizontal="right"/>
    </xf>
    <xf numFmtId="7" fontId="91" fillId="83" borderId="0" applyBorder="0"/>
    <xf numFmtId="292" fontId="91" fillId="0" borderId="0"/>
    <xf numFmtId="293" fontId="91" fillId="0" borderId="0"/>
    <xf numFmtId="0" fontId="91" fillId="0" borderId="0"/>
    <xf numFmtId="39" fontId="91" fillId="83" borderId="0"/>
    <xf numFmtId="294" fontId="91" fillId="0" borderId="0"/>
    <xf numFmtId="0" fontId="91" fillId="0" borderId="0"/>
    <xf numFmtId="295" fontId="49" fillId="0" borderId="0" applyFont="0" applyFill="0" applyBorder="0" applyProtection="0">
      <alignment horizontal="left"/>
      <protection locked="0"/>
    </xf>
    <xf numFmtId="0" fontId="49" fillId="0" borderId="0" applyFont="0" applyFill="0" applyBorder="0" applyProtection="0">
      <alignment horizontal="left"/>
      <protection locked="0"/>
    </xf>
    <xf numFmtId="296" fontId="91" fillId="0" borderId="0"/>
    <xf numFmtId="0" fontId="91" fillId="0" borderId="0"/>
    <xf numFmtId="297" fontId="49" fillId="0" borderId="0" applyFont="0" applyFill="0" applyBorder="0" applyProtection="0">
      <alignment horizontal="left"/>
      <protection locked="0"/>
    </xf>
    <xf numFmtId="298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204" fontId="49" fillId="0" borderId="0" applyFont="0" applyFill="0" applyBorder="0" applyAlignment="0" applyProtection="0"/>
    <xf numFmtId="299" fontId="90" fillId="0" borderId="0">
      <alignment horizontal="right"/>
    </xf>
    <xf numFmtId="0" fontId="90" fillId="0" borderId="0">
      <alignment horizontal="right"/>
    </xf>
    <xf numFmtId="175" fontId="49" fillId="0" borderId="0" applyFont="0" applyFill="0" applyBorder="0" applyAlignment="0" applyProtection="0">
      <alignment horizontal="right"/>
    </xf>
    <xf numFmtId="0" fontId="205" fillId="0" borderId="0">
      <alignment horizontal="left"/>
    </xf>
    <xf numFmtId="0" fontId="206" fillId="0" borderId="0">
      <alignment horizontal="left"/>
    </xf>
    <xf numFmtId="0" fontId="132" fillId="0" borderId="0" applyFill="0" applyBorder="0" applyProtection="0">
      <alignment horizontal="left"/>
    </xf>
    <xf numFmtId="0" fontId="132" fillId="0" borderId="0" applyNumberFormat="0" applyFill="0" applyBorder="0" applyProtection="0">
      <alignment horizontal="left"/>
    </xf>
    <xf numFmtId="0" fontId="132" fillId="0" borderId="0" applyFill="0" applyBorder="0" applyProtection="0">
      <alignment vertical="center"/>
    </xf>
    <xf numFmtId="300" fontId="91" fillId="0" borderId="47"/>
    <xf numFmtId="0" fontId="91" fillId="46" borderId="16">
      <alignment horizontal="right"/>
    </xf>
    <xf numFmtId="301" fontId="91" fillId="46" borderId="16">
      <alignment horizontal="right"/>
    </xf>
    <xf numFmtId="212" fontId="92" fillId="0" borderId="0" applyFill="0" applyBorder="0" applyAlignment="0" applyProtection="0">
      <protection locked="0"/>
    </xf>
    <xf numFmtId="38" fontId="15" fillId="46" borderId="0" applyNumberFormat="0" applyBorder="0" applyAlignment="0" applyProtection="0"/>
    <xf numFmtId="302" fontId="207" fillId="0" borderId="0" applyFill="0" applyBorder="0" applyAlignment="0" applyProtection="0"/>
    <xf numFmtId="302" fontId="208" fillId="0" borderId="0" applyAlignment="0">
      <alignment horizontal="left"/>
      <protection locked="0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49" fontId="31" fillId="0" borderId="0">
      <alignment horizontal="right"/>
    </xf>
    <xf numFmtId="303" fontId="44" fillId="84" borderId="21" applyNumberFormat="0" applyFont="0" applyAlignment="0"/>
    <xf numFmtId="304" fontId="49" fillId="0" borderId="0" applyFont="0" applyFill="0" applyBorder="0" applyAlignment="0" applyProtection="0">
      <alignment horizontal="right"/>
    </xf>
    <xf numFmtId="175" fontId="5" fillId="0" borderId="0" applyNumberFormat="0" applyFill="0" applyBorder="0" applyAlignment="0" applyProtection="0"/>
    <xf numFmtId="231" fontId="57" fillId="0" borderId="0" applyNumberFormat="0" applyFill="0" applyBorder="0" applyAlignment="0" applyProtection="0"/>
    <xf numFmtId="0" fontId="209" fillId="0" borderId="0">
      <alignment horizontal="left"/>
    </xf>
    <xf numFmtId="0" fontId="210" fillId="0" borderId="0">
      <alignment horizontal="right"/>
    </xf>
    <xf numFmtId="0" fontId="36" fillId="0" borderId="48" applyNumberFormat="0" applyAlignment="0" applyProtection="0">
      <alignment horizontal="left" vertical="center"/>
    </xf>
    <xf numFmtId="0" fontId="36" fillId="0" borderId="3">
      <alignment horizontal="left" vertical="center"/>
    </xf>
    <xf numFmtId="0" fontId="211" fillId="0" borderId="0">
      <alignment horizontal="left"/>
    </xf>
    <xf numFmtId="0" fontId="212" fillId="0" borderId="15">
      <alignment horizontal="left" vertical="top"/>
    </xf>
    <xf numFmtId="0" fontId="47" fillId="0" borderId="0">
      <alignment horizontal="left"/>
    </xf>
    <xf numFmtId="0" fontId="213" fillId="0" borderId="15">
      <alignment horizontal="left" vertical="top"/>
    </xf>
    <xf numFmtId="0" fontId="214" fillId="0" borderId="0">
      <alignment horizontal="left"/>
    </xf>
    <xf numFmtId="0" fontId="201" fillId="0" borderId="2"/>
    <xf numFmtId="0" fontId="201" fillId="0" borderId="2"/>
    <xf numFmtId="0" fontId="201" fillId="0" borderId="2"/>
    <xf numFmtId="0" fontId="201" fillId="0" borderId="2"/>
    <xf numFmtId="0" fontId="215" fillId="0" borderId="36">
      <alignment horizontal="center"/>
    </xf>
    <xf numFmtId="0" fontId="215" fillId="0" borderId="36">
      <alignment horizontal="center"/>
    </xf>
    <xf numFmtId="0" fontId="215" fillId="0" borderId="36">
      <alignment horizontal="center"/>
    </xf>
    <xf numFmtId="0" fontId="215" fillId="0" borderId="36">
      <alignment horizontal="center"/>
    </xf>
    <xf numFmtId="0" fontId="215" fillId="0" borderId="0">
      <alignment horizontal="center"/>
    </xf>
    <xf numFmtId="0" fontId="181" fillId="0" borderId="2" applyFill="0" applyBorder="0" applyProtection="0">
      <alignment horizontal="center" wrapText="1"/>
    </xf>
    <xf numFmtId="0" fontId="181" fillId="0" borderId="2" applyFill="0" applyBorder="0" applyProtection="0">
      <alignment horizontal="center" wrapText="1"/>
    </xf>
    <xf numFmtId="0" fontId="181" fillId="0" borderId="2" applyFill="0" applyBorder="0" applyProtection="0">
      <alignment horizontal="center" wrapText="1"/>
    </xf>
    <xf numFmtId="0" fontId="181" fillId="0" borderId="2" applyFill="0" applyBorder="0" applyProtection="0">
      <alignment horizontal="center" wrapText="1"/>
    </xf>
    <xf numFmtId="0" fontId="181" fillId="0" borderId="0" applyFill="0" applyBorder="0" applyProtection="0">
      <alignment horizontal="left" vertical="top" wrapText="1"/>
    </xf>
    <xf numFmtId="0" fontId="216" fillId="0" borderId="0" applyNumberFormat="0" applyFill="0" applyBorder="0" applyAlignment="0" applyProtection="0">
      <alignment vertical="top"/>
      <protection locked="0"/>
    </xf>
    <xf numFmtId="212" fontId="92" fillId="0" borderId="0" applyFill="0" applyBorder="0" applyAlignment="0" applyProtection="0">
      <alignment horizontal="right"/>
      <protection locked="0"/>
    </xf>
    <xf numFmtId="305" fontId="31" fillId="0" borderId="0" applyBorder="0" applyAlignment="0"/>
    <xf numFmtId="10" fontId="15" fillId="84" borderId="21" applyNumberFormat="0" applyBorder="0" applyAlignment="0" applyProtection="0"/>
    <xf numFmtId="306" fontId="193" fillId="0" borderId="0" applyFill="0" applyBorder="0" applyProtection="0"/>
    <xf numFmtId="307" fontId="193" fillId="0" borderId="0" applyFill="0" applyBorder="0" applyProtection="0"/>
    <xf numFmtId="0" fontId="193" fillId="0" borderId="0" applyFill="0" applyBorder="0" applyProtection="0"/>
    <xf numFmtId="308" fontId="17" fillId="0" borderId="0" applyFill="0" applyBorder="0" applyProtection="0"/>
    <xf numFmtId="309" fontId="193" fillId="0" borderId="0" applyFill="0" applyBorder="0" applyProtection="0"/>
    <xf numFmtId="221" fontId="193" fillId="0" borderId="0" applyFill="0" applyBorder="0" applyProtection="0"/>
    <xf numFmtId="310" fontId="217" fillId="0" borderId="0" applyFill="0" applyBorder="0" applyProtection="0">
      <alignment vertical="center"/>
    </xf>
    <xf numFmtId="285" fontId="217" fillId="0" borderId="0" applyFill="0" applyBorder="0" applyProtection="0">
      <alignment vertical="center"/>
    </xf>
    <xf numFmtId="311" fontId="17" fillId="0" borderId="0" applyFont="0" applyFill="0" applyBorder="0" applyAlignment="0">
      <protection locked="0"/>
    </xf>
    <xf numFmtId="221" fontId="17" fillId="0" borderId="0" applyFont="0" applyFill="0" applyBorder="0" applyAlignment="0">
      <protection locked="0"/>
    </xf>
    <xf numFmtId="312" fontId="217" fillId="0" borderId="0" applyFill="0" applyBorder="0" applyProtection="0">
      <alignment vertical="center"/>
    </xf>
    <xf numFmtId="313" fontId="217" fillId="0" borderId="0" applyFill="0" applyBorder="0" applyProtection="0">
      <alignment vertical="center"/>
    </xf>
    <xf numFmtId="314" fontId="17" fillId="0" borderId="2" applyFill="0"/>
    <xf numFmtId="314" fontId="17" fillId="0" borderId="2" applyFill="0"/>
    <xf numFmtId="314" fontId="17" fillId="0" borderId="2" applyFill="0"/>
    <xf numFmtId="314" fontId="17" fillId="0" borderId="2" applyFill="0"/>
    <xf numFmtId="0" fontId="218" fillId="0" borderId="0"/>
    <xf numFmtId="175" fontId="5" fillId="0" borderId="0" applyFont="0" applyFill="0" applyBorder="0" applyAlignment="0" applyProtection="0"/>
    <xf numFmtId="231" fontId="44" fillId="0" borderId="0" applyNumberFormat="0" applyFill="0" applyBorder="0" applyAlignment="0" applyProtection="0"/>
    <xf numFmtId="166" fontId="92" fillId="0" borderId="0" applyFont="0" applyFill="0" applyBorder="0" applyAlignment="0" applyProtection="0">
      <alignment horizontal="right"/>
    </xf>
    <xf numFmtId="0" fontId="91" fillId="0" borderId="0">
      <alignment horizontal="right"/>
    </xf>
    <xf numFmtId="315" fontId="91" fillId="0" borderId="0">
      <alignment horizontal="right"/>
    </xf>
    <xf numFmtId="316" fontId="91" fillId="0" borderId="0">
      <alignment horizontal="right"/>
    </xf>
    <xf numFmtId="0" fontId="91" fillId="0" borderId="0">
      <alignment horizontal="right"/>
    </xf>
    <xf numFmtId="1" fontId="219" fillId="0" borderId="0"/>
    <xf numFmtId="221" fontId="200" fillId="0" borderId="0" applyFill="0" applyBorder="0" applyAlignment="0" applyProtection="0">
      <alignment horizontal="right"/>
    </xf>
    <xf numFmtId="221" fontId="200" fillId="0" borderId="0" applyFill="0" applyBorder="0" applyAlignment="0" applyProtection="0"/>
    <xf numFmtId="317" fontId="5" fillId="0" borderId="0" applyFont="0" applyFill="0" applyBorder="0" applyAlignment="0" applyProtection="0"/>
    <xf numFmtId="318" fontId="5" fillId="0" borderId="0" applyFont="0" applyFill="0" applyBorder="0" applyAlignment="0" applyProtection="0"/>
    <xf numFmtId="319" fontId="5" fillId="0" borderId="0" applyFont="0" applyFill="0" applyBorder="0" applyAlignment="0" applyProtection="0"/>
    <xf numFmtId="320" fontId="5" fillId="0" borderId="0" applyFont="0" applyFill="0" applyBorder="0" applyAlignment="0" applyProtection="0"/>
    <xf numFmtId="0" fontId="91" fillId="46" borderId="16">
      <alignment horizontal="right"/>
    </xf>
    <xf numFmtId="321" fontId="5" fillId="0" borderId="0" applyFont="0" applyFill="0" applyBorder="0" applyAlignment="0" applyProtection="0"/>
    <xf numFmtId="322" fontId="5" fillId="0" borderId="0" applyFont="0" applyFill="0" applyBorder="0" applyAlignment="0" applyProtection="0"/>
    <xf numFmtId="323" fontId="220" fillId="85" borderId="49" applyFont="0" applyFill="0" applyBorder="0" applyAlignment="0">
      <alignment horizontal="center"/>
    </xf>
    <xf numFmtId="0" fontId="121" fillId="0" borderId="0" applyFont="0" applyFill="0" applyBorder="0" applyAlignment="0" applyProtection="0">
      <alignment horizontal="right"/>
    </xf>
    <xf numFmtId="312" fontId="121" fillId="0" borderId="0" applyFill="0" applyBorder="0" applyProtection="0">
      <alignment vertical="center"/>
    </xf>
    <xf numFmtId="324" fontId="17" fillId="0" borderId="0" applyFont="0" applyFill="0" applyBorder="0" applyAlignment="0" applyProtection="0">
      <alignment horizontal="right"/>
    </xf>
    <xf numFmtId="37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86" fillId="0" borderId="0"/>
    <xf numFmtId="0" fontId="3" fillId="0" borderId="0"/>
    <xf numFmtId="0" fontId="3" fillId="0" borderId="0"/>
    <xf numFmtId="0" fontId="86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260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0" fontId="5" fillId="0" borderId="0"/>
    <xf numFmtId="0" fontId="47" fillId="0" borderId="0"/>
    <xf numFmtId="39" fontId="90" fillId="0" borderId="0"/>
    <xf numFmtId="14" fontId="5" fillId="0" borderId="0" applyNumberFormat="0" applyFont="0" applyAlignment="0">
      <alignment horizontal="right"/>
    </xf>
    <xf numFmtId="0" fontId="221" fillId="0" borderId="0" applyNumberFormat="0" applyAlignment="0"/>
    <xf numFmtId="0" fontId="222" fillId="0" borderId="0" applyNumberFormat="0" applyAlignment="0"/>
    <xf numFmtId="0" fontId="223" fillId="0" borderId="0" applyNumberFormat="0" applyAlignment="0"/>
    <xf numFmtId="0" fontId="224" fillId="0" borderId="0"/>
    <xf numFmtId="325" fontId="225" fillId="86" borderId="0">
      <alignment horizontal="right"/>
    </xf>
    <xf numFmtId="0" fontId="226" fillId="68" borderId="0">
      <alignment horizontal="center"/>
    </xf>
    <xf numFmtId="0" fontId="57" fillId="44" borderId="0"/>
    <xf numFmtId="0" fontId="57" fillId="44" borderId="0" applyBorder="0">
      <alignment horizontal="centerContinuous"/>
    </xf>
    <xf numFmtId="0" fontId="57" fillId="44" borderId="0" applyBorder="0">
      <alignment horizontal="centerContinuous"/>
    </xf>
    <xf numFmtId="326" fontId="92" fillId="0" borderId="0" applyFont="0" applyFill="0" applyBorder="0" applyAlignment="0" applyProtection="0">
      <alignment horizontal="right"/>
    </xf>
    <xf numFmtId="1" fontId="227" fillId="0" borderId="0" applyProtection="0">
      <alignment horizontal="right" vertical="center"/>
    </xf>
    <xf numFmtId="0" fontId="47" fillId="0" borderId="0" applyNumberFormat="0" applyFill="0" applyBorder="0" applyAlignment="0" applyProtection="0"/>
    <xf numFmtId="327" fontId="91" fillId="83" borderId="0"/>
    <xf numFmtId="314" fontId="92" fillId="0" borderId="0" applyFont="0" applyFill="0" applyBorder="0" applyAlignment="0" applyProtection="0">
      <alignment horizontal="right"/>
    </xf>
    <xf numFmtId="9" fontId="92" fillId="0" borderId="0" applyFont="0" applyFill="0" applyBorder="0" applyAlignment="0" applyProtection="0">
      <alignment horizontal="right"/>
    </xf>
    <xf numFmtId="328" fontId="91" fillId="0" borderId="0"/>
    <xf numFmtId="2" fontId="92" fillId="0" borderId="0"/>
    <xf numFmtId="14" fontId="92" fillId="0" borderId="0">
      <alignment horizontal="center" wrapText="1"/>
      <protection locked="0"/>
    </xf>
    <xf numFmtId="30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329" fontId="228" fillId="0" borderId="2" applyFont="0" applyFill="0" applyBorder="0" applyAlignment="0">
      <alignment horizontal="right"/>
    </xf>
    <xf numFmtId="0" fontId="228" fillId="0" borderId="2" applyFont="0" applyFill="0" applyBorder="0" applyAlignment="0">
      <alignment horizontal="right"/>
    </xf>
    <xf numFmtId="0" fontId="228" fillId="0" borderId="2" applyFont="0" applyFill="0" applyBorder="0" applyAlignment="0">
      <alignment horizontal="right"/>
    </xf>
    <xf numFmtId="0" fontId="228" fillId="0" borderId="2" applyFont="0" applyFill="0" applyBorder="0" applyAlignment="0">
      <alignment horizontal="right"/>
    </xf>
    <xf numFmtId="0" fontId="228" fillId="0" borderId="2" applyFont="0" applyFill="0" applyBorder="0" applyAlignment="0">
      <alignment horizontal="right"/>
    </xf>
    <xf numFmtId="330" fontId="182" fillId="0" borderId="0" applyFont="0" applyFill="0" applyBorder="0"/>
    <xf numFmtId="0" fontId="182" fillId="0" borderId="0" applyFont="0" applyFill="0" applyBorder="0"/>
    <xf numFmtId="313" fontId="121" fillId="0" borderId="0" applyFill="0" applyBorder="0" applyProtection="0">
      <alignment vertical="center"/>
    </xf>
    <xf numFmtId="330" fontId="182" fillId="0" borderId="0" applyFont="0" applyFill="0"/>
    <xf numFmtId="0" fontId="182" fillId="0" borderId="0" applyFont="0" applyFill="0"/>
    <xf numFmtId="302" fontId="92" fillId="0" borderId="0" applyFont="0" applyFill="0" applyBorder="0" applyAlignment="0" applyProtection="0"/>
    <xf numFmtId="8" fontId="92" fillId="0" borderId="0" applyFont="0" applyFill="0" applyBorder="0" applyAlignment="0" applyProtection="0"/>
    <xf numFmtId="212" fontId="92" fillId="0" borderId="0" applyFont="0" applyFill="0" applyBorder="0" applyAlignment="0" applyProtection="0">
      <protection locked="0"/>
    </xf>
    <xf numFmtId="9" fontId="5" fillId="0" borderId="0" applyFont="0" applyFill="0" applyBorder="0" applyAlignment="0" applyProtection="0"/>
    <xf numFmtId="331" fontId="15" fillId="0" borderId="0" applyFill="0" applyBorder="0" applyAlignment="0" applyProtection="0"/>
    <xf numFmtId="212" fontId="92" fillId="0" borderId="0" applyFill="0" applyBorder="0" applyAlignment="0" applyProtection="0"/>
    <xf numFmtId="38" fontId="92" fillId="0" borderId="0" applyFont="0" applyFill="0" applyBorder="0" applyAlignment="0" applyProtection="0"/>
    <xf numFmtId="10" fontId="92" fillId="0" borderId="0"/>
    <xf numFmtId="10" fontId="92" fillId="87" borderId="0"/>
    <xf numFmtId="9" fontId="92" fillId="0" borderId="0" applyFont="0" applyFill="0" applyBorder="0" applyAlignment="0" applyProtection="0"/>
    <xf numFmtId="332" fontId="91" fillId="46" borderId="0"/>
    <xf numFmtId="0" fontId="229" fillId="0" borderId="0">
      <alignment horizontal="center"/>
    </xf>
    <xf numFmtId="0" fontId="91" fillId="0" borderId="2">
      <alignment horizontal="centerContinuous"/>
    </xf>
    <xf numFmtId="0" fontId="91" fillId="0" borderId="2">
      <alignment horizontal="centerContinuous"/>
    </xf>
    <xf numFmtId="0" fontId="91" fillId="0" borderId="2">
      <alignment horizontal="centerContinuous"/>
    </xf>
    <xf numFmtId="0" fontId="91" fillId="0" borderId="2">
      <alignment horizontal="centerContinuous"/>
    </xf>
    <xf numFmtId="333" fontId="91" fillId="46" borderId="0">
      <alignment horizontal="right"/>
    </xf>
    <xf numFmtId="334" fontId="91" fillId="46" borderId="16">
      <alignment horizontal="right"/>
    </xf>
    <xf numFmtId="0" fontId="230" fillId="88" borderId="0" applyNumberFormat="0" applyFont="0" applyBorder="0" applyAlignment="0">
      <alignment horizontal="center"/>
    </xf>
    <xf numFmtId="212" fontId="139" fillId="0" borderId="0" applyFont="0" applyFill="0" applyBorder="0" applyAlignment="0" applyProtection="0"/>
    <xf numFmtId="0" fontId="88" fillId="0" borderId="16" applyNumberFormat="0" applyBorder="0" applyAlignment="0"/>
    <xf numFmtId="167" fontId="37" fillId="10" borderId="11" applyNumberFormat="0" applyFont="0" applyBorder="0" applyAlignment="0" applyProtection="0">
      <alignment horizontal="center"/>
    </xf>
    <xf numFmtId="167" fontId="37" fillId="10" borderId="11" applyNumberFormat="0" applyFont="0" applyBorder="0" applyAlignment="0" applyProtection="0">
      <alignment horizontal="center"/>
    </xf>
    <xf numFmtId="167" fontId="37" fillId="10" borderId="11" applyNumberFormat="0" applyFont="0" applyBorder="0" applyAlignment="0" applyProtection="0">
      <alignment horizontal="center"/>
    </xf>
    <xf numFmtId="14" fontId="50" fillId="0" borderId="0" applyNumberFormat="0" applyFill="0" applyBorder="0" applyAlignment="0" applyProtection="0">
      <alignment horizontal="left"/>
    </xf>
    <xf numFmtId="0" fontId="15" fillId="0" borderId="0" applyAlignment="0">
      <alignment horizontal="center"/>
    </xf>
    <xf numFmtId="0" fontId="15" fillId="0" borderId="0" applyAlignment="0">
      <alignment horizontal="center"/>
    </xf>
    <xf numFmtId="0" fontId="206" fillId="0" borderId="50">
      <alignment vertical="center"/>
    </xf>
    <xf numFmtId="4" fontId="225" fillId="89" borderId="51" applyNumberFormat="0" applyProtection="0">
      <alignment horizontal="right" vertical="center"/>
    </xf>
    <xf numFmtId="0" fontId="5" fillId="9" borderId="0">
      <alignment horizontal="right"/>
    </xf>
    <xf numFmtId="0" fontId="230" fillId="1" borderId="3" applyNumberFormat="0" applyFont="0" applyAlignment="0">
      <alignment horizontal="center"/>
    </xf>
    <xf numFmtId="0" fontId="231" fillId="90" borderId="0" applyNumberFormat="0" applyFont="0" applyBorder="0" applyAlignment="0"/>
    <xf numFmtId="165" fontId="49" fillId="0" borderId="2" applyFont="0" applyFill="0" applyBorder="0" applyAlignment="0" applyProtection="0">
      <alignment horizontal="right"/>
    </xf>
    <xf numFmtId="165" fontId="49" fillId="0" borderId="2" applyFont="0" applyFill="0" applyBorder="0" applyAlignment="0" applyProtection="0">
      <alignment horizontal="right"/>
    </xf>
    <xf numFmtId="165" fontId="49" fillId="0" borderId="2" applyFont="0" applyFill="0" applyBorder="0" applyAlignment="0" applyProtection="0">
      <alignment horizontal="right"/>
    </xf>
    <xf numFmtId="165" fontId="49" fillId="0" borderId="2" applyFont="0" applyFill="0" applyBorder="0" applyAlignment="0" applyProtection="0">
      <alignment horizontal="right"/>
    </xf>
    <xf numFmtId="197" fontId="92" fillId="0" borderId="0" applyFill="0" applyBorder="0" applyAlignment="0" applyProtection="0">
      <protection locked="0"/>
    </xf>
    <xf numFmtId="0" fontId="23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33" fillId="0" borderId="0" applyNumberFormat="0" applyFill="0" applyBorder="0" applyAlignment="0">
      <alignment horizontal="center"/>
    </xf>
    <xf numFmtId="170" fontId="49" fillId="0" borderId="0" applyFill="0" applyBorder="0" applyProtection="0">
      <alignment horizontal="right"/>
    </xf>
    <xf numFmtId="0" fontId="234" fillId="0" borderId="0"/>
    <xf numFmtId="335" fontId="15" fillId="0" borderId="0" applyFill="0" applyBorder="0" applyAlignment="0" applyProtection="0"/>
    <xf numFmtId="0" fontId="149" fillId="0" borderId="0" applyNumberFormat="0" applyFill="0" applyBorder="0" applyProtection="0">
      <alignment horizontal="center"/>
    </xf>
    <xf numFmtId="4" fontId="142" fillId="0" borderId="0" applyFill="0" applyBorder="0" applyAlignment="0" applyProtection="0"/>
    <xf numFmtId="4" fontId="235" fillId="0" borderId="0" applyFill="0" applyBorder="0" applyAlignment="0" applyProtection="0"/>
    <xf numFmtId="40" fontId="5" fillId="0" borderId="0" applyBorder="0">
      <alignment horizontal="right"/>
    </xf>
    <xf numFmtId="200" fontId="15" fillId="0" borderId="0"/>
    <xf numFmtId="0" fontId="15" fillId="0" borderId="0"/>
    <xf numFmtId="0" fontId="5" fillId="0" borderId="15" applyBorder="0">
      <alignment horizontal="center"/>
    </xf>
    <xf numFmtId="0" fontId="58" fillId="0" borderId="2" applyNumberFormat="0" applyFill="0" applyProtection="0"/>
    <xf numFmtId="0" fontId="58" fillId="0" borderId="2" applyNumberFormat="0" applyFill="0" applyProtection="0"/>
    <xf numFmtId="0" fontId="58" fillId="0" borderId="2" applyNumberFormat="0" applyFill="0" applyProtection="0"/>
    <xf numFmtId="290" fontId="49" fillId="0" borderId="2" applyBorder="0" applyProtection="0">
      <alignment horizontal="right" vertical="center"/>
    </xf>
    <xf numFmtId="0" fontId="49" fillId="0" borderId="2" applyBorder="0" applyProtection="0">
      <alignment horizontal="right" vertical="center"/>
    </xf>
    <xf numFmtId="0" fontId="49" fillId="0" borderId="2" applyBorder="0" applyProtection="0">
      <alignment horizontal="right" vertical="center"/>
    </xf>
    <xf numFmtId="0" fontId="49" fillId="0" borderId="2" applyBorder="0" applyProtection="0">
      <alignment horizontal="right" vertical="center"/>
    </xf>
    <xf numFmtId="0" fontId="49" fillId="0" borderId="2" applyBorder="0" applyProtection="0">
      <alignment horizontal="right" vertical="center"/>
    </xf>
    <xf numFmtId="0" fontId="236" fillId="91" borderId="0" applyBorder="0" applyProtection="0">
      <alignment horizontal="centerContinuous" vertical="center"/>
    </xf>
    <xf numFmtId="0" fontId="236" fillId="9" borderId="2" applyBorder="0" applyProtection="0">
      <alignment horizontal="centerContinuous" vertical="center"/>
    </xf>
    <xf numFmtId="0" fontId="236" fillId="9" borderId="2" applyBorder="0" applyProtection="0">
      <alignment horizontal="centerContinuous" vertical="center"/>
    </xf>
    <xf numFmtId="0" fontId="236" fillId="9" borderId="2" applyBorder="0" applyProtection="0">
      <alignment horizontal="centerContinuous" vertical="center"/>
    </xf>
    <xf numFmtId="0" fontId="236" fillId="9" borderId="2" applyBorder="0" applyProtection="0">
      <alignment horizontal="centerContinuous" vertical="center"/>
    </xf>
    <xf numFmtId="0" fontId="237" fillId="0" borderId="0" applyBorder="0" applyProtection="0">
      <alignment vertical="center"/>
    </xf>
    <xf numFmtId="0" fontId="132" fillId="0" borderId="0" applyNumberFormat="0" applyFill="0" applyBorder="0" applyProtection="0">
      <alignment horizontal="left"/>
    </xf>
    <xf numFmtId="0" fontId="238" fillId="0" borderId="0" applyFill="0" applyBorder="0" applyProtection="0">
      <alignment vertical="center"/>
    </xf>
    <xf numFmtId="0" fontId="59" fillId="0" borderId="0">
      <alignment vertical="center"/>
    </xf>
    <xf numFmtId="0" fontId="239" fillId="0" borderId="0"/>
    <xf numFmtId="190" fontId="240" fillId="0" borderId="0" applyNumberFormat="0" applyFill="0" applyBorder="0">
      <alignment horizontal="left"/>
    </xf>
    <xf numFmtId="190" fontId="240" fillId="0" borderId="0" applyNumberFormat="0" applyFill="0" applyBorder="0">
      <alignment horizontal="right"/>
    </xf>
    <xf numFmtId="190" fontId="241" fillId="0" borderId="0" applyNumberFormat="0" applyFill="0" applyBorder="0">
      <alignment horizontal="right"/>
    </xf>
    <xf numFmtId="49" fontId="242" fillId="0" borderId="0"/>
    <xf numFmtId="0" fontId="243" fillId="0" borderId="15" applyFill="0" applyBorder="0" applyProtection="0"/>
    <xf numFmtId="0" fontId="243" fillId="0" borderId="0"/>
    <xf numFmtId="0" fontId="244" fillId="0" borderId="0" applyNumberFormat="0" applyFill="0" applyBorder="0" applyProtection="0"/>
    <xf numFmtId="0" fontId="245" fillId="0" borderId="0" applyFill="0" applyBorder="0" applyProtection="0"/>
    <xf numFmtId="0" fontId="246" fillId="0" borderId="0"/>
    <xf numFmtId="0" fontId="245" fillId="0" borderId="0" applyNumberFormat="0" applyFill="0" applyBorder="0" applyProtection="0"/>
    <xf numFmtId="0" fontId="247" fillId="0" borderId="0" applyFill="0" applyBorder="0" applyProtection="0"/>
    <xf numFmtId="0" fontId="244" fillId="0" borderId="0" applyNumberFormat="0" applyFill="0" applyBorder="0" applyProtection="0"/>
    <xf numFmtId="0" fontId="244" fillId="0" borderId="0"/>
    <xf numFmtId="212" fontId="24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9" fillId="0" borderId="0"/>
    <xf numFmtId="0" fontId="245" fillId="0" borderId="0"/>
    <xf numFmtId="0" fontId="244" fillId="0" borderId="0"/>
    <xf numFmtId="306" fontId="250" fillId="0" borderId="0" applyFill="0" applyBorder="0" applyProtection="0"/>
    <xf numFmtId="336" fontId="250" fillId="0" borderId="0" applyFill="0" applyBorder="0" applyProtection="0"/>
    <xf numFmtId="310" fontId="250" fillId="0" borderId="46" applyFill="0" applyBorder="0" applyProtection="0">
      <alignment vertical="center"/>
    </xf>
    <xf numFmtId="0" fontId="5" fillId="0" borderId="21">
      <protection locked="0"/>
    </xf>
    <xf numFmtId="167" fontId="5" fillId="0" borderId="21">
      <alignment horizontal="right"/>
      <protection locked="0"/>
    </xf>
    <xf numFmtId="0" fontId="251" fillId="0" borderId="0">
      <alignment horizontal="right"/>
    </xf>
    <xf numFmtId="37" fontId="252" fillId="0" borderId="0"/>
    <xf numFmtId="212" fontId="15" fillId="84" borderId="45">
      <alignment horizontal="right"/>
    </xf>
    <xf numFmtId="212" fontId="44" fillId="84" borderId="45"/>
    <xf numFmtId="0" fontId="75" fillId="92" borderId="52">
      <alignment horizontal="left"/>
    </xf>
    <xf numFmtId="337" fontId="5" fillId="0" borderId="0" applyFont="0" applyFill="0" applyBorder="0" applyAlignment="0" applyProtection="0"/>
    <xf numFmtId="318" fontId="5" fillId="0" borderId="0" applyFont="0" applyFill="0" applyBorder="0" applyAlignment="0" applyProtection="0"/>
    <xf numFmtId="338" fontId="17" fillId="0" borderId="0"/>
    <xf numFmtId="1" fontId="92" fillId="0" borderId="0" applyFont="0" applyFill="0" applyBorder="0" applyAlignment="0" applyProtection="0"/>
    <xf numFmtId="0" fontId="153" fillId="0" borderId="0"/>
    <xf numFmtId="1" fontId="153" fillId="0" borderId="0"/>
    <xf numFmtId="190" fontId="28" fillId="0" borderId="0"/>
    <xf numFmtId="339" fontId="5" fillId="0" borderId="0"/>
    <xf numFmtId="0" fontId="5" fillId="0" borderId="2" applyBorder="0" applyProtection="0">
      <alignment horizontal="right"/>
    </xf>
    <xf numFmtId="0" fontId="253" fillId="0" borderId="0" applyFont="0" applyFill="0" applyBorder="0">
      <alignment horizontal="right"/>
    </xf>
    <xf numFmtId="340" fontId="15" fillId="0" borderId="0" applyFill="0" applyBorder="0" applyAlignment="0" applyProtection="0"/>
    <xf numFmtId="0" fontId="254" fillId="0" borderId="0"/>
    <xf numFmtId="0" fontId="1" fillId="0" borderId="0"/>
    <xf numFmtId="9" fontId="3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628">
    <xf numFmtId="0" fontId="0" fillId="0" borderId="0" xfId="0"/>
    <xf numFmtId="165" fontId="70" fillId="0" borderId="0" xfId="0" applyNumberFormat="1" applyFont="1" applyAlignment="1">
      <alignment horizontal="right"/>
    </xf>
    <xf numFmtId="165" fontId="69" fillId="0" borderId="0" xfId="0" applyNumberFormat="1" applyFont="1" applyAlignment="1">
      <alignment horizontal="right"/>
    </xf>
    <xf numFmtId="0" fontId="73" fillId="0" borderId="0" xfId="0" applyFont="1"/>
    <xf numFmtId="0" fontId="6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79" fillId="13" borderId="3" xfId="0" applyFont="1" applyFill="1" applyBorder="1"/>
    <xf numFmtId="165" fontId="70" fillId="0" borderId="19" xfId="0" applyNumberFormat="1" applyFont="1" applyBorder="1" applyAlignment="1">
      <alignment horizontal="right"/>
    </xf>
    <xf numFmtId="165" fontId="69" fillId="0" borderId="19" xfId="0" applyNumberFormat="1" applyFont="1" applyBorder="1" applyAlignment="1">
      <alignment horizontal="right"/>
    </xf>
    <xf numFmtId="166" fontId="57" fillId="0" borderId="19" xfId="1" quotePrefix="1" applyNumberFormat="1" applyFont="1" applyFill="1" applyBorder="1" applyAlignment="1">
      <alignment horizontal="right"/>
    </xf>
    <xf numFmtId="3" fontId="5" fillId="0" borderId="19" xfId="0" applyNumberFormat="1" applyFont="1" applyBorder="1" applyAlignment="1">
      <alignment horizontal="right"/>
    </xf>
    <xf numFmtId="4" fontId="70" fillId="0" borderId="19" xfId="0" applyNumberFormat="1" applyFont="1" applyBorder="1" applyAlignment="1">
      <alignment horizontal="right"/>
    </xf>
    <xf numFmtId="0" fontId="1" fillId="0" borderId="15" xfId="0" applyFont="1" applyBorder="1"/>
    <xf numFmtId="0" fontId="69" fillId="0" borderId="15" xfId="0" applyFont="1" applyBorder="1"/>
    <xf numFmtId="9" fontId="73" fillId="0" borderId="15" xfId="1" applyFont="1" applyBorder="1" applyAlignment="1">
      <alignment horizontal="left" indent="1"/>
    </xf>
    <xf numFmtId="3" fontId="1" fillId="0" borderId="15" xfId="0" applyNumberFormat="1" applyFont="1" applyBorder="1"/>
    <xf numFmtId="166" fontId="73" fillId="0" borderId="15" xfId="1" applyNumberFormat="1" applyFont="1" applyBorder="1" applyAlignment="1">
      <alignment horizontal="left" indent="1"/>
    </xf>
    <xf numFmtId="166" fontId="73" fillId="0" borderId="0" xfId="1" applyNumberFormat="1" applyFont="1"/>
    <xf numFmtId="9" fontId="73" fillId="0" borderId="0" xfId="1" applyFont="1"/>
    <xf numFmtId="166" fontId="5" fillId="0" borderId="0" xfId="1" applyNumberFormat="1" applyFont="1" applyFill="1" applyBorder="1" applyAlignment="1">
      <alignment horizontal="right"/>
    </xf>
    <xf numFmtId="166" fontId="5" fillId="0" borderId="19" xfId="1" applyNumberFormat="1" applyFont="1" applyFill="1" applyBorder="1" applyAlignment="1">
      <alignment horizontal="right"/>
    </xf>
    <xf numFmtId="166" fontId="76" fillId="0" borderId="0" xfId="1" applyNumberFormat="1" applyFont="1" applyFill="1" applyBorder="1" applyAlignment="1">
      <alignment horizontal="right"/>
    </xf>
    <xf numFmtId="166" fontId="73" fillId="0" borderId="0" xfId="1" applyNumberFormat="1" applyFont="1" applyFill="1" applyAlignment="1">
      <alignment horizontal="right"/>
    </xf>
    <xf numFmtId="1" fontId="77" fillId="13" borderId="0" xfId="0" applyNumberFormat="1" applyFont="1" applyFill="1" applyAlignment="1">
      <alignment horizontal="left"/>
    </xf>
    <xf numFmtId="1" fontId="77" fillId="13" borderId="0" xfId="0" applyNumberFormat="1" applyFont="1" applyFill="1" applyAlignment="1">
      <alignment horizontal="right"/>
    </xf>
    <xf numFmtId="165" fontId="79" fillId="13" borderId="0" xfId="0" applyNumberFormat="1" applyFont="1" applyFill="1" applyAlignment="1">
      <alignment horizontal="right"/>
    </xf>
    <xf numFmtId="4" fontId="79" fillId="13" borderId="0" xfId="0" applyNumberFormat="1" applyFont="1" applyFill="1" applyAlignment="1">
      <alignment horizontal="right"/>
    </xf>
    <xf numFmtId="165" fontId="77" fillId="13" borderId="0" xfId="0" applyNumberFormat="1" applyFont="1" applyFill="1" applyAlignment="1">
      <alignment horizontal="right"/>
    </xf>
    <xf numFmtId="165" fontId="79" fillId="13" borderId="0" xfId="0" applyNumberFormat="1" applyFont="1" applyFill="1" applyAlignment="1">
      <alignment horizontal="left"/>
    </xf>
    <xf numFmtId="207" fontId="69" fillId="0" borderId="27" xfId="0" applyNumberFormat="1" applyFont="1" applyBorder="1" applyAlignment="1">
      <alignment horizontal="center"/>
    </xf>
    <xf numFmtId="207" fontId="69" fillId="0" borderId="1" xfId="0" applyNumberFormat="1" applyFont="1" applyBorder="1" applyAlignment="1">
      <alignment horizontal="center"/>
    </xf>
    <xf numFmtId="3" fontId="1" fillId="0" borderId="19" xfId="0" applyNumberFormat="1" applyFont="1" applyBorder="1" applyAlignment="1">
      <alignment horizontal="right"/>
    </xf>
    <xf numFmtId="1" fontId="69" fillId="43" borderId="3" xfId="0" applyNumberFormat="1" applyFont="1" applyFill="1" applyBorder="1" applyAlignment="1">
      <alignment horizontal="right"/>
    </xf>
    <xf numFmtId="7" fontId="1" fillId="0" borderId="0" xfId="335" applyNumberFormat="1" applyFont="1" applyAlignment="1">
      <alignment horizontal="center"/>
    </xf>
    <xf numFmtId="3" fontId="1" fillId="0" borderId="0" xfId="0" quotePrefix="1" applyNumberFormat="1" applyFont="1" applyAlignment="1">
      <alignment horizontal="right"/>
    </xf>
    <xf numFmtId="3" fontId="1" fillId="0" borderId="19" xfId="0" quotePrefix="1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6" fontId="1" fillId="0" borderId="19" xfId="1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11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165" fontId="1" fillId="43" borderId="3" xfId="0" applyNumberFormat="1" applyFont="1" applyFill="1" applyBorder="1" applyAlignment="1">
      <alignment horizontal="right"/>
    </xf>
    <xf numFmtId="165" fontId="69" fillId="43" borderId="3" xfId="0" applyNumberFormat="1" applyFont="1" applyFill="1" applyBorder="1" applyAlignment="1">
      <alignment horizontal="right"/>
    </xf>
    <xf numFmtId="3" fontId="69" fillId="43" borderId="3" xfId="0" applyNumberFormat="1" applyFont="1" applyFill="1" applyBorder="1" applyAlignment="1">
      <alignment horizontal="right"/>
    </xf>
    <xf numFmtId="166" fontId="1" fillId="0" borderId="0" xfId="1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3" fontId="70" fillId="0" borderId="0" xfId="1" applyNumberFormat="1" applyFont="1" applyFill="1" applyBorder="1" applyAlignment="1">
      <alignment horizontal="right"/>
    </xf>
    <xf numFmtId="166" fontId="73" fillId="0" borderId="0" xfId="1" applyNumberFormat="1" applyFont="1" applyFill="1" applyBorder="1" applyAlignment="1">
      <alignment horizontal="right"/>
    </xf>
    <xf numFmtId="166" fontId="80" fillId="0" borderId="0" xfId="1" applyNumberFormat="1" applyFont="1" applyFill="1" applyBorder="1" applyAlignment="1">
      <alignment horizontal="right"/>
    </xf>
    <xf numFmtId="166" fontId="1" fillId="0" borderId="0" xfId="1" applyNumberFormat="1" applyFont="1" applyBorder="1" applyAlignment="1">
      <alignment horizontal="right"/>
    </xf>
    <xf numFmtId="9" fontId="1" fillId="0" borderId="19" xfId="1" quotePrefix="1" applyFont="1" applyFill="1" applyBorder="1" applyAlignment="1">
      <alignment horizontal="right"/>
    </xf>
    <xf numFmtId="4" fontId="70" fillId="43" borderId="3" xfId="0" applyNumberFormat="1" applyFont="1" applyFill="1" applyBorder="1" applyAlignment="1">
      <alignment horizontal="right"/>
    </xf>
    <xf numFmtId="9" fontId="1" fillId="0" borderId="0" xfId="1" quotePrefix="1" applyFont="1" applyFill="1" applyBorder="1" applyAlignment="1">
      <alignment horizontal="right"/>
    </xf>
    <xf numFmtId="166" fontId="1" fillId="0" borderId="0" xfId="1" quotePrefix="1" applyNumberFormat="1" applyFont="1" applyFill="1" applyBorder="1" applyAlignment="1">
      <alignment horizontal="right"/>
    </xf>
    <xf numFmtId="166" fontId="1" fillId="0" borderId="19" xfId="1" quotePrefix="1" applyNumberFormat="1" applyFont="1" applyFill="1" applyBorder="1" applyAlignment="1">
      <alignment horizontal="right"/>
    </xf>
    <xf numFmtId="166" fontId="5" fillId="0" borderId="19" xfId="1" quotePrefix="1" applyNumberFormat="1" applyFont="1" applyFill="1" applyBorder="1" applyAlignment="1">
      <alignment horizontal="right"/>
    </xf>
    <xf numFmtId="0" fontId="69" fillId="43" borderId="4" xfId="0" applyFont="1" applyFill="1" applyBorder="1"/>
    <xf numFmtId="0" fontId="69" fillId="43" borderId="3" xfId="0" applyFont="1" applyFill="1" applyBorder="1"/>
    <xf numFmtId="1" fontId="69" fillId="43" borderId="3" xfId="0" applyNumberFormat="1" applyFont="1" applyFill="1" applyBorder="1"/>
    <xf numFmtId="0" fontId="1" fillId="43" borderId="3" xfId="0" applyFont="1" applyFill="1" applyBorder="1"/>
    <xf numFmtId="0" fontId="1" fillId="43" borderId="5" xfId="0" applyFont="1" applyFill="1" applyBorder="1"/>
    <xf numFmtId="1" fontId="77" fillId="13" borderId="0" xfId="0" applyNumberFormat="1" applyFont="1" applyFill="1"/>
    <xf numFmtId="165" fontId="79" fillId="13" borderId="0" xfId="0" applyNumberFormat="1" applyFont="1" applyFill="1"/>
    <xf numFmtId="4" fontId="79" fillId="13" borderId="0" xfId="0" applyNumberFormat="1" applyFont="1" applyFill="1"/>
    <xf numFmtId="165" fontId="77" fillId="13" borderId="0" xfId="0" applyNumberFormat="1" applyFont="1" applyFill="1"/>
    <xf numFmtId="166" fontId="79" fillId="13" borderId="0" xfId="1" applyNumberFormat="1" applyFont="1" applyFill="1" applyAlignment="1"/>
    <xf numFmtId="7" fontId="1" fillId="0" borderId="0" xfId="335" applyNumberFormat="1" applyFont="1" applyAlignment="1"/>
    <xf numFmtId="0" fontId="77" fillId="13" borderId="28" xfId="0" applyFont="1" applyFill="1" applyBorder="1"/>
    <xf numFmtId="165" fontId="71" fillId="43" borderId="4" xfId="0" applyNumberFormat="1" applyFont="1" applyFill="1" applyBorder="1"/>
    <xf numFmtId="165" fontId="1" fillId="0" borderId="15" xfId="0" applyNumberFormat="1" applyFont="1" applyBorder="1"/>
    <xf numFmtId="165" fontId="69" fillId="0" borderId="15" xfId="0" applyNumberFormat="1" applyFont="1" applyBorder="1"/>
    <xf numFmtId="4" fontId="69" fillId="43" borderId="4" xfId="0" applyNumberFormat="1" applyFont="1" applyFill="1" applyBorder="1"/>
    <xf numFmtId="165" fontId="57" fillId="43" borderId="4" xfId="0" applyNumberFormat="1" applyFont="1" applyFill="1" applyBorder="1"/>
    <xf numFmtId="0" fontId="77" fillId="13" borderId="4" xfId="0" applyFont="1" applyFill="1" applyBorder="1"/>
    <xf numFmtId="0" fontId="1" fillId="0" borderId="19" xfId="0" applyFont="1" applyBorder="1" applyAlignment="1">
      <alignment horizontal="right"/>
    </xf>
    <xf numFmtId="0" fontId="77" fillId="13" borderId="3" xfId="0" applyFont="1" applyFill="1" applyBorder="1" applyAlignment="1">
      <alignment horizontal="right"/>
    </xf>
    <xf numFmtId="9" fontId="1" fillId="0" borderId="19" xfId="1" applyFont="1" applyFill="1" applyBorder="1" applyAlignment="1">
      <alignment horizontal="right"/>
    </xf>
    <xf numFmtId="9" fontId="1" fillId="0" borderId="0" xfId="1" applyFont="1" applyFill="1" applyBorder="1" applyAlignment="1">
      <alignment horizontal="right"/>
    </xf>
    <xf numFmtId="9" fontId="5" fillId="0" borderId="19" xfId="1" applyFont="1" applyFill="1" applyBorder="1" applyAlignment="1">
      <alignment horizontal="right"/>
    </xf>
    <xf numFmtId="9" fontId="5" fillId="0" borderId="0" xfId="1" applyFont="1" applyFill="1" applyBorder="1" applyAlignment="1">
      <alignment horizontal="right"/>
    </xf>
    <xf numFmtId="9" fontId="70" fillId="0" borderId="19" xfId="1" applyFont="1" applyFill="1" applyBorder="1" applyAlignment="1">
      <alignment horizontal="right"/>
    </xf>
    <xf numFmtId="9" fontId="70" fillId="0" borderId="0" xfId="1" applyFont="1" applyFill="1" applyBorder="1" applyAlignment="1">
      <alignment horizontal="right"/>
    </xf>
    <xf numFmtId="166" fontId="57" fillId="0" borderId="0" xfId="1" quotePrefix="1" applyNumberFormat="1" applyFont="1" applyFill="1" applyBorder="1" applyAlignment="1">
      <alignment horizontal="right"/>
    </xf>
    <xf numFmtId="166" fontId="5" fillId="0" borderId="0" xfId="1" quotePrefix="1" applyNumberFormat="1" applyFont="1" applyFill="1" applyBorder="1" applyAlignment="1">
      <alignment horizontal="right"/>
    </xf>
    <xf numFmtId="0" fontId="69" fillId="43" borderId="3" xfId="0" applyFont="1" applyFill="1" applyBorder="1" applyAlignment="1">
      <alignment horizontal="right"/>
    </xf>
    <xf numFmtId="0" fontId="1" fillId="43" borderId="3" xfId="0" applyFont="1" applyFill="1" applyBorder="1" applyAlignment="1">
      <alignment horizontal="right"/>
    </xf>
    <xf numFmtId="166" fontId="75" fillId="0" borderId="0" xfId="1" applyNumberFormat="1" applyFont="1" applyFill="1" applyAlignment="1">
      <alignment horizontal="right"/>
    </xf>
    <xf numFmtId="0" fontId="1" fillId="12" borderId="0" xfId="336" applyFill="1" applyAlignment="1">
      <alignment horizontal="center" vertical="center"/>
    </xf>
    <xf numFmtId="0" fontId="1" fillId="44" borderId="0" xfId="336" applyFill="1" applyAlignment="1">
      <alignment horizontal="center" vertical="center"/>
    </xf>
    <xf numFmtId="0" fontId="73" fillId="12" borderId="0" xfId="336" applyFont="1" applyFill="1" applyAlignment="1">
      <alignment horizontal="left" vertical="center"/>
    </xf>
    <xf numFmtId="0" fontId="1" fillId="12" borderId="0" xfId="336" applyFill="1" applyAlignment="1">
      <alignment horizontal="left" vertical="center"/>
    </xf>
    <xf numFmtId="0" fontId="79" fillId="42" borderId="1" xfId="336" applyFont="1" applyFill="1" applyBorder="1" applyAlignment="1">
      <alignment horizontal="center" vertical="center"/>
    </xf>
    <xf numFmtId="0" fontId="79" fillId="42" borderId="0" xfId="336" applyFont="1" applyFill="1" applyAlignment="1">
      <alignment horizontal="center" vertical="center"/>
    </xf>
    <xf numFmtId="0" fontId="79" fillId="42" borderId="0" xfId="336" applyFont="1" applyFill="1" applyAlignment="1">
      <alignment horizontal="centerContinuous" vertical="center"/>
    </xf>
    <xf numFmtId="0" fontId="77" fillId="42" borderId="0" xfId="336" applyFont="1" applyFill="1" applyAlignment="1">
      <alignment horizontal="centerContinuous" vertical="center"/>
    </xf>
    <xf numFmtId="0" fontId="79" fillId="42" borderId="2" xfId="336" applyFont="1" applyFill="1" applyBorder="1" applyAlignment="1">
      <alignment horizontal="center" vertical="center"/>
    </xf>
    <xf numFmtId="0" fontId="69" fillId="12" borderId="0" xfId="336" applyFont="1" applyFill="1" applyAlignment="1">
      <alignment horizontal="left" vertical="center"/>
    </xf>
    <xf numFmtId="0" fontId="255" fillId="42" borderId="0" xfId="336" applyFont="1" applyFill="1" applyAlignment="1">
      <alignment horizontal="centerContinuous" vertical="center"/>
    </xf>
    <xf numFmtId="0" fontId="256" fillId="42" borderId="0" xfId="336" applyFont="1" applyFill="1" applyAlignment="1">
      <alignment horizontal="centerContinuous" vertical="center"/>
    </xf>
    <xf numFmtId="4" fontId="79" fillId="13" borderId="0" xfId="0" applyNumberFormat="1" applyFont="1" applyFill="1" applyAlignment="1">
      <alignment horizontal="left"/>
    </xf>
    <xf numFmtId="2" fontId="79" fillId="13" borderId="0" xfId="1" applyNumberFormat="1" applyFont="1" applyFill="1" applyAlignment="1"/>
    <xf numFmtId="10" fontId="79" fillId="13" borderId="0" xfId="1" applyNumberFormat="1" applyFont="1" applyFill="1" applyAlignment="1"/>
    <xf numFmtId="10" fontId="77" fillId="13" borderId="3" xfId="0" applyNumberFormat="1" applyFont="1" applyFill="1" applyBorder="1" applyAlignment="1">
      <alignment horizontal="right"/>
    </xf>
    <xf numFmtId="166" fontId="1" fillId="43" borderId="3" xfId="0" applyNumberFormat="1" applyFont="1" applyFill="1" applyBorder="1" applyAlignment="1">
      <alignment horizontal="right"/>
    </xf>
    <xf numFmtId="166" fontId="77" fillId="13" borderId="3" xfId="1" applyNumberFormat="1" applyFont="1" applyFill="1" applyBorder="1" applyAlignment="1">
      <alignment horizontal="right"/>
    </xf>
    <xf numFmtId="165" fontId="73" fillId="0" borderId="15" xfId="0" applyNumberFormat="1" applyFont="1" applyBorder="1" applyAlignment="1">
      <alignment horizontal="left" indent="1"/>
    </xf>
    <xf numFmtId="9" fontId="73" fillId="0" borderId="0" xfId="1" applyFont="1" applyFill="1" applyBorder="1" applyAlignment="1">
      <alignment horizontal="right"/>
    </xf>
    <xf numFmtId="166" fontId="73" fillId="0" borderId="19" xfId="1" applyNumberFormat="1" applyFont="1" applyFill="1" applyBorder="1" applyAlignment="1">
      <alignment horizontal="right"/>
    </xf>
    <xf numFmtId="166" fontId="75" fillId="0" borderId="19" xfId="1" applyNumberFormat="1" applyFont="1" applyFill="1" applyBorder="1" applyAlignment="1">
      <alignment horizontal="right"/>
    </xf>
    <xf numFmtId="166" fontId="75" fillId="0" borderId="0" xfId="1" applyNumberFormat="1" applyFont="1" applyFill="1" applyBorder="1" applyAlignment="1">
      <alignment horizontal="right"/>
    </xf>
    <xf numFmtId="341" fontId="75" fillId="0" borderId="0" xfId="1" applyNumberFormat="1" applyFont="1" applyFill="1" applyBorder="1" applyAlignment="1">
      <alignment horizontal="right"/>
    </xf>
    <xf numFmtId="341" fontId="75" fillId="0" borderId="19" xfId="1" applyNumberFormat="1" applyFont="1" applyFill="1" applyBorder="1" applyAlignment="1">
      <alignment horizontal="right"/>
    </xf>
    <xf numFmtId="3" fontId="69" fillId="0" borderId="0" xfId="0" applyNumberFormat="1" applyFont="1"/>
    <xf numFmtId="3" fontId="1" fillId="43" borderId="3" xfId="0" applyNumberFormat="1" applyFont="1" applyFill="1" applyBorder="1"/>
    <xf numFmtId="165" fontId="1" fillId="0" borderId="15" xfId="0" applyNumberFormat="1" applyFont="1" applyBorder="1" applyAlignment="1">
      <alignment horizontal="left" indent="1"/>
    </xf>
    <xf numFmtId="1" fontId="1" fillId="0" borderId="15" xfId="0" applyNumberFormat="1" applyFont="1" applyBorder="1" applyAlignment="1">
      <alignment horizontal="left" indent="1"/>
    </xf>
    <xf numFmtId="0" fontId="1" fillId="13" borderId="0" xfId="0" applyFont="1" applyFill="1"/>
    <xf numFmtId="0" fontId="1" fillId="0" borderId="53" xfId="0" applyFont="1" applyBorder="1"/>
    <xf numFmtId="3" fontId="1" fillId="0" borderId="15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19" xfId="0" applyNumberFormat="1" applyFont="1" applyBorder="1" applyAlignment="1">
      <alignment horizontal="center"/>
    </xf>
    <xf numFmtId="3" fontId="69" fillId="0" borderId="15" xfId="0" applyNumberFormat="1" applyFont="1" applyBorder="1" applyAlignment="1">
      <alignment horizontal="center"/>
    </xf>
    <xf numFmtId="3" fontId="69" fillId="0" borderId="0" xfId="0" applyNumberFormat="1" applyFont="1" applyAlignment="1">
      <alignment horizontal="center"/>
    </xf>
    <xf numFmtId="3" fontId="69" fillId="0" borderId="19" xfId="0" applyNumberFormat="1" applyFont="1" applyBorder="1" applyAlignment="1">
      <alignment horizontal="center"/>
    </xf>
    <xf numFmtId="165" fontId="69" fillId="0" borderId="15" xfId="0" applyNumberFormat="1" applyFont="1" applyBorder="1" applyAlignment="1">
      <alignment horizontal="center"/>
    </xf>
    <xf numFmtId="165" fontId="69" fillId="0" borderId="0" xfId="0" applyNumberFormat="1" applyFont="1" applyAlignment="1">
      <alignment horizontal="center"/>
    </xf>
    <xf numFmtId="165" fontId="69" fillId="0" borderId="19" xfId="0" applyNumberFormat="1" applyFont="1" applyBorder="1" applyAlignment="1">
      <alignment horizontal="center"/>
    </xf>
    <xf numFmtId="166" fontId="73" fillId="0" borderId="15" xfId="1" applyNumberFormat="1" applyFont="1" applyBorder="1" applyAlignment="1">
      <alignment horizontal="center"/>
    </xf>
    <xf numFmtId="166" fontId="73" fillId="0" borderId="0" xfId="1" applyNumberFormat="1" applyFont="1" applyBorder="1" applyAlignment="1">
      <alignment horizontal="center"/>
    </xf>
    <xf numFmtId="166" fontId="73" fillId="0" borderId="19" xfId="1" applyNumberFormat="1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8" fontId="69" fillId="43" borderId="4" xfId="0" applyNumberFormat="1" applyFont="1" applyFill="1" applyBorder="1" applyAlignment="1">
      <alignment horizontal="center"/>
    </xf>
    <xf numFmtId="168" fontId="69" fillId="43" borderId="3" xfId="0" applyNumberFormat="1" applyFont="1" applyFill="1" applyBorder="1" applyAlignment="1">
      <alignment horizontal="center"/>
    </xf>
    <xf numFmtId="168" fontId="69" fillId="43" borderId="21" xfId="0" applyNumberFormat="1" applyFont="1" applyFill="1" applyBorder="1" applyAlignment="1">
      <alignment horizontal="center"/>
    </xf>
    <xf numFmtId="0" fontId="69" fillId="0" borderId="15" xfId="0" quotePrefix="1" applyFont="1" applyBorder="1" applyAlignment="1">
      <alignment horizontal="center"/>
    </xf>
    <xf numFmtId="0" fontId="69" fillId="0" borderId="0" xfId="0" quotePrefix="1" applyFont="1" applyAlignment="1">
      <alignment horizontal="center"/>
    </xf>
    <xf numFmtId="0" fontId="69" fillId="0" borderId="19" xfId="0" quotePrefix="1" applyFont="1" applyBorder="1" applyAlignment="1">
      <alignment horizontal="center"/>
    </xf>
    <xf numFmtId="169" fontId="1" fillId="0" borderId="15" xfId="0" applyNumberFormat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169" fontId="1" fillId="0" borderId="19" xfId="0" applyNumberFormat="1" applyFont="1" applyBorder="1" applyAlignment="1">
      <alignment horizontal="center"/>
    </xf>
    <xf numFmtId="169" fontId="1" fillId="0" borderId="53" xfId="0" applyNumberFormat="1" applyFont="1" applyBorder="1" applyAlignment="1">
      <alignment horizontal="center"/>
    </xf>
    <xf numFmtId="169" fontId="1" fillId="0" borderId="54" xfId="0" applyNumberFormat="1" applyFont="1" applyBorder="1" applyAlignment="1">
      <alignment horizontal="center"/>
    </xf>
    <xf numFmtId="0" fontId="77" fillId="13" borderId="53" xfId="0" applyFont="1" applyFill="1" applyBorder="1"/>
    <xf numFmtId="1" fontId="77" fillId="13" borderId="54" xfId="0" applyNumberFormat="1" applyFont="1" applyFill="1" applyBorder="1" applyAlignment="1">
      <alignment horizontal="center"/>
    </xf>
    <xf numFmtId="0" fontId="77" fillId="13" borderId="54" xfId="0" applyFont="1" applyFill="1" applyBorder="1" applyAlignment="1">
      <alignment horizontal="center"/>
    </xf>
    <xf numFmtId="0" fontId="77" fillId="13" borderId="11" xfId="0" applyFont="1" applyFill="1" applyBorder="1" applyAlignment="1">
      <alignment horizontal="center"/>
    </xf>
    <xf numFmtId="0" fontId="79" fillId="13" borderId="4" xfId="0" applyFont="1" applyFill="1" applyBorder="1" applyAlignment="1">
      <alignment horizontal="center"/>
    </xf>
    <xf numFmtId="0" fontId="79" fillId="13" borderId="3" xfId="0" applyFont="1" applyFill="1" applyBorder="1" applyAlignment="1">
      <alignment horizontal="center"/>
    </xf>
    <xf numFmtId="0" fontId="79" fillId="13" borderId="21" xfId="0" applyFont="1" applyFill="1" applyBorder="1" applyAlignment="1">
      <alignment horizontal="center"/>
    </xf>
    <xf numFmtId="165" fontId="73" fillId="0" borderId="22" xfId="0" applyNumberFormat="1" applyFont="1" applyBorder="1" applyAlignment="1">
      <alignment horizontal="left" indent="1"/>
    </xf>
    <xf numFmtId="166" fontId="73" fillId="0" borderId="22" xfId="1" applyNumberFormat="1" applyFont="1" applyBorder="1" applyAlignment="1">
      <alignment horizontal="center"/>
    </xf>
    <xf numFmtId="166" fontId="73" fillId="0" borderId="20" xfId="1" applyNumberFormat="1" applyFont="1" applyBorder="1" applyAlignment="1">
      <alignment horizontal="center"/>
    </xf>
    <xf numFmtId="166" fontId="73" fillId="0" borderId="23" xfId="1" applyNumberFormat="1" applyFont="1" applyBorder="1" applyAlignment="1">
      <alignment horizontal="center"/>
    </xf>
    <xf numFmtId="9" fontId="73" fillId="0" borderId="15" xfId="1" applyFont="1" applyBorder="1" applyAlignment="1">
      <alignment horizontal="left" indent="2"/>
    </xf>
    <xf numFmtId="9" fontId="73" fillId="0" borderId="15" xfId="1" applyFont="1" applyBorder="1" applyAlignment="1">
      <alignment horizontal="center"/>
    </xf>
    <xf numFmtId="9" fontId="73" fillId="0" borderId="0" xfId="1" applyFont="1" applyBorder="1" applyAlignment="1">
      <alignment horizontal="center"/>
    </xf>
    <xf numFmtId="9" fontId="73" fillId="0" borderId="19" xfId="1" applyFont="1" applyBorder="1" applyAlignment="1">
      <alignment horizontal="center"/>
    </xf>
    <xf numFmtId="166" fontId="73" fillId="0" borderId="15" xfId="1" applyNumberFormat="1" applyFont="1" applyBorder="1" applyAlignment="1">
      <alignment horizontal="left" indent="2"/>
    </xf>
    <xf numFmtId="165" fontId="1" fillId="0" borderId="15" xfId="0" applyNumberFormat="1" applyFont="1" applyBorder="1" applyAlignment="1">
      <alignment horizontal="left"/>
    </xf>
    <xf numFmtId="1" fontId="1" fillId="0" borderId="15" xfId="0" applyNumberFormat="1" applyFont="1" applyBorder="1" applyAlignment="1">
      <alignment horizontal="left"/>
    </xf>
    <xf numFmtId="165" fontId="1" fillId="0" borderId="22" xfId="0" applyNumberFormat="1" applyFont="1" applyBorder="1"/>
    <xf numFmtId="165" fontId="1" fillId="0" borderId="22" xfId="0" applyNumberFormat="1" applyFont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166" fontId="73" fillId="0" borderId="22" xfId="1" applyNumberFormat="1" applyFont="1" applyBorder="1" applyAlignment="1">
      <alignment horizontal="left" indent="1"/>
    </xf>
    <xf numFmtId="342" fontId="77" fillId="13" borderId="33" xfId="0" applyNumberFormat="1" applyFont="1" applyFill="1" applyBorder="1" applyAlignment="1">
      <alignment horizontal="center" vertical="center"/>
    </xf>
    <xf numFmtId="342" fontId="77" fillId="13" borderId="33" xfId="0" applyNumberFormat="1" applyFont="1" applyFill="1" applyBorder="1" applyAlignment="1">
      <alignment horizontal="center"/>
    </xf>
    <xf numFmtId="342" fontId="77" fillId="13" borderId="27" xfId="0" applyNumberFormat="1" applyFont="1" applyFill="1" applyBorder="1" applyAlignment="1">
      <alignment horizontal="center"/>
    </xf>
    <xf numFmtId="203" fontId="79" fillId="13" borderId="0" xfId="1" applyNumberFormat="1" applyFont="1" applyFill="1" applyAlignment="1"/>
    <xf numFmtId="203" fontId="79" fillId="13" borderId="0" xfId="0" applyNumberFormat="1" applyFont="1" applyFill="1"/>
    <xf numFmtId="205" fontId="79" fillId="13" borderId="0" xfId="0" applyNumberFormat="1" applyFont="1" applyFill="1" applyAlignment="1">
      <alignment horizontal="right"/>
    </xf>
    <xf numFmtId="0" fontId="1" fillId="0" borderId="0" xfId="2434" applyAlignment="1">
      <alignment horizontal="left" vertical="center"/>
    </xf>
    <xf numFmtId="341" fontId="75" fillId="0" borderId="19" xfId="1" quotePrefix="1" applyNumberFormat="1" applyFont="1" applyFill="1" applyBorder="1" applyAlignment="1">
      <alignment horizontal="right"/>
    </xf>
    <xf numFmtId="166" fontId="1" fillId="0" borderId="0" xfId="1" applyNumberFormat="1" applyFont="1" applyFill="1" applyAlignment="1"/>
    <xf numFmtId="7" fontId="79" fillId="13" borderId="0" xfId="335" applyNumberFormat="1" applyFont="1" applyFill="1" applyBorder="1" applyAlignment="1">
      <alignment horizontal="center"/>
    </xf>
    <xf numFmtId="0" fontId="1" fillId="43" borderId="5" xfId="0" applyFont="1" applyFill="1" applyBorder="1" applyAlignment="1">
      <alignment horizontal="right"/>
    </xf>
    <xf numFmtId="1" fontId="69" fillId="43" borderId="5" xfId="0" applyNumberFormat="1" applyFont="1" applyFill="1" applyBorder="1" applyAlignment="1">
      <alignment horizontal="right"/>
    </xf>
    <xf numFmtId="341" fontId="73" fillId="0" borderId="0" xfId="1" applyNumberFormat="1" applyFont="1" applyFill="1" applyBorder="1" applyAlignment="1">
      <alignment horizontal="right"/>
    </xf>
    <xf numFmtId="341" fontId="73" fillId="0" borderId="16" xfId="1" applyNumberFormat="1" applyFont="1" applyFill="1" applyBorder="1" applyAlignment="1">
      <alignment horizontal="right"/>
    </xf>
    <xf numFmtId="341" fontId="80" fillId="0" borderId="0" xfId="1" applyNumberFormat="1" applyFont="1" applyFill="1" applyBorder="1" applyAlignment="1">
      <alignment horizontal="right"/>
    </xf>
    <xf numFmtId="341" fontId="75" fillId="0" borderId="0" xfId="1" quotePrefix="1" applyNumberFormat="1" applyFont="1" applyFill="1" applyBorder="1" applyAlignment="1">
      <alignment horizontal="right"/>
    </xf>
    <xf numFmtId="203" fontId="1" fillId="0" borderId="0" xfId="1" applyNumberFormat="1" applyFont="1" applyFill="1" applyBorder="1" applyAlignment="1">
      <alignment horizontal="right"/>
    </xf>
    <xf numFmtId="166" fontId="1" fillId="0" borderId="11" xfId="1" applyNumberFormat="1" applyFont="1" applyBorder="1" applyAlignment="1">
      <alignment horizontal="center"/>
    </xf>
    <xf numFmtId="166" fontId="1" fillId="0" borderId="54" xfId="1" applyNumberFormat="1" applyFont="1" applyBorder="1" applyAlignment="1">
      <alignment horizontal="center"/>
    </xf>
    <xf numFmtId="341" fontId="73" fillId="0" borderId="23" xfId="1" applyNumberFormat="1" applyFont="1" applyBorder="1" applyAlignment="1">
      <alignment horizontal="center"/>
    </xf>
    <xf numFmtId="341" fontId="73" fillId="0" borderId="20" xfId="1" applyNumberFormat="1" applyFont="1" applyBorder="1" applyAlignment="1">
      <alignment horizontal="center"/>
    </xf>
    <xf numFmtId="341" fontId="73" fillId="0" borderId="19" xfId="1" applyNumberFormat="1" applyFont="1" applyBorder="1" applyAlignment="1">
      <alignment horizontal="center"/>
    </xf>
    <xf numFmtId="341" fontId="73" fillId="0" borderId="0" xfId="1" applyNumberFormat="1" applyFont="1" applyBorder="1" applyAlignment="1">
      <alignment horizontal="center"/>
    </xf>
    <xf numFmtId="166" fontId="1" fillId="0" borderId="0" xfId="1" applyNumberFormat="1" applyFont="1" applyAlignment="1"/>
    <xf numFmtId="165" fontId="73" fillId="0" borderId="15" xfId="0" applyNumberFormat="1" applyFont="1" applyBorder="1" applyAlignment="1">
      <alignment horizontal="center"/>
    </xf>
    <xf numFmtId="165" fontId="73" fillId="0" borderId="19" xfId="0" quotePrefix="1" applyNumberFormat="1" applyFont="1" applyBorder="1" applyAlignment="1">
      <alignment horizontal="center"/>
    </xf>
    <xf numFmtId="166" fontId="73" fillId="0" borderId="0" xfId="1" applyNumberFormat="1" applyFont="1" applyFill="1" applyBorder="1" applyAlignment="1">
      <alignment horizontal="center"/>
    </xf>
    <xf numFmtId="165" fontId="73" fillId="0" borderId="15" xfId="0" applyNumberFormat="1" applyFont="1" applyBorder="1" applyAlignment="1">
      <alignment horizontal="left"/>
    </xf>
    <xf numFmtId="4" fontId="70" fillId="43" borderId="5" xfId="0" applyNumberFormat="1" applyFont="1" applyFill="1" applyBorder="1" applyAlignment="1">
      <alignment horizontal="right"/>
    </xf>
    <xf numFmtId="3" fontId="1" fillId="0" borderId="17" xfId="0" applyNumberFormat="1" applyFont="1" applyBorder="1"/>
    <xf numFmtId="341" fontId="73" fillId="0" borderId="15" xfId="1" applyNumberFormat="1" applyFont="1" applyFill="1" applyBorder="1" applyAlignment="1">
      <alignment horizontal="right"/>
    </xf>
    <xf numFmtId="2" fontId="1" fillId="43" borderId="3" xfId="0" applyNumberFormat="1" applyFont="1" applyFill="1" applyBorder="1" applyAlignment="1">
      <alignment horizontal="right"/>
    </xf>
    <xf numFmtId="14" fontId="79" fillId="13" borderId="0" xfId="0" applyNumberFormat="1" applyFont="1" applyFill="1"/>
    <xf numFmtId="14" fontId="1" fillId="0" borderId="0" xfId="0" applyNumberFormat="1" applyFont="1"/>
    <xf numFmtId="166" fontId="69" fillId="0" borderId="0" xfId="2275" applyNumberFormat="1" applyFont="1" applyFill="1" applyAlignment="1">
      <alignment horizontal="right"/>
    </xf>
    <xf numFmtId="166" fontId="5" fillId="0" borderId="0" xfId="1" applyNumberFormat="1" applyFont="1" applyFill="1" applyBorder="1"/>
    <xf numFmtId="166" fontId="1" fillId="43" borderId="3" xfId="1" applyNumberFormat="1" applyFont="1" applyFill="1" applyBorder="1" applyAlignment="1">
      <alignment horizontal="right"/>
    </xf>
    <xf numFmtId="0" fontId="69" fillId="0" borderId="0" xfId="2434" applyFont="1" applyAlignment="1">
      <alignment horizontal="left" vertical="center"/>
    </xf>
    <xf numFmtId="0" fontId="1" fillId="0" borderId="0" xfId="2434" applyAlignment="1">
      <alignment horizontal="center" vertical="center"/>
    </xf>
    <xf numFmtId="3" fontId="70" fillId="0" borderId="19" xfId="0" applyNumberFormat="1" applyFont="1" applyBorder="1" applyAlignment="1">
      <alignment horizontal="right"/>
    </xf>
    <xf numFmtId="165" fontId="70" fillId="43" borderId="3" xfId="0" applyNumberFormat="1" applyFont="1" applyFill="1" applyBorder="1" applyAlignment="1">
      <alignment horizontal="right"/>
    </xf>
    <xf numFmtId="166" fontId="73" fillId="0" borderId="0" xfId="1" quotePrefix="1" applyNumberFormat="1" applyFont="1" applyFill="1" applyAlignment="1">
      <alignment horizontal="right"/>
    </xf>
    <xf numFmtId="0" fontId="79" fillId="13" borderId="3" xfId="0" applyFont="1" applyFill="1" applyBorder="1" applyAlignment="1">
      <alignment horizontal="right"/>
    </xf>
    <xf numFmtId="0" fontId="77" fillId="13" borderId="5" xfId="0" applyFont="1" applyFill="1" applyBorder="1" applyAlignment="1">
      <alignment horizontal="right"/>
    </xf>
    <xf numFmtId="165" fontId="70" fillId="43" borderId="5" xfId="0" applyNumberFormat="1" applyFont="1" applyFill="1" applyBorder="1" applyAlignment="1">
      <alignment horizontal="right"/>
    </xf>
    <xf numFmtId="166" fontId="73" fillId="0" borderId="0" xfId="1" quotePrefix="1" applyNumberFormat="1" applyFont="1" applyFill="1" applyBorder="1" applyAlignment="1">
      <alignment horizontal="right"/>
    </xf>
    <xf numFmtId="166" fontId="81" fillId="0" borderId="0" xfId="1" applyNumberFormat="1" applyFont="1" applyFill="1" applyBorder="1" applyAlignment="1">
      <alignment horizontal="right"/>
    </xf>
    <xf numFmtId="0" fontId="1" fillId="0" borderId="16" xfId="0" applyFont="1" applyBorder="1"/>
    <xf numFmtId="341" fontId="73" fillId="0" borderId="19" xfId="1" applyNumberFormat="1" applyFont="1" applyFill="1" applyBorder="1" applyAlignment="1">
      <alignment horizontal="right"/>
    </xf>
    <xf numFmtId="7" fontId="1" fillId="0" borderId="16" xfId="0" applyNumberFormat="1" applyFont="1" applyBorder="1"/>
    <xf numFmtId="7" fontId="69" fillId="43" borderId="4" xfId="0" applyNumberFormat="1" applyFont="1" applyFill="1" applyBorder="1"/>
    <xf numFmtId="7" fontId="69" fillId="43" borderId="3" xfId="0" applyNumberFormat="1" applyFont="1" applyFill="1" applyBorder="1" applyAlignment="1">
      <alignment horizontal="right"/>
    </xf>
    <xf numFmtId="7" fontId="69" fillId="43" borderId="21" xfId="0" applyNumberFormat="1" applyFont="1" applyFill="1" applyBorder="1" applyAlignment="1">
      <alignment horizontal="right"/>
    </xf>
    <xf numFmtId="7" fontId="69" fillId="0" borderId="0" xfId="0" applyNumberFormat="1" applyFont="1"/>
    <xf numFmtId="166" fontId="73" fillId="0" borderId="0" xfId="1" applyNumberFormat="1" applyFont="1" applyFill="1" applyAlignment="1"/>
    <xf numFmtId="166" fontId="69" fillId="43" borderId="3" xfId="1" applyNumberFormat="1" applyFont="1" applyFill="1" applyBorder="1" applyAlignment="1">
      <alignment horizontal="right"/>
    </xf>
    <xf numFmtId="4" fontId="5" fillId="0" borderId="0" xfId="0" applyNumberFormat="1" applyFont="1" applyAlignment="1">
      <alignment horizontal="right"/>
    </xf>
    <xf numFmtId="9" fontId="73" fillId="0" borderId="19" xfId="1" applyFont="1" applyFill="1" applyBorder="1" applyAlignment="1">
      <alignment horizontal="right"/>
    </xf>
    <xf numFmtId="1" fontId="5" fillId="0" borderId="0" xfId="1" applyNumberFormat="1" applyFont="1" applyFill="1" applyBorder="1" applyAlignment="1">
      <alignment horizontal="right"/>
    </xf>
    <xf numFmtId="2" fontId="1" fillId="0" borderId="0" xfId="1" applyNumberFormat="1" applyFont="1" applyFill="1" applyBorder="1" applyAlignment="1">
      <alignment horizontal="right"/>
    </xf>
    <xf numFmtId="166" fontId="73" fillId="0" borderId="19" xfId="1" quotePrefix="1" applyNumberFormat="1" applyFont="1" applyFill="1" applyBorder="1" applyAlignment="1">
      <alignment horizontal="right"/>
    </xf>
    <xf numFmtId="203" fontId="5" fillId="0" borderId="0" xfId="1" applyNumberFormat="1" applyFont="1" applyFill="1" applyBorder="1" applyAlignment="1">
      <alignment horizontal="right"/>
    </xf>
    <xf numFmtId="10" fontId="69" fillId="43" borderId="3" xfId="0" applyNumberFormat="1" applyFont="1" applyFill="1" applyBorder="1" applyAlignment="1">
      <alignment horizontal="right"/>
    </xf>
    <xf numFmtId="164" fontId="1" fillId="0" borderId="0" xfId="317" applyFont="1" applyFill="1" applyBorder="1" applyAlignment="1">
      <alignment horizontal="right"/>
    </xf>
    <xf numFmtId="3" fontId="73" fillId="0" borderId="0" xfId="1" quotePrefix="1" applyNumberFormat="1" applyFont="1" applyFill="1" applyBorder="1" applyAlignment="1">
      <alignment horizontal="right"/>
    </xf>
    <xf numFmtId="3" fontId="73" fillId="0" borderId="0" xfId="1" applyNumberFormat="1" applyFont="1" applyFill="1" applyBorder="1" applyAlignment="1">
      <alignment horizontal="right"/>
    </xf>
    <xf numFmtId="3" fontId="73" fillId="0" borderId="19" xfId="1" applyNumberFormat="1" applyFont="1" applyFill="1" applyBorder="1" applyAlignment="1">
      <alignment horizontal="right"/>
    </xf>
    <xf numFmtId="3" fontId="1" fillId="0" borderId="16" xfId="0" applyNumberFormat="1" applyFont="1" applyBorder="1"/>
    <xf numFmtId="0" fontId="1" fillId="0" borderId="19" xfId="0" applyFont="1" applyBorder="1"/>
    <xf numFmtId="0" fontId="1" fillId="0" borderId="27" xfId="0" applyFont="1" applyBorder="1"/>
    <xf numFmtId="0" fontId="79" fillId="13" borderId="5" xfId="0" applyFont="1" applyFill="1" applyBorder="1"/>
    <xf numFmtId="341" fontId="80" fillId="0" borderId="0" xfId="1" applyNumberFormat="1" applyFont="1" applyFill="1" applyBorder="1" applyAlignment="1"/>
    <xf numFmtId="341" fontId="73" fillId="0" borderId="19" xfId="1" applyNumberFormat="1" applyFont="1" applyFill="1" applyBorder="1" applyAlignment="1"/>
    <xf numFmtId="10" fontId="75" fillId="0" borderId="0" xfId="1" applyNumberFormat="1" applyFont="1" applyFill="1" applyBorder="1" applyAlignment="1">
      <alignment horizontal="right"/>
    </xf>
    <xf numFmtId="2" fontId="1" fillId="0" borderId="19" xfId="1" applyNumberFormat="1" applyFont="1" applyFill="1" applyBorder="1" applyAlignment="1">
      <alignment horizontal="right"/>
    </xf>
    <xf numFmtId="9" fontId="75" fillId="0" borderId="0" xfId="1" applyFont="1" applyFill="1" applyBorder="1" applyAlignment="1">
      <alignment horizontal="right"/>
    </xf>
    <xf numFmtId="166" fontId="69" fillId="0" borderId="19" xfId="1" applyNumberFormat="1" applyFont="1" applyFill="1" applyBorder="1" applyAlignment="1">
      <alignment horizontal="right"/>
    </xf>
    <xf numFmtId="3" fontId="1" fillId="43" borderId="0" xfId="0" applyNumberFormat="1" applyFont="1" applyFill="1" applyAlignment="1">
      <alignment horizontal="right"/>
    </xf>
    <xf numFmtId="166" fontId="1" fillId="43" borderId="0" xfId="1" applyNumberFormat="1" applyFont="1" applyFill="1" applyBorder="1" applyAlignment="1">
      <alignment horizontal="right"/>
    </xf>
    <xf numFmtId="166" fontId="1" fillId="43" borderId="19" xfId="1" applyNumberFormat="1" applyFont="1" applyFill="1" applyBorder="1" applyAlignment="1">
      <alignment horizontal="right"/>
    </xf>
    <xf numFmtId="3" fontId="1" fillId="43" borderId="19" xfId="0" applyNumberFormat="1" applyFont="1" applyFill="1" applyBorder="1" applyAlignment="1">
      <alignment horizontal="right"/>
    </xf>
    <xf numFmtId="341" fontId="75" fillId="0" borderId="16" xfId="1" applyNumberFormat="1" applyFont="1" applyFill="1" applyBorder="1" applyAlignment="1">
      <alignment horizontal="right"/>
    </xf>
    <xf numFmtId="3" fontId="5" fillId="43" borderId="0" xfId="0" applyNumberFormat="1" applyFont="1" applyFill="1" applyAlignment="1">
      <alignment horizontal="right"/>
    </xf>
    <xf numFmtId="3" fontId="5" fillId="43" borderId="2" xfId="0" applyNumberFormat="1" applyFont="1" applyFill="1" applyBorder="1" applyAlignment="1">
      <alignment horizontal="right"/>
    </xf>
    <xf numFmtId="7" fontId="57" fillId="43" borderId="3" xfId="0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3" fontId="1" fillId="0" borderId="19" xfId="1" applyNumberFormat="1" applyFont="1" applyFill="1" applyBorder="1" applyAlignment="1">
      <alignment horizontal="right"/>
    </xf>
    <xf numFmtId="3" fontId="1" fillId="0" borderId="0" xfId="1" applyNumberFormat="1" applyFont="1" applyBorder="1" applyAlignment="1">
      <alignment horizontal="right"/>
    </xf>
    <xf numFmtId="4" fontId="1" fillId="0" borderId="16" xfId="0" applyNumberFormat="1" applyFont="1" applyBorder="1"/>
    <xf numFmtId="4" fontId="1" fillId="43" borderId="0" xfId="0" applyNumberFormat="1" applyFont="1" applyFill="1" applyAlignment="1">
      <alignment horizontal="right"/>
    </xf>
    <xf numFmtId="3" fontId="76" fillId="0" borderId="0" xfId="1" applyNumberFormat="1" applyFont="1" applyFill="1" applyBorder="1" applyAlignment="1">
      <alignment horizontal="right"/>
    </xf>
    <xf numFmtId="1" fontId="1" fillId="0" borderId="27" xfId="0" applyNumberFormat="1" applyFont="1" applyBorder="1"/>
    <xf numFmtId="3" fontId="69" fillId="43" borderId="21" xfId="0" applyNumberFormat="1" applyFont="1" applyFill="1" applyBorder="1"/>
    <xf numFmtId="3" fontId="69" fillId="43" borderId="21" xfId="0" applyNumberFormat="1" applyFont="1" applyFill="1" applyBorder="1" applyAlignment="1">
      <alignment horizontal="right"/>
    </xf>
    <xf numFmtId="3" fontId="5" fillId="0" borderId="19" xfId="0" quotePrefix="1" applyNumberFormat="1" applyFont="1" applyBorder="1" applyAlignment="1">
      <alignment horizontal="right"/>
    </xf>
    <xf numFmtId="3" fontId="69" fillId="43" borderId="4" xfId="0" applyNumberFormat="1" applyFont="1" applyFill="1" applyBorder="1"/>
    <xf numFmtId="3" fontId="57" fillId="43" borderId="21" xfId="0" applyNumberFormat="1" applyFont="1" applyFill="1" applyBorder="1" applyAlignment="1">
      <alignment horizontal="right"/>
    </xf>
    <xf numFmtId="3" fontId="5" fillId="0" borderId="19" xfId="1" applyNumberFormat="1" applyFont="1" applyFill="1" applyBorder="1" applyAlignment="1">
      <alignment horizontal="right"/>
    </xf>
    <xf numFmtId="3" fontId="5" fillId="0" borderId="11" xfId="0" applyNumberFormat="1" applyFont="1" applyBorder="1" applyAlignment="1">
      <alignment horizontal="right"/>
    </xf>
    <xf numFmtId="3" fontId="69" fillId="43" borderId="15" xfId="0" applyNumberFormat="1" applyFont="1" applyFill="1" applyBorder="1"/>
    <xf numFmtId="3" fontId="5" fillId="43" borderId="19" xfId="0" applyNumberFormat="1" applyFont="1" applyFill="1" applyBorder="1" applyAlignment="1">
      <alignment horizontal="right"/>
    </xf>
    <xf numFmtId="3" fontId="1" fillId="43" borderId="15" xfId="0" applyNumberFormat="1" applyFont="1" applyFill="1" applyBorder="1"/>
    <xf numFmtId="3" fontId="69" fillId="43" borderId="0" xfId="0" applyNumberFormat="1" applyFont="1" applyFill="1" applyAlignment="1">
      <alignment horizontal="right"/>
    </xf>
    <xf numFmtId="3" fontId="69" fillId="43" borderId="19" xfId="0" applyNumberFormat="1" applyFont="1" applyFill="1" applyBorder="1" applyAlignment="1">
      <alignment horizontal="right"/>
    </xf>
    <xf numFmtId="3" fontId="57" fillId="43" borderId="19" xfId="0" applyNumberFormat="1" applyFont="1" applyFill="1" applyBorder="1" applyAlignment="1">
      <alignment horizontal="right"/>
    </xf>
    <xf numFmtId="3" fontId="57" fillId="43" borderId="0" xfId="0" applyNumberFormat="1" applyFont="1" applyFill="1" applyAlignment="1">
      <alignment horizontal="right"/>
    </xf>
    <xf numFmtId="3" fontId="78" fillId="93" borderId="0" xfId="0" applyNumberFormat="1" applyFont="1" applyFill="1" applyAlignment="1">
      <alignment horizontal="right"/>
    </xf>
    <xf numFmtId="3" fontId="1" fillId="43" borderId="17" xfId="0" applyNumberFormat="1" applyFont="1" applyFill="1" applyBorder="1"/>
    <xf numFmtId="3" fontId="1" fillId="43" borderId="2" xfId="0" applyNumberFormat="1" applyFont="1" applyFill="1" applyBorder="1" applyAlignment="1">
      <alignment horizontal="right"/>
    </xf>
    <xf numFmtId="3" fontId="1" fillId="43" borderId="11" xfId="0" applyNumberFormat="1" applyFont="1" applyFill="1" applyBorder="1" applyAlignment="1">
      <alignment horizontal="right"/>
    </xf>
    <xf numFmtId="3" fontId="5" fillId="43" borderId="11" xfId="0" applyNumberFormat="1" applyFont="1" applyFill="1" applyBorder="1" applyAlignment="1">
      <alignment horizontal="right"/>
    </xf>
    <xf numFmtId="3" fontId="5" fillId="0" borderId="0" xfId="1" applyNumberFormat="1" applyFont="1" applyFill="1" applyBorder="1"/>
    <xf numFmtId="3" fontId="1" fillId="43" borderId="28" xfId="0" applyNumberFormat="1" applyFont="1" applyFill="1" applyBorder="1"/>
    <xf numFmtId="3" fontId="1" fillId="43" borderId="1" xfId="1" applyNumberFormat="1" applyFont="1" applyFill="1" applyBorder="1" applyAlignment="1">
      <alignment horizontal="right"/>
    </xf>
    <xf numFmtId="3" fontId="1" fillId="43" borderId="27" xfId="1" applyNumberFormat="1" applyFont="1" applyFill="1" applyBorder="1" applyAlignment="1">
      <alignment horizontal="right"/>
    </xf>
    <xf numFmtId="3" fontId="1" fillId="43" borderId="0" xfId="1" applyNumberFormat="1" applyFont="1" applyFill="1" applyBorder="1" applyAlignment="1">
      <alignment horizontal="right"/>
    </xf>
    <xf numFmtId="3" fontId="1" fillId="43" borderId="19" xfId="1" applyNumberFormat="1" applyFont="1" applyFill="1" applyBorder="1" applyAlignment="1">
      <alignment horizontal="right"/>
    </xf>
    <xf numFmtId="3" fontId="5" fillId="43" borderId="19" xfId="1" applyNumberFormat="1" applyFont="1" applyFill="1" applyBorder="1" applyAlignment="1">
      <alignment horizontal="right"/>
    </xf>
    <xf numFmtId="3" fontId="76" fillId="43" borderId="19" xfId="1" applyNumberFormat="1" applyFont="1" applyFill="1" applyBorder="1" applyAlignment="1">
      <alignment horizontal="right"/>
    </xf>
    <xf numFmtId="3" fontId="69" fillId="0" borderId="0" xfId="1" applyNumberFormat="1" applyFont="1" applyFill="1" applyAlignment="1"/>
    <xf numFmtId="3" fontId="71" fillId="43" borderId="4" xfId="0" applyNumberFormat="1" applyFont="1" applyFill="1" applyBorder="1"/>
    <xf numFmtId="3" fontId="69" fillId="43" borderId="5" xfId="0" applyNumberFormat="1" applyFont="1" applyFill="1" applyBorder="1" applyAlignment="1">
      <alignment horizontal="right"/>
    </xf>
    <xf numFmtId="1" fontId="1" fillId="0" borderId="19" xfId="0" applyNumberFormat="1" applyFont="1" applyBorder="1"/>
    <xf numFmtId="1" fontId="69" fillId="0" borderId="19" xfId="0" applyNumberFormat="1" applyFont="1" applyBorder="1" applyAlignment="1">
      <alignment horizontal="center"/>
    </xf>
    <xf numFmtId="1" fontId="69" fillId="0" borderId="0" xfId="0" applyNumberFormat="1" applyFont="1" applyAlignment="1">
      <alignment horizontal="center"/>
    </xf>
    <xf numFmtId="166" fontId="79" fillId="13" borderId="3" xfId="0" applyNumberFormat="1" applyFont="1" applyFill="1" applyBorder="1" applyAlignment="1">
      <alignment horizontal="right"/>
    </xf>
    <xf numFmtId="0" fontId="79" fillId="13" borderId="5" xfId="0" applyFont="1" applyFill="1" applyBorder="1" applyAlignment="1">
      <alignment horizontal="right"/>
    </xf>
    <xf numFmtId="165" fontId="69" fillId="43" borderId="4" xfId="0" applyNumberFormat="1" applyFont="1" applyFill="1" applyBorder="1"/>
    <xf numFmtId="165" fontId="69" fillId="43" borderId="5" xfId="0" applyNumberFormat="1" applyFont="1" applyFill="1" applyBorder="1" applyAlignment="1">
      <alignment horizontal="right"/>
    </xf>
    <xf numFmtId="165" fontId="1" fillId="43" borderId="15" xfId="0" applyNumberFormat="1" applyFont="1" applyFill="1" applyBorder="1"/>
    <xf numFmtId="166" fontId="1" fillId="43" borderId="0" xfId="1" quotePrefix="1" applyNumberFormat="1" applyFont="1" applyFill="1" applyBorder="1" applyAlignment="1">
      <alignment horizontal="right"/>
    </xf>
    <xf numFmtId="166" fontId="1" fillId="43" borderId="19" xfId="1" quotePrefix="1" applyNumberFormat="1" applyFont="1" applyFill="1" applyBorder="1" applyAlignment="1">
      <alignment horizontal="right"/>
    </xf>
    <xf numFmtId="165" fontId="57" fillId="43" borderId="17" xfId="0" applyNumberFormat="1" applyFont="1" applyFill="1" applyBorder="1"/>
    <xf numFmtId="3" fontId="69" fillId="43" borderId="2" xfId="0" applyNumberFormat="1" applyFont="1" applyFill="1" applyBorder="1" applyAlignment="1">
      <alignment horizontal="right"/>
    </xf>
    <xf numFmtId="4" fontId="70" fillId="43" borderId="2" xfId="0" applyNumberFormat="1" applyFont="1" applyFill="1" applyBorder="1" applyAlignment="1">
      <alignment horizontal="right"/>
    </xf>
    <xf numFmtId="4" fontId="70" fillId="43" borderId="18" xfId="0" applyNumberFormat="1" applyFont="1" applyFill="1" applyBorder="1" applyAlignment="1">
      <alignment horizontal="right"/>
    </xf>
    <xf numFmtId="165" fontId="1" fillId="0" borderId="4" xfId="0" applyNumberFormat="1" applyFont="1" applyBorder="1"/>
    <xf numFmtId="165" fontId="1" fillId="0" borderId="3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3" fontId="1" fillId="43" borderId="3" xfId="0" applyNumberFormat="1" applyFont="1" applyFill="1" applyBorder="1" applyAlignment="1">
      <alignment horizontal="right"/>
    </xf>
    <xf numFmtId="3" fontId="5" fillId="43" borderId="3" xfId="0" applyNumberFormat="1" applyFont="1" applyFill="1" applyBorder="1" applyAlignment="1">
      <alignment horizontal="right"/>
    </xf>
    <xf numFmtId="3" fontId="1" fillId="43" borderId="5" xfId="0" applyNumberFormat="1" applyFont="1" applyFill="1" applyBorder="1" applyAlignment="1">
      <alignment horizontal="right"/>
    </xf>
    <xf numFmtId="4" fontId="1" fillId="43" borderId="15" xfId="0" applyNumberFormat="1" applyFont="1" applyFill="1" applyBorder="1"/>
    <xf numFmtId="4" fontId="1" fillId="43" borderId="0" xfId="1" quotePrefix="1" applyNumberFormat="1" applyFont="1" applyFill="1" applyBorder="1" applyAlignment="1">
      <alignment horizontal="right"/>
    </xf>
    <xf numFmtId="4" fontId="1" fillId="43" borderId="19" xfId="1" quotePrefix="1" applyNumberFormat="1" applyFont="1" applyFill="1" applyBorder="1" applyAlignment="1">
      <alignment horizontal="right"/>
    </xf>
    <xf numFmtId="4" fontId="1" fillId="43" borderId="19" xfId="0" applyNumberFormat="1" applyFont="1" applyFill="1" applyBorder="1" applyAlignment="1">
      <alignment horizontal="right"/>
    </xf>
    <xf numFmtId="4" fontId="1" fillId="0" borderId="0" xfId="0" applyNumberFormat="1" applyFont="1"/>
    <xf numFmtId="165" fontId="1" fillId="0" borderId="0" xfId="0" applyNumberFormat="1" applyFont="1" applyAlignment="1">
      <alignment wrapText="1"/>
    </xf>
    <xf numFmtId="0" fontId="1" fillId="94" borderId="15" xfId="0" applyFont="1" applyFill="1" applyBorder="1"/>
    <xf numFmtId="0" fontId="1" fillId="94" borderId="19" xfId="0" applyFont="1" applyFill="1" applyBorder="1" applyAlignment="1">
      <alignment horizontal="right"/>
    </xf>
    <xf numFmtId="0" fontId="1" fillId="94" borderId="0" xfId="0" applyFont="1" applyFill="1" applyAlignment="1">
      <alignment horizontal="right"/>
    </xf>
    <xf numFmtId="9" fontId="1" fillId="94" borderId="0" xfId="1" applyFont="1" applyFill="1" applyBorder="1" applyAlignment="1">
      <alignment horizontal="right"/>
    </xf>
    <xf numFmtId="3" fontId="1" fillId="94" borderId="19" xfId="0" applyNumberFormat="1" applyFont="1" applyFill="1" applyBorder="1" applyAlignment="1">
      <alignment horizontal="right"/>
    </xf>
    <xf numFmtId="9" fontId="73" fillId="94" borderId="15" xfId="0" applyNumberFormat="1" applyFont="1" applyFill="1" applyBorder="1" applyAlignment="1">
      <alignment horizontal="left" indent="1"/>
    </xf>
    <xf numFmtId="166" fontId="73" fillId="94" borderId="19" xfId="1" quotePrefix="1" applyNumberFormat="1" applyFont="1" applyFill="1" applyBorder="1" applyAlignment="1">
      <alignment horizontal="right"/>
    </xf>
    <xf numFmtId="166" fontId="73" fillId="94" borderId="19" xfId="1" applyNumberFormat="1" applyFont="1" applyFill="1" applyBorder="1" applyAlignment="1">
      <alignment horizontal="right"/>
    </xf>
    <xf numFmtId="0" fontId="73" fillId="94" borderId="15" xfId="0" applyFont="1" applyFill="1" applyBorder="1" applyAlignment="1">
      <alignment horizontal="left" indent="1"/>
    </xf>
    <xf numFmtId="166" fontId="73" fillId="94" borderId="19" xfId="0" applyNumberFormat="1" applyFont="1" applyFill="1" applyBorder="1" applyAlignment="1">
      <alignment horizontal="right"/>
    </xf>
    <xf numFmtId="0" fontId="73" fillId="94" borderId="19" xfId="0" applyFont="1" applyFill="1" applyBorder="1" applyAlignment="1">
      <alignment horizontal="right"/>
    </xf>
    <xf numFmtId="0" fontId="73" fillId="94" borderId="0" xfId="0" applyFont="1" applyFill="1" applyAlignment="1">
      <alignment horizontal="right"/>
    </xf>
    <xf numFmtId="9" fontId="73" fillId="94" borderId="0" xfId="1" applyFont="1" applyFill="1" applyBorder="1" applyAlignment="1">
      <alignment horizontal="right"/>
    </xf>
    <xf numFmtId="166" fontId="1" fillId="94" borderId="19" xfId="1" applyNumberFormat="1" applyFont="1" applyFill="1" applyBorder="1" applyAlignment="1">
      <alignment horizontal="right"/>
    </xf>
    <xf numFmtId="166" fontId="1" fillId="94" borderId="0" xfId="0" applyNumberFormat="1" applyFont="1" applyFill="1" applyAlignment="1">
      <alignment horizontal="right"/>
    </xf>
    <xf numFmtId="165" fontId="69" fillId="94" borderId="15" xfId="0" applyNumberFormat="1" applyFont="1" applyFill="1" applyBorder="1"/>
    <xf numFmtId="0" fontId="69" fillId="94" borderId="19" xfId="0" applyFont="1" applyFill="1" applyBorder="1" applyAlignment="1">
      <alignment horizontal="right"/>
    </xf>
    <xf numFmtId="0" fontId="69" fillId="94" borderId="0" xfId="0" applyFont="1" applyFill="1" applyAlignment="1">
      <alignment horizontal="right"/>
    </xf>
    <xf numFmtId="9" fontId="69" fillId="94" borderId="0" xfId="1" applyFont="1" applyFill="1" applyBorder="1" applyAlignment="1">
      <alignment horizontal="right"/>
    </xf>
    <xf numFmtId="3" fontId="69" fillId="94" borderId="19" xfId="0" applyNumberFormat="1" applyFont="1" applyFill="1" applyBorder="1" applyAlignment="1">
      <alignment horizontal="right"/>
    </xf>
    <xf numFmtId="166" fontId="69" fillId="94" borderId="0" xfId="0" applyNumberFormat="1" applyFont="1" applyFill="1" applyAlignment="1">
      <alignment horizontal="right"/>
    </xf>
    <xf numFmtId="166" fontId="73" fillId="94" borderId="0" xfId="0" applyNumberFormat="1" applyFont="1" applyFill="1" applyAlignment="1">
      <alignment horizontal="right"/>
    </xf>
    <xf numFmtId="165" fontId="1" fillId="94" borderId="15" xfId="0" applyNumberFormat="1" applyFont="1" applyFill="1" applyBorder="1"/>
    <xf numFmtId="3" fontId="57" fillId="43" borderId="3" xfId="0" applyNumberFormat="1" applyFont="1" applyFill="1" applyBorder="1" applyAlignment="1">
      <alignment horizontal="right"/>
    </xf>
    <xf numFmtId="4" fontId="5" fillId="43" borderId="3" xfId="0" applyNumberFormat="1" applyFont="1" applyFill="1" applyBorder="1" applyAlignment="1">
      <alignment horizontal="right"/>
    </xf>
    <xf numFmtId="4" fontId="5" fillId="43" borderId="5" xfId="0" applyNumberFormat="1" applyFont="1" applyFill="1" applyBorder="1" applyAlignment="1">
      <alignment horizontal="right"/>
    </xf>
    <xf numFmtId="1" fontId="1" fillId="0" borderId="19" xfId="1" applyNumberFormat="1" applyFont="1" applyFill="1" applyBorder="1" applyAlignment="1">
      <alignment horizontal="right"/>
    </xf>
    <xf numFmtId="3" fontId="1" fillId="94" borderId="15" xfId="0" applyNumberFormat="1" applyFont="1" applyFill="1" applyBorder="1"/>
    <xf numFmtId="3" fontId="1" fillId="94" borderId="0" xfId="0" applyNumberFormat="1" applyFont="1" applyFill="1" applyAlignment="1">
      <alignment horizontal="right"/>
    </xf>
    <xf numFmtId="3" fontId="5" fillId="94" borderId="0" xfId="0" applyNumberFormat="1" applyFont="1" applyFill="1" applyAlignment="1">
      <alignment horizontal="right"/>
    </xf>
    <xf numFmtId="166" fontId="1" fillId="94" borderId="19" xfId="0" applyNumberFormat="1" applyFont="1" applyFill="1" applyBorder="1" applyAlignment="1">
      <alignment horizontal="right"/>
    </xf>
    <xf numFmtId="166" fontId="73" fillId="94" borderId="0" xfId="0" quotePrefix="1" applyNumberFormat="1" applyFont="1" applyFill="1" applyAlignment="1">
      <alignment horizontal="right"/>
    </xf>
    <xf numFmtId="166" fontId="73" fillId="94" borderId="0" xfId="1" applyNumberFormat="1" applyFont="1" applyFill="1" applyBorder="1" applyAlignment="1">
      <alignment horizontal="right"/>
    </xf>
    <xf numFmtId="166" fontId="75" fillId="94" borderId="19" xfId="1" applyNumberFormat="1" applyFont="1" applyFill="1" applyBorder="1" applyAlignment="1">
      <alignment horizontal="right"/>
    </xf>
    <xf numFmtId="166" fontId="75" fillId="94" borderId="0" xfId="1" applyNumberFormat="1" applyFont="1" applyFill="1" applyBorder="1" applyAlignment="1">
      <alignment horizontal="right"/>
    </xf>
    <xf numFmtId="166" fontId="1" fillId="0" borderId="0" xfId="335" applyNumberFormat="1" applyFont="1" applyAlignment="1">
      <alignment horizontal="center"/>
    </xf>
    <xf numFmtId="0" fontId="1" fillId="0" borderId="0" xfId="336" applyAlignment="1">
      <alignment horizontal="left" vertical="center"/>
    </xf>
    <xf numFmtId="3" fontId="70" fillId="0" borderId="0" xfId="0" quotePrefix="1" applyNumberFormat="1" applyFont="1" applyAlignment="1">
      <alignment horizontal="right"/>
    </xf>
    <xf numFmtId="3" fontId="70" fillId="0" borderId="19" xfId="0" quotePrefix="1" applyNumberFormat="1" applyFont="1" applyBorder="1" applyAlignment="1">
      <alignment horizontal="right"/>
    </xf>
    <xf numFmtId="3" fontId="69" fillId="0" borderId="0" xfId="0" quotePrefix="1" applyNumberFormat="1" applyFont="1" applyAlignment="1">
      <alignment horizontal="right"/>
    </xf>
    <xf numFmtId="3" fontId="69" fillId="0" borderId="19" xfId="0" quotePrefix="1" applyNumberFormat="1" applyFont="1" applyBorder="1" applyAlignment="1">
      <alignment horizontal="right"/>
    </xf>
    <xf numFmtId="3" fontId="69" fillId="0" borderId="15" xfId="0" applyNumberFormat="1" applyFont="1" applyBorder="1"/>
    <xf numFmtId="3" fontId="69" fillId="0" borderId="0" xfId="0" applyNumberFormat="1" applyFont="1" applyAlignment="1">
      <alignment horizontal="right"/>
    </xf>
    <xf numFmtId="3" fontId="69" fillId="0" borderId="19" xfId="0" applyNumberFormat="1" applyFont="1" applyBorder="1" applyAlignment="1">
      <alignment horizontal="right"/>
    </xf>
    <xf numFmtId="1" fontId="1" fillId="0" borderId="15" xfId="0" applyNumberFormat="1" applyFont="1" applyBorder="1"/>
    <xf numFmtId="1" fontId="69" fillId="0" borderId="0" xfId="0" applyNumberFormat="1" applyFont="1" applyAlignment="1">
      <alignment horizontal="right"/>
    </xf>
    <xf numFmtId="1" fontId="69" fillId="0" borderId="19" xfId="0" applyNumberFormat="1" applyFont="1" applyBorder="1" applyAlignment="1">
      <alignment horizontal="right"/>
    </xf>
    <xf numFmtId="165" fontId="71" fillId="0" borderId="15" xfId="0" applyNumberFormat="1" applyFont="1" applyBorder="1"/>
    <xf numFmtId="3" fontId="5" fillId="0" borderId="0" xfId="0" applyNumberFormat="1" applyFont="1" applyAlignment="1">
      <alignment horizontal="right"/>
    </xf>
    <xf numFmtId="175" fontId="1" fillId="0" borderId="0" xfId="0" applyNumberFormat="1" applyFont="1"/>
    <xf numFmtId="3" fontId="57" fillId="0" borderId="0" xfId="0" applyNumberFormat="1" applyFont="1" applyAlignment="1">
      <alignment horizontal="right"/>
    </xf>
    <xf numFmtId="3" fontId="57" fillId="0" borderId="19" xfId="0" applyNumberFormat="1" applyFont="1" applyBorder="1" applyAlignment="1">
      <alignment horizontal="right"/>
    </xf>
    <xf numFmtId="166" fontId="1" fillId="0" borderId="0" xfId="0" applyNumberFormat="1" applyFont="1"/>
    <xf numFmtId="3" fontId="70" fillId="0" borderId="0" xfId="0" applyNumberFormat="1" applyFont="1" applyAlignment="1">
      <alignment horizontal="right"/>
    </xf>
    <xf numFmtId="166" fontId="1" fillId="0" borderId="19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0" xfId="1" applyNumberFormat="1" applyFont="1" applyFill="1" applyAlignment="1">
      <alignment horizontal="right"/>
    </xf>
    <xf numFmtId="166" fontId="73" fillId="0" borderId="0" xfId="0" quotePrefix="1" applyNumberFormat="1" applyFont="1" applyAlignment="1">
      <alignment horizontal="right"/>
    </xf>
    <xf numFmtId="166" fontId="73" fillId="0" borderId="19" xfId="0" quotePrefix="1" applyNumberFormat="1" applyFont="1" applyBorder="1" applyAlignment="1">
      <alignment horizontal="right"/>
    </xf>
    <xf numFmtId="3" fontId="5" fillId="0" borderId="0" xfId="0" applyNumberFormat="1" applyFont="1"/>
    <xf numFmtId="3" fontId="1" fillId="0" borderId="0" xfId="1" applyNumberFormat="1" applyFont="1" applyFill="1" applyAlignment="1"/>
    <xf numFmtId="37" fontId="1" fillId="0" borderId="16" xfId="0" applyNumberFormat="1" applyFont="1" applyBorder="1"/>
    <xf numFmtId="37" fontId="69" fillId="0" borderId="15" xfId="0" applyNumberFormat="1" applyFont="1" applyBorder="1"/>
    <xf numFmtId="37" fontId="69" fillId="0" borderId="15" xfId="0" applyNumberFormat="1" applyFont="1" applyBorder="1" applyAlignment="1">
      <alignment horizontal="right"/>
    </xf>
    <xf numFmtId="37" fontId="69" fillId="0" borderId="19" xfId="0" applyNumberFormat="1" applyFont="1" applyBorder="1" applyAlignment="1">
      <alignment horizontal="right"/>
    </xf>
    <xf numFmtId="37" fontId="69" fillId="0" borderId="0" xfId="0" applyNumberFormat="1" applyFont="1" applyAlignment="1">
      <alignment horizontal="right"/>
    </xf>
    <xf numFmtId="37" fontId="57" fillId="0" borderId="0" xfId="0" applyNumberFormat="1" applyFont="1" applyAlignment="1">
      <alignment horizontal="right"/>
    </xf>
    <xf numFmtId="37" fontId="69" fillId="0" borderId="0" xfId="0" applyNumberFormat="1" applyFont="1"/>
    <xf numFmtId="37" fontId="5" fillId="0" borderId="0" xfId="0" applyNumberFormat="1" applyFont="1"/>
    <xf numFmtId="37" fontId="69" fillId="0" borderId="0" xfId="1" applyNumberFormat="1" applyFont="1" applyFill="1" applyAlignment="1"/>
    <xf numFmtId="166" fontId="1" fillId="0" borderId="19" xfId="0" quotePrefix="1" applyNumberFormat="1" applyFont="1" applyBorder="1" applyAlignment="1">
      <alignment horizontal="right"/>
    </xf>
    <xf numFmtId="2" fontId="73" fillId="0" borderId="0" xfId="1" applyNumberFormat="1" applyFont="1" applyFill="1" applyAlignment="1"/>
    <xf numFmtId="165" fontId="73" fillId="0" borderId="0" xfId="0" applyNumberFormat="1" applyFont="1"/>
    <xf numFmtId="166" fontId="69" fillId="0" borderId="0" xfId="1" applyNumberFormat="1" applyFont="1" applyFill="1" applyAlignment="1"/>
    <xf numFmtId="3" fontId="73" fillId="0" borderId="0" xfId="0" applyNumberFormat="1" applyFont="1"/>
    <xf numFmtId="3" fontId="57" fillId="0" borderId="0" xfId="0" applyNumberFormat="1" applyFont="1"/>
    <xf numFmtId="3" fontId="73" fillId="0" borderId="0" xfId="1" applyNumberFormat="1" applyFont="1" applyFill="1" applyAlignment="1"/>
    <xf numFmtId="0" fontId="5" fillId="0" borderId="0" xfId="0" applyFont="1"/>
    <xf numFmtId="166" fontId="1" fillId="0" borderId="0" xfId="0" quotePrefix="1" applyNumberFormat="1" applyFont="1" applyAlignment="1">
      <alignment horizontal="right"/>
    </xf>
    <xf numFmtId="166" fontId="75" fillId="0" borderId="0" xfId="1" applyNumberFormat="1" applyFont="1" applyFill="1"/>
    <xf numFmtId="166" fontId="73" fillId="0" borderId="16" xfId="1" quotePrefix="1" applyNumberFormat="1" applyFont="1" applyFill="1" applyBorder="1" applyAlignment="1">
      <alignment horizontal="right"/>
    </xf>
    <xf numFmtId="9" fontId="80" fillId="0" borderId="0" xfId="0" applyNumberFormat="1" applyFont="1"/>
    <xf numFmtId="341" fontId="73" fillId="0" borderId="19" xfId="1" quotePrefix="1" applyNumberFormat="1" applyFont="1" applyFill="1" applyBorder="1" applyAlignment="1">
      <alignment horizontal="right"/>
    </xf>
    <xf numFmtId="3" fontId="69" fillId="0" borderId="16" xfId="0" applyNumberFormat="1" applyFont="1" applyBorder="1"/>
    <xf numFmtId="3" fontId="257" fillId="0" borderId="0" xfId="0" applyNumberFormat="1" applyFont="1"/>
    <xf numFmtId="3" fontId="257" fillId="0" borderId="0" xfId="1" applyNumberFormat="1" applyFont="1" applyFill="1" applyAlignment="1"/>
    <xf numFmtId="167" fontId="73" fillId="0" borderId="0" xfId="0" applyNumberFormat="1" applyFont="1"/>
    <xf numFmtId="344" fontId="5" fillId="0" borderId="0" xfId="0" applyNumberFormat="1" applyFont="1"/>
    <xf numFmtId="3" fontId="1" fillId="0" borderId="15" xfId="0" quotePrefix="1" applyNumberFormat="1" applyFont="1" applyBorder="1" applyAlignment="1">
      <alignment horizontal="right"/>
    </xf>
    <xf numFmtId="3" fontId="76" fillId="0" borderId="0" xfId="0" applyNumberFormat="1" applyFont="1" applyAlignment="1">
      <alignment horizontal="right"/>
    </xf>
    <xf numFmtId="3" fontId="69" fillId="0" borderId="15" xfId="0" applyNumberFormat="1" applyFont="1" applyBorder="1" applyAlignment="1">
      <alignment horizontal="right"/>
    </xf>
    <xf numFmtId="165" fontId="1" fillId="0" borderId="0" xfId="0" quotePrefix="1" applyNumberFormat="1" applyFont="1" applyAlignment="1">
      <alignment horizontal="right"/>
    </xf>
    <xf numFmtId="165" fontId="1" fillId="0" borderId="19" xfId="0" quotePrefix="1" applyNumberFormat="1" applyFont="1" applyBorder="1" applyAlignment="1">
      <alignment horizontal="right"/>
    </xf>
    <xf numFmtId="165" fontId="5" fillId="0" borderId="0" xfId="0" quotePrefix="1" applyNumberFormat="1" applyFont="1" applyAlignment="1">
      <alignment horizontal="right"/>
    </xf>
    <xf numFmtId="165" fontId="73" fillId="0" borderId="15" xfId="0" applyNumberFormat="1" applyFont="1" applyBorder="1"/>
    <xf numFmtId="175" fontId="5" fillId="0" borderId="0" xfId="0" applyNumberFormat="1" applyFont="1"/>
    <xf numFmtId="3" fontId="1" fillId="0" borderId="28" xfId="0" applyNumberFormat="1" applyFont="1" applyBorder="1"/>
    <xf numFmtId="3" fontId="1" fillId="0" borderId="1" xfId="0" applyNumberFormat="1" applyFont="1" applyBorder="1" applyAlignment="1">
      <alignment horizontal="right"/>
    </xf>
    <xf numFmtId="3" fontId="1" fillId="0" borderId="27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33" xfId="0" applyNumberFormat="1" applyFont="1" applyBorder="1" applyAlignment="1">
      <alignment horizontal="right"/>
    </xf>
    <xf numFmtId="205" fontId="1" fillId="0" borderId="0" xfId="0" applyNumberFormat="1" applyFont="1"/>
    <xf numFmtId="3" fontId="5" fillId="0" borderId="2" xfId="0" applyNumberFormat="1" applyFont="1" applyBorder="1" applyAlignment="1">
      <alignment horizontal="right"/>
    </xf>
    <xf numFmtId="4" fontId="1" fillId="0" borderId="15" xfId="0" applyNumberFormat="1" applyFont="1" applyBorder="1"/>
    <xf numFmtId="4" fontId="1" fillId="0" borderId="19" xfId="0" applyNumberFormat="1" applyFont="1" applyBorder="1" applyAlignment="1">
      <alignment horizontal="right"/>
    </xf>
    <xf numFmtId="4" fontId="76" fillId="0" borderId="0" xfId="0" applyNumberFormat="1" applyFont="1" applyAlignment="1">
      <alignment horizontal="right"/>
    </xf>
    <xf numFmtId="4" fontId="69" fillId="0" borderId="15" xfId="0" applyNumberFormat="1" applyFont="1" applyBorder="1"/>
    <xf numFmtId="4" fontId="69" fillId="0" borderId="0" xfId="0" applyNumberFormat="1" applyFont="1" applyAlignment="1">
      <alignment horizontal="right"/>
    </xf>
    <xf numFmtId="4" fontId="69" fillId="0" borderId="19" xfId="0" applyNumberFormat="1" applyFont="1" applyBorder="1" applyAlignment="1">
      <alignment horizontal="right"/>
    </xf>
    <xf numFmtId="206" fontId="69" fillId="0" borderId="0" xfId="0" applyNumberFormat="1" applyFont="1" applyAlignment="1">
      <alignment horizontal="right"/>
    </xf>
    <xf numFmtId="10" fontId="69" fillId="0" borderId="0" xfId="0" applyNumberFormat="1" applyFont="1" applyAlignment="1">
      <alignment horizontal="right"/>
    </xf>
    <xf numFmtId="204" fontId="73" fillId="0" borderId="0" xfId="0" applyNumberFormat="1" applyFont="1"/>
    <xf numFmtId="9" fontId="73" fillId="0" borderId="0" xfId="0" applyNumberFormat="1" applyFont="1"/>
    <xf numFmtId="4" fontId="74" fillId="0" borderId="0" xfId="0" applyNumberFormat="1" applyFont="1" applyAlignment="1">
      <alignment horizontal="right"/>
    </xf>
    <xf numFmtId="4" fontId="74" fillId="0" borderId="19" xfId="0" applyNumberFormat="1" applyFont="1" applyBorder="1" applyAlignment="1">
      <alignment horizontal="right"/>
    </xf>
    <xf numFmtId="4" fontId="72" fillId="0" borderId="19" xfId="0" applyNumberFormat="1" applyFont="1" applyBorder="1" applyAlignment="1">
      <alignment horizontal="right"/>
    </xf>
    <xf numFmtId="205" fontId="72" fillId="0" borderId="19" xfId="0" applyNumberFormat="1" applyFont="1" applyBorder="1" applyAlignment="1">
      <alignment horizontal="right"/>
    </xf>
    <xf numFmtId="4" fontId="72" fillId="0" borderId="0" xfId="0" applyNumberFormat="1" applyFont="1" applyAlignment="1">
      <alignment horizontal="right"/>
    </xf>
    <xf numFmtId="343" fontId="72" fillId="0" borderId="19" xfId="0" applyNumberFormat="1" applyFont="1" applyBorder="1" applyAlignment="1">
      <alignment horizontal="right"/>
    </xf>
    <xf numFmtId="165" fontId="71" fillId="0" borderId="0" xfId="0" applyNumberFormat="1" applyFont="1" applyAlignment="1">
      <alignment horizontal="right"/>
    </xf>
    <xf numFmtId="165" fontId="71" fillId="0" borderId="19" xfId="0" applyNumberFormat="1" applyFont="1" applyBorder="1" applyAlignment="1">
      <alignment horizontal="right"/>
    </xf>
    <xf numFmtId="205" fontId="1" fillId="0" borderId="19" xfId="0" applyNumberFormat="1" applyFont="1" applyBorder="1" applyAlignment="1">
      <alignment horizontal="right"/>
    </xf>
    <xf numFmtId="3" fontId="5" fillId="0" borderId="0" xfId="0" quotePrefix="1" applyNumberFormat="1" applyFont="1" applyAlignment="1">
      <alignment horizontal="right"/>
    </xf>
    <xf numFmtId="170" fontId="73" fillId="0" borderId="16" xfId="0" applyNumberFormat="1" applyFont="1" applyBorder="1"/>
    <xf numFmtId="170" fontId="81" fillId="0" borderId="15" xfId="0" applyNumberFormat="1" applyFont="1" applyBorder="1"/>
    <xf numFmtId="170" fontId="81" fillId="0" borderId="0" xfId="0" applyNumberFormat="1" applyFont="1" applyAlignment="1">
      <alignment horizontal="right"/>
    </xf>
    <xf numFmtId="170" fontId="81" fillId="0" borderId="19" xfId="0" applyNumberFormat="1" applyFont="1" applyBorder="1" applyAlignment="1">
      <alignment horizontal="right"/>
    </xf>
    <xf numFmtId="170" fontId="81" fillId="0" borderId="0" xfId="0" applyNumberFormat="1" applyFont="1"/>
    <xf numFmtId="165" fontId="1" fillId="0" borderId="19" xfId="0" applyNumberFormat="1" applyFont="1" applyBorder="1"/>
    <xf numFmtId="3" fontId="1" fillId="0" borderId="19" xfId="0" applyNumberFormat="1" applyFont="1" applyBorder="1"/>
    <xf numFmtId="3" fontId="69" fillId="0" borderId="19" xfId="0" applyNumberFormat="1" applyFont="1" applyBorder="1"/>
    <xf numFmtId="165" fontId="70" fillId="0" borderId="19" xfId="0" applyNumberFormat="1" applyFont="1" applyBorder="1"/>
    <xf numFmtId="41" fontId="72" fillId="0" borderId="0" xfId="0" applyNumberFormat="1" applyFont="1" applyAlignment="1">
      <alignment horizontal="right"/>
    </xf>
    <xf numFmtId="41" fontId="72" fillId="0" borderId="19" xfId="0" applyNumberFormat="1" applyFont="1" applyBorder="1" applyAlignment="1">
      <alignment horizontal="right"/>
    </xf>
    <xf numFmtId="41" fontId="70" fillId="0" borderId="0" xfId="0" applyNumberFormat="1" applyFont="1" applyAlignment="1">
      <alignment horizontal="right"/>
    </xf>
    <xf numFmtId="41" fontId="70" fillId="0" borderId="19" xfId="0" applyNumberFormat="1" applyFont="1" applyBorder="1" applyAlignment="1">
      <alignment horizontal="right"/>
    </xf>
    <xf numFmtId="345" fontId="70" fillId="0" borderId="0" xfId="0" applyNumberFormat="1" applyFont="1" applyAlignment="1">
      <alignment horizontal="right"/>
    </xf>
    <xf numFmtId="346" fontId="70" fillId="0" borderId="0" xfId="0" applyNumberFormat="1" applyFont="1" applyAlignment="1">
      <alignment horizontal="right"/>
    </xf>
    <xf numFmtId="165" fontId="72" fillId="0" borderId="19" xfId="0" applyNumberFormat="1" applyFont="1" applyBorder="1"/>
    <xf numFmtId="4" fontId="70" fillId="0" borderId="0" xfId="0" applyNumberFormat="1" applyFont="1" applyAlignment="1">
      <alignment horizontal="right"/>
    </xf>
    <xf numFmtId="3" fontId="5" fillId="0" borderId="19" xfId="0" applyNumberFormat="1" applyFont="1" applyBorder="1"/>
    <xf numFmtId="165" fontId="5" fillId="0" borderId="19" xfId="0" applyNumberFormat="1" applyFont="1" applyBorder="1"/>
    <xf numFmtId="166" fontId="5" fillId="0" borderId="0" xfId="0" applyNumberFormat="1" applyFont="1" applyAlignment="1">
      <alignment horizontal="right"/>
    </xf>
    <xf numFmtId="166" fontId="70" fillId="0" borderId="19" xfId="0" applyNumberFormat="1" applyFont="1" applyBorder="1" applyAlignment="1">
      <alignment horizontal="right"/>
    </xf>
    <xf numFmtId="165" fontId="69" fillId="0" borderId="19" xfId="0" applyNumberFormat="1" applyFont="1" applyBorder="1"/>
    <xf numFmtId="168" fontId="1" fillId="0" borderId="0" xfId="0" applyNumberFormat="1" applyFont="1" applyAlignment="1">
      <alignment horizontal="right"/>
    </xf>
    <xf numFmtId="168" fontId="1" fillId="0" borderId="19" xfId="0" applyNumberFormat="1" applyFont="1" applyBorder="1" applyAlignment="1">
      <alignment horizontal="right"/>
    </xf>
    <xf numFmtId="169" fontId="1" fillId="0" borderId="0" xfId="0" quotePrefix="1" applyNumberFormat="1" applyFont="1" applyAlignment="1">
      <alignment horizontal="right"/>
    </xf>
    <xf numFmtId="169" fontId="1" fillId="0" borderId="19" xfId="0" quotePrefix="1" applyNumberFormat="1" applyFont="1" applyBorder="1" applyAlignment="1">
      <alignment horizontal="right"/>
    </xf>
    <xf numFmtId="169" fontId="1" fillId="0" borderId="16" xfId="0" applyNumberFormat="1" applyFont="1" applyBorder="1"/>
    <xf numFmtId="169" fontId="1" fillId="0" borderId="19" xfId="0" applyNumberFormat="1" applyFont="1" applyBorder="1"/>
    <xf numFmtId="169" fontId="1" fillId="0" borderId="0" xfId="0" applyNumberFormat="1" applyFont="1"/>
    <xf numFmtId="171" fontId="1" fillId="0" borderId="19" xfId="0" quotePrefix="1" applyNumberFormat="1" applyFont="1" applyBorder="1" applyAlignment="1">
      <alignment horizontal="right"/>
    </xf>
    <xf numFmtId="171" fontId="1" fillId="0" borderId="0" xfId="0" quotePrefix="1" applyNumberFormat="1" applyFont="1" applyAlignment="1">
      <alignment horizontal="right"/>
    </xf>
    <xf numFmtId="170" fontId="69" fillId="0" borderId="0" xfId="0" applyNumberFormat="1" applyFont="1" applyAlignment="1">
      <alignment horizontal="right"/>
    </xf>
    <xf numFmtId="165" fontId="5" fillId="0" borderId="19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69" fontId="5" fillId="0" borderId="19" xfId="0" quotePrefix="1" applyNumberFormat="1" applyFont="1" applyBorder="1" applyAlignment="1">
      <alignment horizontal="right"/>
    </xf>
    <xf numFmtId="169" fontId="5" fillId="0" borderId="0" xfId="0" quotePrefix="1" applyNumberFormat="1" applyFont="1" applyAlignment="1">
      <alignment horizontal="right"/>
    </xf>
    <xf numFmtId="165" fontId="5" fillId="0" borderId="19" xfId="0" quotePrefix="1" applyNumberFormat="1" applyFont="1" applyBorder="1" applyAlignment="1">
      <alignment horizontal="right"/>
    </xf>
    <xf numFmtId="165" fontId="69" fillId="0" borderId="0" xfId="0" quotePrefix="1" applyNumberFormat="1" applyFont="1" applyAlignment="1">
      <alignment horizontal="right"/>
    </xf>
    <xf numFmtId="165" fontId="57" fillId="0" borderId="19" xfId="0" quotePrefix="1" applyNumberFormat="1" applyFont="1" applyBorder="1" applyAlignment="1">
      <alignment horizontal="right"/>
    </xf>
    <xf numFmtId="165" fontId="57" fillId="0" borderId="0" xfId="0" quotePrefix="1" applyNumberFormat="1" applyFont="1" applyAlignment="1">
      <alignment horizontal="right"/>
    </xf>
    <xf numFmtId="341" fontId="73" fillId="0" borderId="0" xfId="1" quotePrefix="1" applyNumberFormat="1" applyFont="1" applyFill="1" applyBorder="1" applyAlignment="1">
      <alignment horizontal="right"/>
    </xf>
    <xf numFmtId="3" fontId="57" fillId="0" borderId="19" xfId="0" quotePrefix="1" applyNumberFormat="1" applyFont="1" applyBorder="1" applyAlignment="1">
      <alignment horizontal="right"/>
    </xf>
    <xf numFmtId="3" fontId="57" fillId="0" borderId="0" xfId="0" quotePrefix="1" applyNumberFormat="1" applyFont="1" applyAlignment="1">
      <alignment horizontal="right"/>
    </xf>
    <xf numFmtId="165" fontId="1" fillId="0" borderId="27" xfId="0" applyNumberFormat="1" applyFont="1" applyBorder="1" applyAlignment="1">
      <alignment horizontal="right"/>
    </xf>
    <xf numFmtId="3" fontId="1" fillId="0" borderId="0" xfId="1" quotePrefix="1" applyNumberFormat="1" applyFont="1" applyFill="1" applyBorder="1" applyAlignment="1">
      <alignment horizontal="right"/>
    </xf>
    <xf numFmtId="0" fontId="73" fillId="0" borderId="16" xfId="0" applyFont="1" applyBorder="1"/>
    <xf numFmtId="0" fontId="73" fillId="0" borderId="15" xfId="0" applyFont="1" applyBorder="1" applyAlignment="1">
      <alignment horizontal="left" indent="1"/>
    </xf>
    <xf numFmtId="166" fontId="73" fillId="0" borderId="19" xfId="0" applyNumberFormat="1" applyFont="1" applyBorder="1" applyAlignment="1">
      <alignment horizontal="right"/>
    </xf>
    <xf numFmtId="0" fontId="73" fillId="0" borderId="15" xfId="0" applyFont="1" applyBorder="1"/>
    <xf numFmtId="3" fontId="1" fillId="0" borderId="2" xfId="0" quotePrefix="1" applyNumberFormat="1" applyFont="1" applyBorder="1" applyAlignment="1">
      <alignment horizontal="right"/>
    </xf>
    <xf numFmtId="3" fontId="1" fillId="0" borderId="11" xfId="0" quotePrefix="1" applyNumberFormat="1" applyFont="1" applyBorder="1" applyAlignment="1">
      <alignment horizontal="right"/>
    </xf>
    <xf numFmtId="3" fontId="1" fillId="0" borderId="2" xfId="1" quotePrefix="1" applyNumberFormat="1" applyFont="1" applyFill="1" applyBorder="1" applyAlignment="1">
      <alignment horizontal="right"/>
    </xf>
    <xf numFmtId="3" fontId="5" fillId="0" borderId="2" xfId="0" quotePrefix="1" applyNumberFormat="1" applyFont="1" applyBorder="1" applyAlignment="1">
      <alignment horizontal="right"/>
    </xf>
    <xf numFmtId="166" fontId="5" fillId="0" borderId="0" xfId="0" quotePrefix="1" applyNumberFormat="1" applyFont="1" applyAlignment="1">
      <alignment horizontal="right"/>
    </xf>
    <xf numFmtId="166" fontId="57" fillId="0" borderId="19" xfId="0" quotePrefix="1" applyNumberFormat="1" applyFont="1" applyBorder="1" applyAlignment="1">
      <alignment horizontal="right"/>
    </xf>
    <xf numFmtId="166" fontId="57" fillId="0" borderId="0" xfId="0" quotePrefix="1" applyNumberFormat="1" applyFont="1" applyAlignment="1">
      <alignment horizontal="right"/>
    </xf>
    <xf numFmtId="167" fontId="5" fillId="0" borderId="0" xfId="0" quotePrefix="1" applyNumberFormat="1" applyFont="1" applyAlignment="1">
      <alignment horizontal="right"/>
    </xf>
    <xf numFmtId="167" fontId="5" fillId="0" borderId="19" xfId="0" quotePrefix="1" applyNumberFormat="1" applyFont="1" applyBorder="1" applyAlignment="1">
      <alignment horizontal="right"/>
    </xf>
    <xf numFmtId="167" fontId="1" fillId="0" borderId="19" xfId="0" applyNumberFormat="1" applyFont="1" applyBorder="1"/>
    <xf numFmtId="166" fontId="5" fillId="0" borderId="19" xfId="0" quotePrefix="1" applyNumberFormat="1" applyFont="1" applyBorder="1" applyAlignment="1">
      <alignment horizontal="right"/>
    </xf>
    <xf numFmtId="165" fontId="1" fillId="0" borderId="19" xfId="0" quotePrefix="1" applyNumberFormat="1" applyFont="1" applyBorder="1"/>
    <xf numFmtId="165" fontId="1" fillId="0" borderId="11" xfId="0" applyNumberFormat="1" applyFont="1" applyBorder="1"/>
    <xf numFmtId="166" fontId="5" fillId="0" borderId="2" xfId="0" quotePrefix="1" applyNumberFormat="1" applyFont="1" applyBorder="1" applyAlignment="1">
      <alignment horizontal="right"/>
    </xf>
    <xf numFmtId="166" fontId="5" fillId="0" borderId="11" xfId="0" quotePrefix="1" applyNumberFormat="1" applyFont="1" applyBorder="1" applyAlignment="1">
      <alignment horizontal="right"/>
    </xf>
    <xf numFmtId="168" fontId="5" fillId="0" borderId="0" xfId="0" applyNumberFormat="1" applyFont="1" applyAlignment="1">
      <alignment horizontal="right"/>
    </xf>
    <xf numFmtId="168" fontId="76" fillId="0" borderId="0" xfId="0" applyNumberFormat="1" applyFont="1" applyAlignment="1">
      <alignment horizontal="right"/>
    </xf>
    <xf numFmtId="168" fontId="1" fillId="0" borderId="0" xfId="0" quotePrefix="1" applyNumberFormat="1" applyFont="1" applyAlignment="1">
      <alignment horizontal="right"/>
    </xf>
    <xf numFmtId="168" fontId="1" fillId="0" borderId="19" xfId="0" quotePrefix="1" applyNumberFormat="1" applyFont="1" applyBorder="1" applyAlignment="1">
      <alignment horizontal="right"/>
    </xf>
    <xf numFmtId="165" fontId="76" fillId="0" borderId="0" xfId="0" applyNumberFormat="1" applyFont="1" applyAlignment="1">
      <alignment horizontal="right"/>
    </xf>
    <xf numFmtId="165" fontId="76" fillId="0" borderId="19" xfId="0" applyNumberFormat="1" applyFont="1" applyBorder="1" applyAlignment="1">
      <alignment horizontal="right"/>
    </xf>
    <xf numFmtId="165" fontId="1" fillId="0" borderId="17" xfId="0" applyNumberFormat="1" applyFont="1" applyBorder="1"/>
    <xf numFmtId="165" fontId="1" fillId="0" borderId="2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70" fontId="1" fillId="0" borderId="0" xfId="0" applyNumberFormat="1" applyFont="1"/>
    <xf numFmtId="166" fontId="1" fillId="0" borderId="0" xfId="1" applyNumberFormat="1" applyFont="1" applyFill="1"/>
    <xf numFmtId="166" fontId="69" fillId="0" borderId="0" xfId="0" quotePrefix="1" applyNumberFormat="1" applyFont="1" applyAlignment="1">
      <alignment horizontal="right"/>
    </xf>
    <xf numFmtId="166" fontId="69" fillId="0" borderId="19" xfId="0" quotePrefix="1" applyNumberFormat="1" applyFont="1" applyBorder="1" applyAlignment="1">
      <alignment horizontal="right"/>
    </xf>
    <xf numFmtId="166" fontId="73" fillId="0" borderId="0" xfId="0" applyNumberFormat="1" applyFont="1" applyAlignment="1">
      <alignment horizontal="right"/>
    </xf>
    <xf numFmtId="0" fontId="69" fillId="0" borderId="0" xfId="0" applyFont="1" applyAlignment="1">
      <alignment horizontal="right"/>
    </xf>
    <xf numFmtId="9" fontId="1" fillId="0" borderId="0" xfId="0" applyNumberFormat="1" applyFont="1"/>
    <xf numFmtId="166" fontId="1" fillId="0" borderId="16" xfId="0" applyNumberFormat="1" applyFont="1" applyBorder="1"/>
    <xf numFmtId="166" fontId="73" fillId="0" borderId="15" xfId="1" applyNumberFormat="1" applyFont="1" applyFill="1" applyBorder="1" applyAlignment="1">
      <alignment horizontal="left" indent="1"/>
    </xf>
    <xf numFmtId="166" fontId="257" fillId="0" borderId="0" xfId="0" quotePrefix="1" applyNumberFormat="1" applyFont="1" applyAlignment="1">
      <alignment horizontal="right"/>
    </xf>
    <xf numFmtId="166" fontId="257" fillId="0" borderId="19" xfId="0" quotePrefix="1" applyNumberFormat="1" applyFont="1" applyBorder="1" applyAlignment="1">
      <alignment horizontal="right"/>
    </xf>
    <xf numFmtId="166" fontId="73" fillId="0" borderId="0" xfId="1" applyNumberFormat="1" applyFont="1" applyFill="1"/>
    <xf numFmtId="166" fontId="73" fillId="0" borderId="0" xfId="0" applyNumberFormat="1" applyFont="1"/>
    <xf numFmtId="9" fontId="1" fillId="0" borderId="0" xfId="1" applyFont="1" applyFill="1"/>
    <xf numFmtId="0" fontId="1" fillId="0" borderId="22" xfId="0" applyFont="1" applyBorder="1"/>
    <xf numFmtId="3" fontId="1" fillId="0" borderId="23" xfId="0" quotePrefix="1" applyNumberFormat="1" applyFont="1" applyBorder="1" applyAlignment="1">
      <alignment horizontal="right"/>
    </xf>
    <xf numFmtId="3" fontId="1" fillId="0" borderId="20" xfId="0" quotePrefix="1" applyNumberFormat="1" applyFont="1" applyBorder="1" applyAlignment="1">
      <alignment horizontal="right"/>
    </xf>
    <xf numFmtId="3" fontId="1" fillId="0" borderId="20" xfId="0" applyNumberFormat="1" applyFont="1" applyBorder="1" applyAlignment="1">
      <alignment horizontal="right"/>
    </xf>
    <xf numFmtId="3" fontId="1" fillId="0" borderId="23" xfId="0" applyNumberFormat="1" applyFont="1" applyBorder="1" applyAlignment="1">
      <alignment horizontal="right"/>
    </xf>
    <xf numFmtId="9" fontId="73" fillId="0" borderId="15" xfId="1" applyFont="1" applyFill="1" applyBorder="1" applyAlignment="1">
      <alignment horizontal="left" indent="1"/>
    </xf>
    <xf numFmtId="166" fontId="69" fillId="0" borderId="19" xfId="0" applyNumberFormat="1" applyFont="1" applyBorder="1" applyAlignment="1">
      <alignment horizontal="right"/>
    </xf>
    <xf numFmtId="166" fontId="69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69" fillId="0" borderId="19" xfId="0" applyFont="1" applyBorder="1" applyAlignment="1">
      <alignment horizontal="right"/>
    </xf>
    <xf numFmtId="3" fontId="73" fillId="0" borderId="0" xfId="0" quotePrefix="1" applyNumberFormat="1" applyFont="1" applyAlignment="1">
      <alignment horizontal="right"/>
    </xf>
    <xf numFmtId="3" fontId="73" fillId="0" borderId="0" xfId="0" applyNumberFormat="1" applyFont="1" applyAlignment="1">
      <alignment horizontal="right"/>
    </xf>
    <xf numFmtId="3" fontId="73" fillId="0" borderId="19" xfId="0" applyNumberFormat="1" applyFont="1" applyBorder="1" applyAlignment="1">
      <alignment horizontal="right"/>
    </xf>
    <xf numFmtId="9" fontId="73" fillId="0" borderId="0" xfId="1" applyFont="1" applyFill="1"/>
    <xf numFmtId="9" fontId="73" fillId="0" borderId="15" xfId="1" applyFont="1" applyFill="1" applyBorder="1" applyAlignment="1">
      <alignment horizontal="left" indent="3"/>
    </xf>
    <xf numFmtId="9" fontId="73" fillId="0" borderId="15" xfId="0" applyNumberFormat="1" applyFont="1" applyBorder="1" applyAlignment="1">
      <alignment horizontal="left" indent="1"/>
    </xf>
    <xf numFmtId="0" fontId="73" fillId="0" borderId="0" xfId="0" quotePrefix="1" applyFont="1" applyAlignment="1">
      <alignment horizontal="right"/>
    </xf>
    <xf numFmtId="0" fontId="73" fillId="0" borderId="0" xfId="0" applyFont="1" applyAlignment="1">
      <alignment horizontal="right"/>
    </xf>
    <xf numFmtId="0" fontId="73" fillId="0" borderId="19" xfId="0" applyFont="1" applyBorder="1" applyAlignment="1">
      <alignment horizontal="right"/>
    </xf>
    <xf numFmtId="3" fontId="1" fillId="0" borderId="15" xfId="0" applyNumberFormat="1" applyFont="1" applyBorder="1" applyAlignment="1">
      <alignment horizontal="left"/>
    </xf>
    <xf numFmtId="166" fontId="73" fillId="0" borderId="16" xfId="0" applyNumberFormat="1" applyFont="1" applyBorder="1"/>
    <xf numFmtId="166" fontId="73" fillId="0" borderId="15" xfId="0" applyNumberFormat="1" applyFont="1" applyBorder="1" applyAlignment="1">
      <alignment horizontal="left" indent="1"/>
    </xf>
    <xf numFmtId="166" fontId="75" fillId="0" borderId="0" xfId="0" applyNumberFormat="1" applyFont="1" applyAlignment="1">
      <alignment horizontal="right"/>
    </xf>
    <xf numFmtId="0" fontId="1" fillId="0" borderId="15" xfId="0" applyFont="1" applyBorder="1" applyAlignment="1">
      <alignment horizontal="left" indent="1"/>
    </xf>
    <xf numFmtId="9" fontId="1" fillId="0" borderId="15" xfId="1" applyFont="1" applyFill="1" applyBorder="1"/>
    <xf numFmtId="9" fontId="73" fillId="0" borderId="0" xfId="1" quotePrefix="1" applyFont="1" applyFill="1" applyBorder="1" applyAlignment="1">
      <alignment horizontal="right"/>
    </xf>
    <xf numFmtId="9" fontId="70" fillId="0" borderId="0" xfId="1" quotePrefix="1" applyFont="1" applyFill="1" applyBorder="1" applyAlignment="1">
      <alignment horizontal="right"/>
    </xf>
    <xf numFmtId="3" fontId="73" fillId="0" borderId="15" xfId="0" applyNumberFormat="1" applyFont="1" applyBorder="1"/>
    <xf numFmtId="0" fontId="69" fillId="0" borderId="16" xfId="0" applyFont="1" applyBorder="1"/>
    <xf numFmtId="9" fontId="69" fillId="0" borderId="0" xfId="1" applyFont="1" applyFill="1" applyBorder="1" applyAlignment="1">
      <alignment horizontal="right"/>
    </xf>
    <xf numFmtId="165" fontId="69" fillId="0" borderId="15" xfId="0" applyNumberFormat="1" applyFont="1" applyBorder="1" applyAlignment="1">
      <alignment horizontal="left" indent="1"/>
    </xf>
    <xf numFmtId="0" fontId="69" fillId="0" borderId="15" xfId="0" applyFont="1" applyBorder="1" applyAlignment="1">
      <alignment horizontal="left"/>
    </xf>
    <xf numFmtId="166" fontId="73" fillId="0" borderId="16" xfId="1" applyNumberFormat="1" applyFont="1" applyFill="1" applyBorder="1"/>
    <xf numFmtId="347" fontId="73" fillId="0" borderId="0" xfId="0" quotePrefix="1" applyNumberFormat="1" applyFont="1" applyAlignment="1">
      <alignment horizontal="right"/>
    </xf>
    <xf numFmtId="2" fontId="73" fillId="0" borderId="15" xfId="0" applyNumberFormat="1" applyFont="1" applyBorder="1" applyAlignment="1">
      <alignment horizontal="left" indent="1"/>
    </xf>
    <xf numFmtId="347" fontId="73" fillId="0" borderId="19" xfId="0" applyNumberFormat="1" applyFont="1" applyBorder="1" applyAlignment="1">
      <alignment horizontal="right"/>
    </xf>
    <xf numFmtId="347" fontId="73" fillId="0" borderId="0" xfId="0" applyNumberFormat="1" applyFont="1" applyAlignment="1">
      <alignment horizontal="right"/>
    </xf>
    <xf numFmtId="2" fontId="73" fillId="0" borderId="15" xfId="0" applyNumberFormat="1" applyFont="1" applyBorder="1" applyAlignment="1">
      <alignment horizontal="left" indent="2"/>
    </xf>
    <xf numFmtId="166" fontId="73" fillId="0" borderId="15" xfId="1" applyNumberFormat="1" applyFont="1" applyFill="1" applyBorder="1" applyAlignment="1">
      <alignment horizontal="left" indent="2"/>
    </xf>
    <xf numFmtId="341" fontId="73" fillId="0" borderId="19" xfId="0" applyNumberFormat="1" applyFont="1" applyBorder="1" applyAlignment="1">
      <alignment horizontal="right"/>
    </xf>
    <xf numFmtId="341" fontId="73" fillId="0" borderId="0" xfId="0" applyNumberFormat="1" applyFont="1" applyAlignment="1">
      <alignment horizontal="right"/>
    </xf>
    <xf numFmtId="341" fontId="73" fillId="0" borderId="0" xfId="0" quotePrefix="1" applyNumberFormat="1" applyFont="1" applyAlignment="1">
      <alignment horizontal="right"/>
    </xf>
    <xf numFmtId="2" fontId="73" fillId="0" borderId="0" xfId="0" applyNumberFormat="1" applyFont="1"/>
    <xf numFmtId="43" fontId="81" fillId="0" borderId="15" xfId="0" applyNumberFormat="1" applyFont="1" applyBorder="1" applyAlignment="1">
      <alignment horizontal="left" indent="1"/>
    </xf>
    <xf numFmtId="43" fontId="81" fillId="0" borderId="19" xfId="0" applyNumberFormat="1" applyFont="1" applyBorder="1" applyAlignment="1">
      <alignment horizontal="right"/>
    </xf>
    <xf numFmtId="43" fontId="81" fillId="0" borderId="0" xfId="0" applyNumberFormat="1" applyFont="1" applyAlignment="1">
      <alignment horizontal="right"/>
    </xf>
    <xf numFmtId="43" fontId="70" fillId="0" borderId="0" xfId="0" applyNumberFormat="1" applyFont="1" applyAlignment="1">
      <alignment horizontal="right"/>
    </xf>
    <xf numFmtId="43" fontId="70" fillId="0" borderId="19" xfId="0" applyNumberFormat="1" applyFont="1" applyBorder="1" applyAlignment="1">
      <alignment horizontal="right"/>
    </xf>
    <xf numFmtId="2" fontId="1" fillId="0" borderId="19" xfId="0" applyNumberFormat="1" applyFont="1" applyBorder="1" applyAlignment="1">
      <alignment horizontal="right"/>
    </xf>
    <xf numFmtId="166" fontId="258" fillId="0" borderId="0" xfId="1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6" fontId="75" fillId="0" borderId="19" xfId="0" applyNumberFormat="1" applyFont="1" applyBorder="1" applyAlignment="1">
      <alignment horizontal="right"/>
    </xf>
    <xf numFmtId="166" fontId="260" fillId="0" borderId="19" xfId="0" applyNumberFormat="1" applyFont="1" applyBorder="1" applyAlignment="1">
      <alignment horizontal="right"/>
    </xf>
    <xf numFmtId="3" fontId="75" fillId="0" borderId="0" xfId="1" applyNumberFormat="1" applyFont="1" applyFill="1" applyBorder="1" applyAlignment="1">
      <alignment horizontal="right"/>
    </xf>
    <xf numFmtId="166" fontId="259" fillId="0" borderId="0" xfId="0" applyNumberFormat="1" applyFont="1" applyAlignment="1">
      <alignment horizontal="right"/>
    </xf>
    <xf numFmtId="166" fontId="259" fillId="0" borderId="19" xfId="0" applyNumberFormat="1" applyFont="1" applyBorder="1" applyAlignment="1">
      <alignment horizontal="right"/>
    </xf>
    <xf numFmtId="0" fontId="1" fillId="0" borderId="0" xfId="0" quotePrefix="1" applyFont="1" applyAlignment="1">
      <alignment horizontal="right"/>
    </xf>
    <xf numFmtId="167" fontId="1" fillId="0" borderId="15" xfId="0" applyNumberFormat="1" applyFont="1" applyBorder="1"/>
    <xf numFmtId="167" fontId="1" fillId="0" borderId="19" xfId="0" applyNumberFormat="1" applyFont="1" applyBorder="1" applyAlignment="1">
      <alignment horizontal="right"/>
    </xf>
    <xf numFmtId="167" fontId="1" fillId="0" borderId="0" xfId="0" applyNumberFormat="1" applyFont="1" applyAlignment="1">
      <alignment horizontal="right"/>
    </xf>
    <xf numFmtId="166" fontId="1" fillId="0" borderId="0" xfId="1" quotePrefix="1" applyNumberFormat="1" applyFont="1" applyFill="1" applyAlignment="1">
      <alignment horizontal="right"/>
    </xf>
    <xf numFmtId="167" fontId="1" fillId="0" borderId="0" xfId="0" applyNumberFormat="1" applyFont="1"/>
    <xf numFmtId="167" fontId="73" fillId="0" borderId="0" xfId="0" applyNumberFormat="1" applyFont="1" applyAlignment="1">
      <alignment horizontal="right"/>
    </xf>
    <xf numFmtId="167" fontId="73" fillId="0" borderId="19" xfId="0" applyNumberFormat="1" applyFont="1" applyBorder="1" applyAlignment="1">
      <alignment horizontal="right"/>
    </xf>
    <xf numFmtId="347" fontId="73" fillId="0" borderId="19" xfId="0" quotePrefix="1" applyNumberFormat="1" applyFont="1" applyBorder="1" applyAlignment="1">
      <alignment horizontal="right"/>
    </xf>
    <xf numFmtId="0" fontId="73" fillId="0" borderId="15" xfId="0" applyFont="1" applyBorder="1" applyAlignment="1">
      <alignment horizontal="left" indent="2"/>
    </xf>
    <xf numFmtId="341" fontId="75" fillId="0" borderId="19" xfId="0" applyNumberFormat="1" applyFont="1" applyBorder="1" applyAlignment="1">
      <alignment horizontal="right"/>
    </xf>
    <xf numFmtId="341" fontId="75" fillId="0" borderId="0" xfId="0" applyNumberFormat="1" applyFont="1" applyAlignment="1">
      <alignment horizontal="right"/>
    </xf>
    <xf numFmtId="341" fontId="80" fillId="0" borderId="0" xfId="0" applyNumberFormat="1" applyFont="1" applyAlignment="1">
      <alignment horizontal="right"/>
    </xf>
    <xf numFmtId="165" fontId="73" fillId="0" borderId="0" xfId="1" quotePrefix="1" applyNumberFormat="1" applyFont="1" applyFill="1" applyBorder="1" applyAlignment="1">
      <alignment horizontal="right"/>
    </xf>
    <xf numFmtId="165" fontId="73" fillId="0" borderId="0" xfId="1" applyNumberFormat="1" applyFont="1" applyFill="1" applyBorder="1" applyAlignment="1">
      <alignment horizontal="right"/>
    </xf>
    <xf numFmtId="165" fontId="73" fillId="0" borderId="19" xfId="1" applyNumberFormat="1" applyFont="1" applyFill="1" applyBorder="1" applyAlignment="1">
      <alignment horizontal="right"/>
    </xf>
    <xf numFmtId="167" fontId="1" fillId="0" borderId="0" xfId="0" quotePrefix="1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9" fontId="1" fillId="0" borderId="0" xfId="1" applyFont="1" applyFill="1" applyAlignment="1">
      <alignment horizontal="right"/>
    </xf>
    <xf numFmtId="167" fontId="5" fillId="0" borderId="19" xfId="0" applyNumberFormat="1" applyFont="1" applyBorder="1" applyAlignment="1">
      <alignment horizontal="right"/>
    </xf>
    <xf numFmtId="9" fontId="1" fillId="0" borderId="19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right"/>
    </xf>
    <xf numFmtId="166" fontId="1" fillId="0" borderId="16" xfId="1" applyNumberFormat="1" applyFont="1" applyFill="1" applyBorder="1"/>
    <xf numFmtId="0" fontId="73" fillId="0" borderId="15" xfId="0" applyFont="1" applyBorder="1" applyAlignment="1">
      <alignment horizontal="left" indent="3"/>
    </xf>
    <xf numFmtId="166" fontId="5" fillId="0" borderId="19" xfId="0" applyNumberFormat="1" applyFont="1" applyBorder="1" applyAlignment="1">
      <alignment horizontal="right"/>
    </xf>
    <xf numFmtId="165" fontId="73" fillId="0" borderId="0" xfId="0" quotePrefix="1" applyNumberFormat="1" applyFont="1" applyAlignment="1">
      <alignment horizontal="right"/>
    </xf>
    <xf numFmtId="165" fontId="73" fillId="0" borderId="0" xfId="0" applyNumberFormat="1" applyFont="1" applyAlignment="1">
      <alignment horizontal="right"/>
    </xf>
    <xf numFmtId="165" fontId="73" fillId="0" borderId="19" xfId="0" applyNumberFormat="1" applyFont="1" applyBorder="1" applyAlignment="1">
      <alignment horizontal="right"/>
    </xf>
    <xf numFmtId="0" fontId="1" fillId="0" borderId="15" xfId="0" applyFont="1" applyBorder="1" applyAlignment="1">
      <alignment horizontal="left"/>
    </xf>
    <xf numFmtId="1" fontId="1" fillId="0" borderId="16" xfId="0" applyNumberFormat="1" applyFont="1" applyBorder="1"/>
    <xf numFmtId="1" fontId="1" fillId="0" borderId="19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201" fontId="73" fillId="0" borderId="0" xfId="0" applyNumberFormat="1" applyFont="1" applyAlignment="1">
      <alignment horizontal="right"/>
    </xf>
    <xf numFmtId="201" fontId="73" fillId="0" borderId="19" xfId="0" applyNumberFormat="1" applyFont="1" applyBorder="1" applyAlignment="1">
      <alignment horizontal="right"/>
    </xf>
    <xf numFmtId="0" fontId="1" fillId="0" borderId="17" xfId="0" applyFont="1" applyBorder="1"/>
    <xf numFmtId="0" fontId="1" fillId="0" borderId="1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69" fillId="0" borderId="0" xfId="336" applyFont="1" applyAlignment="1">
      <alignment horizontal="left" vertical="center"/>
    </xf>
    <xf numFmtId="348" fontId="73" fillId="0" borderId="0" xfId="0" applyNumberFormat="1" applyFont="1" applyAlignment="1">
      <alignment horizontal="right"/>
    </xf>
    <xf numFmtId="2" fontId="73" fillId="0" borderId="0" xfId="1" quotePrefix="1" applyNumberFormat="1" applyFont="1" applyFill="1" applyAlignment="1">
      <alignment horizontal="right"/>
    </xf>
  </cellXfs>
  <cellStyles count="2438">
    <cellStyle name="_x0002_" xfId="337" xr:uid="{00000000-0005-0000-0000-000000000000}"/>
    <cellStyle name="-" xfId="338" xr:uid="{00000000-0005-0000-0000-000001000000}"/>
    <cellStyle name="          _x000d__x000a_386grabber=VGA.3GR_x000d__x000a_" xfId="339" xr:uid="{00000000-0005-0000-0000-000002000000}"/>
    <cellStyle name=" 1" xfId="340" xr:uid="{00000000-0005-0000-0000-000003000000}"/>
    <cellStyle name="$" xfId="341" xr:uid="{00000000-0005-0000-0000-000004000000}"/>
    <cellStyle name="$ &amp; ¢" xfId="342" xr:uid="{00000000-0005-0000-0000-000005000000}"/>
    <cellStyle name="$ &amp; ¢ 2" xfId="343" xr:uid="{00000000-0005-0000-0000-000006000000}"/>
    <cellStyle name="$ 1 decimal" xfId="344" xr:uid="{00000000-0005-0000-0000-000007000000}"/>
    <cellStyle name="$ 10" xfId="345" xr:uid="{00000000-0005-0000-0000-000008000000}"/>
    <cellStyle name="$ 11" xfId="346" xr:uid="{00000000-0005-0000-0000-000009000000}"/>
    <cellStyle name="$ 12" xfId="347" xr:uid="{00000000-0005-0000-0000-00000A000000}"/>
    <cellStyle name="$ 13" xfId="348" xr:uid="{00000000-0005-0000-0000-00000B000000}"/>
    <cellStyle name="$ 14" xfId="349" xr:uid="{00000000-0005-0000-0000-00000C000000}"/>
    <cellStyle name="$ 15" xfId="350" xr:uid="{00000000-0005-0000-0000-00000D000000}"/>
    <cellStyle name="$ 16" xfId="351" xr:uid="{00000000-0005-0000-0000-00000E000000}"/>
    <cellStyle name="$ 17" xfId="352" xr:uid="{00000000-0005-0000-0000-00000F000000}"/>
    <cellStyle name="$ 2" xfId="353" xr:uid="{00000000-0005-0000-0000-000010000000}"/>
    <cellStyle name="$ 2 decimals" xfId="354" xr:uid="{00000000-0005-0000-0000-000011000000}"/>
    <cellStyle name="$ 3" xfId="355" xr:uid="{00000000-0005-0000-0000-000012000000}"/>
    <cellStyle name="$ 4" xfId="356" xr:uid="{00000000-0005-0000-0000-000013000000}"/>
    <cellStyle name="$ 5" xfId="357" xr:uid="{00000000-0005-0000-0000-000014000000}"/>
    <cellStyle name="$ 6" xfId="358" xr:uid="{00000000-0005-0000-0000-000015000000}"/>
    <cellStyle name="$ 7" xfId="359" xr:uid="{00000000-0005-0000-0000-000016000000}"/>
    <cellStyle name="$ 8" xfId="360" xr:uid="{00000000-0005-0000-0000-000017000000}"/>
    <cellStyle name="$ 9" xfId="361" xr:uid="{00000000-0005-0000-0000-000018000000}"/>
    <cellStyle name="$ in Millions" xfId="362" xr:uid="{00000000-0005-0000-0000-000019000000}"/>
    <cellStyle name="$_AGRO3 Valuation Model" xfId="363" xr:uid="{00000000-0005-0000-0000-00001A000000}"/>
    <cellStyle name="$_AGRO3 Valuation Model_Raw_financials" xfId="364" xr:uid="{00000000-0005-0000-0000-00001B000000}"/>
    <cellStyle name="$_AGRO3-Valuation-Model-backup02dez08" xfId="365" xr:uid="{00000000-0005-0000-0000-00001C000000}"/>
    <cellStyle name="$_AGRO3-Valuation-Model-backup02dez08 2" xfId="366" xr:uid="{00000000-0005-0000-0000-00001D000000}"/>
    <cellStyle name="$_FFTL4 Valuation Model" xfId="367" xr:uid="{00000000-0005-0000-0000-00001E000000}"/>
    <cellStyle name="$_FFTL4 Valuation Model 2" xfId="368" xr:uid="{00000000-0005-0000-0000-00001F000000}"/>
    <cellStyle name="$_PCP" xfId="369" xr:uid="{00000000-0005-0000-0000-000020000000}"/>
    <cellStyle name="$_SLCE3 Valuation Model" xfId="370" xr:uid="{00000000-0005-0000-0000-000021000000}"/>
    <cellStyle name="$_SLCE3 Valuation Model_Raw_financials" xfId="371" xr:uid="{00000000-0005-0000-0000-000022000000}"/>
    <cellStyle name="$0.0" xfId="372" xr:uid="{00000000-0005-0000-0000-000023000000}"/>
    <cellStyle name="$0.00" xfId="373" xr:uid="{00000000-0005-0000-0000-000024000000}"/>
    <cellStyle name="$0.000" xfId="374" xr:uid="{00000000-0005-0000-0000-000025000000}"/>
    <cellStyle name="$000's" xfId="375" xr:uid="{00000000-0005-0000-0000-000026000000}"/>
    <cellStyle name="$000's Bold" xfId="376" xr:uid="{00000000-0005-0000-0000-000027000000}"/>
    <cellStyle name="$000's Bold DUnderline" xfId="377" xr:uid="{00000000-0005-0000-0000-000028000000}"/>
    <cellStyle name="$000's Bold_1q_securities" xfId="378" xr:uid="{00000000-0005-0000-0000-000029000000}"/>
    <cellStyle name="$000's_1q_securities" xfId="379" xr:uid="{00000000-0005-0000-0000-00002A000000}"/>
    <cellStyle name="$3places" xfId="380" xr:uid="{00000000-0005-0000-0000-00002B000000}"/>
    <cellStyle name="$m" xfId="381" xr:uid="{00000000-0005-0000-0000-00002C000000}"/>
    <cellStyle name="$norm" xfId="382" xr:uid="{00000000-0005-0000-0000-00002D000000}"/>
    <cellStyle name="$norm 2" xfId="383" xr:uid="{00000000-0005-0000-0000-00002E000000}"/>
    <cellStyle name="$normbold" xfId="384" xr:uid="{00000000-0005-0000-0000-00002F000000}"/>
    <cellStyle name="$normbold 2" xfId="385" xr:uid="{00000000-0005-0000-0000-000030000000}"/>
    <cellStyle name="$q" xfId="386" xr:uid="{00000000-0005-0000-0000-000031000000}"/>
    <cellStyle name="$q*" xfId="387" xr:uid="{00000000-0005-0000-0000-000032000000}"/>
    <cellStyle name="$qA" xfId="388" xr:uid="{00000000-0005-0000-0000-000033000000}"/>
    <cellStyle name="$qRange" xfId="389" xr:uid="{00000000-0005-0000-0000-000034000000}"/>
    <cellStyle name="%" xfId="390" xr:uid="{00000000-0005-0000-0000-000035000000}"/>
    <cellStyle name="% [2]" xfId="391" xr:uid="{00000000-0005-0000-0000-000036000000}"/>
    <cellStyle name="% Growth" xfId="392" xr:uid="{00000000-0005-0000-0000-000037000000}"/>
    <cellStyle name="% of Revenues" xfId="393" xr:uid="{00000000-0005-0000-0000-000038000000}"/>
    <cellStyle name="%.00" xfId="394" xr:uid="{00000000-0005-0000-0000-000039000000}"/>
    <cellStyle name="%.00 2" xfId="395" xr:uid="{00000000-0005-0000-0000-00003A000000}"/>
    <cellStyle name="%_AESA_WIP_ANAtest" xfId="396" xr:uid="{00000000-0005-0000-0000-00003B000000}"/>
    <cellStyle name="%_AGRO3 Valuation Model" xfId="397" xr:uid="{00000000-0005-0000-0000-00003C000000}"/>
    <cellStyle name="%_AGRO3 Valuation Model 2" xfId="398" xr:uid="{00000000-0005-0000-0000-00003D000000}"/>
    <cellStyle name="%_AGRO3-Valuation-Model-backup02dez08" xfId="399" xr:uid="{00000000-0005-0000-0000-00003E000000}"/>
    <cellStyle name="%_AGRO3-Valuation-Model-backup02dez08 2" xfId="400" xr:uid="{00000000-0005-0000-0000-00003F000000}"/>
    <cellStyle name="%_Estacio_Oficial_ANA_outsource_test" xfId="401" xr:uid="{00000000-0005-0000-0000-000040000000}"/>
    <cellStyle name="%_Estacio_Oficial_ANA_outsource_test 2" xfId="402" xr:uid="{00000000-0005-0000-0000-000041000000}"/>
    <cellStyle name="%_Estacio_Oficial_ANA_outsource_test_2" xfId="403" xr:uid="{00000000-0005-0000-0000-000042000000}"/>
    <cellStyle name="%_Estacio_Oficial_ANA_outsource_test_2 2" xfId="404" xr:uid="{00000000-0005-0000-0000-000043000000}"/>
    <cellStyle name="%_FFTL4 Valuation Model" xfId="405" xr:uid="{00000000-0005-0000-0000-000044000000}"/>
    <cellStyle name="%_FFTL4 Valuation Model 2" xfId="406" xr:uid="{00000000-0005-0000-0000-000045000000}"/>
    <cellStyle name="%_SLCE3 Valuation Model" xfId="407" xr:uid="{00000000-0005-0000-0000-000046000000}"/>
    <cellStyle name="%_SLCE3 Valuation Model 2" xfId="408" xr:uid="{00000000-0005-0000-0000-000047000000}"/>
    <cellStyle name="%_WORKING_prjcsmg2007_new" xfId="409" xr:uid="{00000000-0005-0000-0000-000048000000}"/>
    <cellStyle name="%_WORKING_prjcsmg2007_new 2" xfId="410" xr:uid="{00000000-0005-0000-0000-000049000000}"/>
    <cellStyle name="******************************************" xfId="411" xr:uid="{00000000-0005-0000-0000-00004A000000}"/>
    <cellStyle name="-.024" xfId="412" xr:uid="{00000000-0005-0000-0000-00004B000000}"/>
    <cellStyle name="-.024 2" xfId="413" xr:uid="{00000000-0005-0000-0000-00004C000000}"/>
    <cellStyle name="-.024 3" xfId="414" xr:uid="{00000000-0005-0000-0000-00004D000000}"/>
    <cellStyle name="-.024 4" xfId="415" xr:uid="{00000000-0005-0000-0000-00004E000000}"/>
    <cellStyle name=";;;" xfId="416" xr:uid="{00000000-0005-0000-0000-00004F000000}"/>
    <cellStyle name="??" xfId="417" xr:uid="{00000000-0005-0000-0000-000050000000}"/>
    <cellStyle name="?? [0.00]_HELPDESK" xfId="418" xr:uid="{00000000-0005-0000-0000-000051000000}"/>
    <cellStyle name="?? [0]_??" xfId="419" xr:uid="{00000000-0005-0000-0000-000052000000}"/>
    <cellStyle name="?? 10" xfId="420" xr:uid="{00000000-0005-0000-0000-000053000000}"/>
    <cellStyle name="?? 11" xfId="421" xr:uid="{00000000-0005-0000-0000-000054000000}"/>
    <cellStyle name="?? 12" xfId="422" xr:uid="{00000000-0005-0000-0000-000055000000}"/>
    <cellStyle name="?? 13" xfId="423" xr:uid="{00000000-0005-0000-0000-000056000000}"/>
    <cellStyle name="?? 14" xfId="424" xr:uid="{00000000-0005-0000-0000-000057000000}"/>
    <cellStyle name="?? 15" xfId="425" xr:uid="{00000000-0005-0000-0000-000058000000}"/>
    <cellStyle name="?? 16" xfId="426" xr:uid="{00000000-0005-0000-0000-000059000000}"/>
    <cellStyle name="?? 17" xfId="427" xr:uid="{00000000-0005-0000-0000-00005A000000}"/>
    <cellStyle name="?? 2" xfId="428" xr:uid="{00000000-0005-0000-0000-00005B000000}"/>
    <cellStyle name="?? 3" xfId="429" xr:uid="{00000000-0005-0000-0000-00005C000000}"/>
    <cellStyle name="?? 4" xfId="430" xr:uid="{00000000-0005-0000-0000-00005D000000}"/>
    <cellStyle name="?? 5" xfId="431" xr:uid="{00000000-0005-0000-0000-00005E000000}"/>
    <cellStyle name="?? 6" xfId="432" xr:uid="{00000000-0005-0000-0000-00005F000000}"/>
    <cellStyle name="?? 7" xfId="433" xr:uid="{00000000-0005-0000-0000-000060000000}"/>
    <cellStyle name="?? 8" xfId="434" xr:uid="{00000000-0005-0000-0000-000061000000}"/>
    <cellStyle name="?? 9" xfId="435" xr:uid="{00000000-0005-0000-0000-000062000000}"/>
    <cellStyle name="???? [0.00]_HELPDESK" xfId="436" xr:uid="{00000000-0005-0000-0000-000063000000}"/>
    <cellStyle name="?????_VERA" xfId="437" xr:uid="{00000000-0005-0000-0000-000064000000}"/>
    <cellStyle name="????_GTParentheet" xfId="438" xr:uid="{00000000-0005-0000-0000-000065000000}"/>
    <cellStyle name="??_?.????" xfId="439" xr:uid="{00000000-0005-0000-0000-000066000000}"/>
    <cellStyle name="?Q\?1@" xfId="440" xr:uid="{00000000-0005-0000-0000-000067000000}"/>
    <cellStyle name="?Q\?1@ 2" xfId="441" xr:uid="{00000000-0005-0000-0000-000068000000}"/>
    <cellStyle name="\" xfId="442" xr:uid="{00000000-0005-0000-0000-000069000000}"/>
    <cellStyle name="\_bluebirdacdil13" xfId="443" xr:uid="{00000000-0005-0000-0000-00006A000000}"/>
    <cellStyle name="\_data" xfId="444" xr:uid="{00000000-0005-0000-0000-00006B000000}"/>
    <cellStyle name="\_ecomps7w" xfId="445" xr:uid="{00000000-0005-0000-0000-00006C000000}"/>
    <cellStyle name="\_equitycomps8" xfId="446" xr:uid="{00000000-0005-0000-0000-00006D000000}"/>
    <cellStyle name="\_equitycomps9" xfId="447" xr:uid="{00000000-0005-0000-0000-00006E000000}"/>
    <cellStyle name="\_houston Isabel" xfId="448" xr:uid="{00000000-0005-0000-0000-00006F000000}"/>
    <cellStyle name="\_hybrid2" xfId="449" xr:uid="{00000000-0005-0000-0000-000070000000}"/>
    <cellStyle name="\_ITXCcomps" xfId="450" xr:uid="{00000000-0005-0000-0000-000071000000}"/>
    <cellStyle name="\_newcomps16" xfId="451" xr:uid="{00000000-0005-0000-0000-000072000000}"/>
    <cellStyle name="\_ravenpitch3" xfId="452" xr:uid="{00000000-0005-0000-0000-000073000000}"/>
    <cellStyle name="\_ravenpitch32" xfId="453" xr:uid="{00000000-0005-0000-0000-000074000000}"/>
    <cellStyle name="_%(SignOnly)" xfId="3" xr:uid="{00000000-0005-0000-0000-000075000000}"/>
    <cellStyle name="_%(SignOnly)_Raw_financials" xfId="454" xr:uid="{00000000-0005-0000-0000-000076000000}"/>
    <cellStyle name="_%(SignSpaceOnly)" xfId="4" xr:uid="{00000000-0005-0000-0000-000077000000}"/>
    <cellStyle name="_%(SignSpaceOnly)_Raw_financials" xfId="455" xr:uid="{00000000-0005-0000-0000-000078000000}"/>
    <cellStyle name="_9952 formal model(070322)-1" xfId="456" xr:uid="{00000000-0005-0000-0000-000079000000}"/>
    <cellStyle name="_9952 formal model(070322)-1 2" xfId="457" xr:uid="{00000000-0005-0000-0000-00007A000000}"/>
    <cellStyle name="_x0002__AGRO3 Valuation Model" xfId="458" xr:uid="{00000000-0005-0000-0000-00007B000000}"/>
    <cellStyle name="-_AGRO3 Valuation Model" xfId="459" xr:uid="{00000000-0005-0000-0000-00007C000000}"/>
    <cellStyle name="-_AGRO3 Valuation Model 2" xfId="460" xr:uid="{00000000-0005-0000-0000-00007D000000}"/>
    <cellStyle name="-_AGRO3 Valuation Model_Raw_financials" xfId="461" xr:uid="{00000000-0005-0000-0000-00007E000000}"/>
    <cellStyle name="-_AGRO3 Valuation Model_Raw_financials 2" xfId="462" xr:uid="{00000000-0005-0000-0000-00007F000000}"/>
    <cellStyle name="-_AGRO3-Valuation-Model-backup02dez08" xfId="463" xr:uid="{00000000-0005-0000-0000-000080000000}"/>
    <cellStyle name="_CABECO Valuation Model_v140a" xfId="464" xr:uid="{00000000-0005-0000-0000-000081000000}"/>
    <cellStyle name="_Cabernet Valuation Backup" xfId="465" xr:uid="{00000000-0005-0000-0000-000082000000}"/>
    <cellStyle name="_CFA10" xfId="466" xr:uid="{00000000-0005-0000-0000-000083000000}"/>
    <cellStyle name="_CFA10 2" xfId="467" xr:uid="{00000000-0005-0000-0000-000084000000}"/>
    <cellStyle name="_CFA4" xfId="468" xr:uid="{00000000-0005-0000-0000-000085000000}"/>
    <cellStyle name="_CFA4 2" xfId="469" xr:uid="{00000000-0005-0000-0000-000086000000}"/>
    <cellStyle name="_Chile WACC" xfId="470" xr:uid="{00000000-0005-0000-0000-000087000000}"/>
    <cellStyle name="_Comma" xfId="5" xr:uid="{00000000-0005-0000-0000-000088000000}"/>
    <cellStyle name="_Comma_01 adj for merger plan" xfId="6" xr:uid="{00000000-0005-0000-0000-000089000000}"/>
    <cellStyle name="_Comma_Ability to Pay Analysis" xfId="7" xr:uid="{00000000-0005-0000-0000-00008A000000}"/>
    <cellStyle name="_Comma_AFL" xfId="8" xr:uid="{00000000-0005-0000-0000-00008B000000}"/>
    <cellStyle name="_Comma_AIZ" xfId="9" xr:uid="{00000000-0005-0000-0000-00008C000000}"/>
    <cellStyle name="_Comma_AIZ04-Quantum2" xfId="10" xr:uid="{00000000-0005-0000-0000-00008D000000}"/>
    <cellStyle name="_Comma_AMP" xfId="11" xr:uid="{00000000-0005-0000-0000-00008E000000}"/>
    <cellStyle name="_Comma_bls roic" xfId="471" xr:uid="{00000000-0005-0000-0000-00008F000000}"/>
    <cellStyle name="_Comma_Book1" xfId="12" xr:uid="{00000000-0005-0000-0000-000090000000}"/>
    <cellStyle name="_Comma_Book3" xfId="13" xr:uid="{00000000-0005-0000-0000-000091000000}"/>
    <cellStyle name="_Comma_capital expenditures 6-18-02" xfId="472" xr:uid="{00000000-0005-0000-0000-000092000000}"/>
    <cellStyle name="_Comma_CNO" xfId="14" xr:uid="{00000000-0005-0000-0000-000093000000}"/>
    <cellStyle name="_Comma_CNO04" xfId="15" xr:uid="{00000000-0005-0000-0000-000094000000}"/>
    <cellStyle name="_Comma_DCF Alexander Forbes" xfId="16" xr:uid="{00000000-0005-0000-0000-000095000000}"/>
    <cellStyle name="_Comma_fmbi counties" xfId="17" xr:uid="{00000000-0005-0000-0000-000096000000}"/>
    <cellStyle name="_Comma_FMBI MBHI Graphs" xfId="18" xr:uid="{00000000-0005-0000-0000-000097000000}"/>
    <cellStyle name="_Comma_FMBI MBHI Graphs 07102001" xfId="19" xr:uid="{00000000-0005-0000-0000-000098000000}"/>
    <cellStyle name="_Comma_FMBI MBHI Graphs_7601" xfId="20" xr:uid="{00000000-0005-0000-0000-000099000000}"/>
    <cellStyle name="_Comma_genworth model" xfId="21" xr:uid="{00000000-0005-0000-0000-00009A000000}"/>
    <cellStyle name="_Comma_Infinity Mill Overview 1-14-08v1" xfId="473" xr:uid="{00000000-0005-0000-0000-00009B000000}"/>
    <cellStyle name="_Comma_Infinity Mill Overview 1-14-08v1_Raw_financials" xfId="474" xr:uid="{00000000-0005-0000-0000-00009C000000}"/>
    <cellStyle name="_Comma_Insurance Brokerage CSC_1Q2002" xfId="22" xr:uid="{00000000-0005-0000-0000-00009D000000}"/>
    <cellStyle name="_Comma_JP_LNC_spread_monitor (2)" xfId="23" xr:uid="{00000000-0005-0000-0000-00009E000000}"/>
    <cellStyle name="_Comma_NFP" xfId="24" xr:uid="{00000000-0005-0000-0000-00009F000000}"/>
    <cellStyle name="_Comma_NFS" xfId="25" xr:uid="{00000000-0005-0000-0000-0000A0000000}"/>
    <cellStyle name="_Comma_Overview3" xfId="26" xr:uid="{00000000-0005-0000-0000-0000A1000000}"/>
    <cellStyle name="_Comma_phil data" xfId="27" xr:uid="{00000000-0005-0000-0000-0000A2000000}"/>
    <cellStyle name="_Comma_Price Performance Charts" xfId="28" xr:uid="{00000000-0005-0000-0000-0000A3000000}"/>
    <cellStyle name="_Comma_Quarterly Review by Company" xfId="29" xr:uid="{00000000-0005-0000-0000-0000A4000000}"/>
    <cellStyle name="_Comma_Raw_financials" xfId="475" xr:uid="{00000000-0005-0000-0000-0000A5000000}"/>
    <cellStyle name="_Comma_Raw_financials_BRF Valuation Model" xfId="476" xr:uid="{00000000-0005-0000-0000-0000A6000000}"/>
    <cellStyle name="_Comma_RBOC historicals" xfId="477" xr:uid="{00000000-0005-0000-0000-0000A7000000}"/>
    <cellStyle name="_Comma_SFG Data File" xfId="30" xr:uid="{00000000-0005-0000-0000-0000A8000000}"/>
    <cellStyle name="_Comma_Sheet1" xfId="31" xr:uid="{00000000-0005-0000-0000-0000A9000000}"/>
    <cellStyle name="_Comma_Stock-QTR1 FDS" xfId="32" xr:uid="{00000000-0005-0000-0000-0000AA000000}"/>
    <cellStyle name="_Comma_T - new" xfId="478" xr:uid="{00000000-0005-0000-0000-0000AB000000}"/>
    <cellStyle name="_Comma_Updated Valuation Changes" xfId="33" xr:uid="{00000000-0005-0000-0000-0000AC000000}"/>
    <cellStyle name="_Comma_Valuation Graphs" xfId="34" xr:uid="{00000000-0005-0000-0000-0000AD000000}"/>
    <cellStyle name="_Comma_xratio - historical mkt val" xfId="35" xr:uid="{00000000-0005-0000-0000-0000AE000000}"/>
    <cellStyle name="_Cremer Model" xfId="479" xr:uid="{00000000-0005-0000-0000-0000AF000000}"/>
    <cellStyle name="_CSFB MergerCon D-CMS 5 18 02" xfId="480" xr:uid="{00000000-0005-0000-0000-0000B0000000}"/>
    <cellStyle name="_Currency" xfId="36" xr:uid="{00000000-0005-0000-0000-0000B1000000}"/>
    <cellStyle name="_Currency_01 adj for merger plan" xfId="37" xr:uid="{00000000-0005-0000-0000-0000B2000000}"/>
    <cellStyle name="_Currency_Ability to Pay Analysis" xfId="38" xr:uid="{00000000-0005-0000-0000-0000B3000000}"/>
    <cellStyle name="_Currency_AFL" xfId="39" xr:uid="{00000000-0005-0000-0000-0000B4000000}"/>
    <cellStyle name="_Currency_AIZ" xfId="40" xr:uid="{00000000-0005-0000-0000-0000B5000000}"/>
    <cellStyle name="_Currency_AMP" xfId="41" xr:uid="{00000000-0005-0000-0000-0000B6000000}"/>
    <cellStyle name="_Currency_AT" xfId="481" xr:uid="{00000000-0005-0000-0000-0000B7000000}"/>
    <cellStyle name="_Currency_AWE" xfId="482" xr:uid="{00000000-0005-0000-0000-0000B8000000}"/>
    <cellStyle name="_Currency_Balance Sheet" xfId="42" xr:uid="{00000000-0005-0000-0000-0000B9000000}"/>
    <cellStyle name="_Currency_BHI" xfId="483" xr:uid="{00000000-0005-0000-0000-0000BA000000}"/>
    <cellStyle name="_Currency_BLS" xfId="484" xr:uid="{00000000-0005-0000-0000-0000BB000000}"/>
    <cellStyle name="_Currency_bls roic" xfId="485" xr:uid="{00000000-0005-0000-0000-0000BC000000}"/>
    <cellStyle name="_Currency_Book1" xfId="43" xr:uid="{00000000-0005-0000-0000-0000BD000000}"/>
    <cellStyle name="_Currency_Book2" xfId="486" xr:uid="{00000000-0005-0000-0000-0000BE000000}"/>
    <cellStyle name="_Currency_Book29" xfId="44" xr:uid="{00000000-0005-0000-0000-0000BF000000}"/>
    <cellStyle name="_Currency_Book3" xfId="45" xr:uid="{00000000-0005-0000-0000-0000C0000000}"/>
    <cellStyle name="_Currency_Book3_1" xfId="46" xr:uid="{00000000-0005-0000-0000-0000C1000000}"/>
    <cellStyle name="_Currency_Book32" xfId="487" xr:uid="{00000000-0005-0000-0000-0000C2000000}"/>
    <cellStyle name="_Currency_capital expenditures 6-18-02" xfId="488" xr:uid="{00000000-0005-0000-0000-0000C3000000}"/>
    <cellStyle name="_Currency_Cingular" xfId="489" xr:uid="{00000000-0005-0000-0000-0000C4000000}"/>
    <cellStyle name="_Currency_CNO" xfId="47" xr:uid="{00000000-0005-0000-0000-0000C5000000}"/>
    <cellStyle name="_Currency_DCF Alexander Forbes" xfId="48" xr:uid="{00000000-0005-0000-0000-0000C6000000}"/>
    <cellStyle name="_Currency_fmbi counties" xfId="49" xr:uid="{00000000-0005-0000-0000-0000C7000000}"/>
    <cellStyle name="_Currency_FMBI MBHI Graphs" xfId="50" xr:uid="{00000000-0005-0000-0000-0000C8000000}"/>
    <cellStyle name="_Currency_FMBI MBHI Graphs 07102001" xfId="51" xr:uid="{00000000-0005-0000-0000-0000C9000000}"/>
    <cellStyle name="_Currency_FMBI MBHI Graphs_7601" xfId="52" xr:uid="{00000000-0005-0000-0000-0000CA000000}"/>
    <cellStyle name="_Currency_FON" xfId="490" xr:uid="{00000000-0005-0000-0000-0000CB000000}"/>
    <cellStyle name="_Currency_GNW" xfId="53" xr:uid="{00000000-0005-0000-0000-0000CC000000}"/>
    <cellStyle name="_Currency_IBE_Financial Model_2008-05-19_v15_Research" xfId="491" xr:uid="{00000000-0005-0000-0000-0000CD000000}"/>
    <cellStyle name="_Currency_IBE_Financial Model_2008-05-19_v15_Research_Raw_financials" xfId="492" xr:uid="{00000000-0005-0000-0000-0000CE000000}"/>
    <cellStyle name="_Currency_Infinity Mill Overview 1-14-08v1" xfId="493" xr:uid="{00000000-0005-0000-0000-0000CF000000}"/>
    <cellStyle name="_Currency_Insurance Brokerage CSC_1Q2002" xfId="54" xr:uid="{00000000-0005-0000-0000-0000D0000000}"/>
    <cellStyle name="_Currency_JP" xfId="55" xr:uid="{00000000-0005-0000-0000-0000D1000000}"/>
    <cellStyle name="_Currency_LNC" xfId="56" xr:uid="{00000000-0005-0000-0000-0000D2000000}"/>
    <cellStyle name="_Currency_MET" xfId="57" xr:uid="{00000000-0005-0000-0000-0000D3000000}"/>
    <cellStyle name="_Currency_MET04" xfId="58" xr:uid="{00000000-0005-0000-0000-0000D4000000}"/>
    <cellStyle name="_Currency_NFS" xfId="59" xr:uid="{00000000-0005-0000-0000-0000D5000000}"/>
    <cellStyle name="_Currency_NXTL" xfId="494" xr:uid="{00000000-0005-0000-0000-0000D6000000}"/>
    <cellStyle name="_Currency_Overview3" xfId="60" xr:uid="{00000000-0005-0000-0000-0000D7000000}"/>
    <cellStyle name="_Currency_PCS" xfId="495" xr:uid="{00000000-0005-0000-0000-0000D8000000}"/>
    <cellStyle name="_Currency_phil data" xfId="61" xr:uid="{00000000-0005-0000-0000-0000D9000000}"/>
    <cellStyle name="_Currency_Price Performance Charts" xfId="62" xr:uid="{00000000-0005-0000-0000-0000DA000000}"/>
    <cellStyle name="_Currency_PRU" xfId="63" xr:uid="{00000000-0005-0000-0000-0000DB000000}"/>
    <cellStyle name="_Currency_PRU04" xfId="64" xr:uid="{00000000-0005-0000-0000-0000DC000000}"/>
    <cellStyle name="_Currency_Quarterly projections" xfId="496" xr:uid="{00000000-0005-0000-0000-0000DD000000}"/>
    <cellStyle name="_Currency_Quarterly projections_Raw_financials" xfId="497" xr:uid="{00000000-0005-0000-0000-0000DE000000}"/>
    <cellStyle name="_Currency_Raw_financials" xfId="498" xr:uid="{00000000-0005-0000-0000-0000DF000000}"/>
    <cellStyle name="_Currency_RBOC historicals" xfId="499" xr:uid="{00000000-0005-0000-0000-0000E0000000}"/>
    <cellStyle name="_Currency_RiskReward" xfId="65" xr:uid="{00000000-0005-0000-0000-0000E1000000}"/>
    <cellStyle name="_Currency_SFG" xfId="66" xr:uid="{00000000-0005-0000-0000-0000E2000000}"/>
    <cellStyle name="_Currency_Sheet1" xfId="67" xr:uid="{00000000-0005-0000-0000-0000E3000000}"/>
    <cellStyle name="_Currency_Stock-QTR1 FDS" xfId="68" xr:uid="{00000000-0005-0000-0000-0000E4000000}"/>
    <cellStyle name="_Currency_T - new" xfId="500" xr:uid="{00000000-0005-0000-0000-0000E5000000}"/>
    <cellStyle name="_Currency_TMK" xfId="69" xr:uid="{00000000-0005-0000-0000-0000E6000000}"/>
    <cellStyle name="_Currency_Updated Valuation Changes" xfId="70" xr:uid="{00000000-0005-0000-0000-0000E7000000}"/>
    <cellStyle name="_Currency_Valuation Graphs" xfId="71" xr:uid="{00000000-0005-0000-0000-0000E8000000}"/>
    <cellStyle name="_Currency_VZ" xfId="501" xr:uid="{00000000-0005-0000-0000-0000E9000000}"/>
    <cellStyle name="_Currency_VZW" xfId="502" xr:uid="{00000000-0005-0000-0000-0000EA000000}"/>
    <cellStyle name="_Currency_xratio - historical mkt val" xfId="72" xr:uid="{00000000-0005-0000-0000-0000EB000000}"/>
    <cellStyle name="_CurrencySpace" xfId="73" xr:uid="{00000000-0005-0000-0000-0000EC000000}"/>
    <cellStyle name="_CurrencySpace_01 adj for merger plan" xfId="74" xr:uid="{00000000-0005-0000-0000-0000ED000000}"/>
    <cellStyle name="_CurrencySpace_Ability to Pay Analysis" xfId="75" xr:uid="{00000000-0005-0000-0000-0000EE000000}"/>
    <cellStyle name="_CurrencySpace_AFL" xfId="76" xr:uid="{00000000-0005-0000-0000-0000EF000000}"/>
    <cellStyle name="_CurrencySpace_AIZ" xfId="77" xr:uid="{00000000-0005-0000-0000-0000F0000000}"/>
    <cellStyle name="_CurrencySpace_AMP" xfId="78" xr:uid="{00000000-0005-0000-0000-0000F1000000}"/>
    <cellStyle name="_CurrencySpace_Balance Sheet" xfId="79" xr:uid="{00000000-0005-0000-0000-0000F2000000}"/>
    <cellStyle name="_CurrencySpace_BHI" xfId="503" xr:uid="{00000000-0005-0000-0000-0000F3000000}"/>
    <cellStyle name="_CurrencySpace_bls roic" xfId="504" xr:uid="{00000000-0005-0000-0000-0000F4000000}"/>
    <cellStyle name="_CurrencySpace_Book1" xfId="80" xr:uid="{00000000-0005-0000-0000-0000F5000000}"/>
    <cellStyle name="_CurrencySpace_Book29" xfId="81" xr:uid="{00000000-0005-0000-0000-0000F6000000}"/>
    <cellStyle name="_CurrencySpace_Book3" xfId="82" xr:uid="{00000000-0005-0000-0000-0000F7000000}"/>
    <cellStyle name="_CurrencySpace_Book3_1" xfId="83" xr:uid="{00000000-0005-0000-0000-0000F8000000}"/>
    <cellStyle name="_CurrencySpace_capital expenditures 6-18-02" xfId="505" xr:uid="{00000000-0005-0000-0000-0000F9000000}"/>
    <cellStyle name="_CurrencySpace_CNO" xfId="84" xr:uid="{00000000-0005-0000-0000-0000FA000000}"/>
    <cellStyle name="_CurrencySpace_DCF Alexander Forbes" xfId="85" xr:uid="{00000000-0005-0000-0000-0000FB000000}"/>
    <cellStyle name="_CurrencySpace_fmbi counties" xfId="86" xr:uid="{00000000-0005-0000-0000-0000FC000000}"/>
    <cellStyle name="_CurrencySpace_FMBI MBHI Graphs" xfId="87" xr:uid="{00000000-0005-0000-0000-0000FD000000}"/>
    <cellStyle name="_CurrencySpace_FMBI MBHI Graphs 07102001" xfId="88" xr:uid="{00000000-0005-0000-0000-0000FE000000}"/>
    <cellStyle name="_CurrencySpace_FMBI MBHI Graphs_7601" xfId="89" xr:uid="{00000000-0005-0000-0000-0000FF000000}"/>
    <cellStyle name="_CurrencySpace_GNW" xfId="90" xr:uid="{00000000-0005-0000-0000-000000010000}"/>
    <cellStyle name="_CurrencySpace_Infinity Mill Overview 1-14-08v1" xfId="506" xr:uid="{00000000-0005-0000-0000-000001010000}"/>
    <cellStyle name="_CurrencySpace_Insurance Brokerage CSC_1Q2002" xfId="91" xr:uid="{00000000-0005-0000-0000-000002010000}"/>
    <cellStyle name="_CurrencySpace_JP" xfId="92" xr:uid="{00000000-0005-0000-0000-000003010000}"/>
    <cellStyle name="_CurrencySpace_LNC" xfId="93" xr:uid="{00000000-0005-0000-0000-000004010000}"/>
    <cellStyle name="_CurrencySpace_MET" xfId="94" xr:uid="{00000000-0005-0000-0000-000005010000}"/>
    <cellStyle name="_CurrencySpace_MET04" xfId="95" xr:uid="{00000000-0005-0000-0000-000006010000}"/>
    <cellStyle name="_CurrencySpace_NFS" xfId="96" xr:uid="{00000000-0005-0000-0000-000007010000}"/>
    <cellStyle name="_CurrencySpace_Overview3" xfId="97" xr:uid="{00000000-0005-0000-0000-000008010000}"/>
    <cellStyle name="_CurrencySpace_phil data" xfId="98" xr:uid="{00000000-0005-0000-0000-000009010000}"/>
    <cellStyle name="_CurrencySpace_Price Performance Charts" xfId="99" xr:uid="{00000000-0005-0000-0000-00000A010000}"/>
    <cellStyle name="_CurrencySpace_PRU" xfId="100" xr:uid="{00000000-0005-0000-0000-00000B010000}"/>
    <cellStyle name="_CurrencySpace_PRU04" xfId="101" xr:uid="{00000000-0005-0000-0000-00000C010000}"/>
    <cellStyle name="_CurrencySpace_RBOC historicals" xfId="507" xr:uid="{00000000-0005-0000-0000-00000D010000}"/>
    <cellStyle name="_CurrencySpace_RiskReward" xfId="102" xr:uid="{00000000-0005-0000-0000-00000E010000}"/>
    <cellStyle name="_CurrencySpace_SFG" xfId="103" xr:uid="{00000000-0005-0000-0000-00000F010000}"/>
    <cellStyle name="_CurrencySpace_Sheet1" xfId="104" xr:uid="{00000000-0005-0000-0000-000010010000}"/>
    <cellStyle name="_CurrencySpace_Stock-QTR1 FDS" xfId="105" xr:uid="{00000000-0005-0000-0000-000011010000}"/>
    <cellStyle name="_CurrencySpace_T - new" xfId="508" xr:uid="{00000000-0005-0000-0000-000012010000}"/>
    <cellStyle name="_CurrencySpace_TMK" xfId="106" xr:uid="{00000000-0005-0000-0000-000013010000}"/>
    <cellStyle name="_CurrencySpace_Updated Valuation Changes" xfId="107" xr:uid="{00000000-0005-0000-0000-000014010000}"/>
    <cellStyle name="_CurrencySpace_Valuation Graphs" xfId="108" xr:uid="{00000000-0005-0000-0000-000015010000}"/>
    <cellStyle name="_CurrencySpace_xratio - historical mkt val" xfId="109" xr:uid="{00000000-0005-0000-0000-000016010000}"/>
    <cellStyle name="_DA" xfId="509" xr:uid="{00000000-0005-0000-0000-000017010000}"/>
    <cellStyle name="_DCF" xfId="510" xr:uid="{00000000-0005-0000-0000-000018010000}"/>
    <cellStyle name="_Distribution" xfId="511" xr:uid="{00000000-0005-0000-0000-000019010000}"/>
    <cellStyle name="_Dollar" xfId="110" xr:uid="{00000000-0005-0000-0000-00001A010000}"/>
    <cellStyle name="_DPA" xfId="512" xr:uid="{00000000-0005-0000-0000-00001B010000}"/>
    <cellStyle name="_Entel Chile Materials" xfId="513" xr:uid="{00000000-0005-0000-0000-00001C010000}"/>
    <cellStyle name="_EPS" xfId="514" xr:uid="{00000000-0005-0000-0000-00001D010000}"/>
    <cellStyle name="_EPS 2" xfId="515" xr:uid="{00000000-0005-0000-0000-00001E010000}"/>
    <cellStyle name="_EPS1" xfId="516" xr:uid="{00000000-0005-0000-0000-00001F010000}"/>
    <cellStyle name="_EPS1 2" xfId="517" xr:uid="{00000000-0005-0000-0000-000020010000}"/>
    <cellStyle name="_Euro" xfId="111" xr:uid="{00000000-0005-0000-0000-000021010000}"/>
    <cellStyle name="_Euro_Request Template" xfId="518" xr:uid="{00000000-0005-0000-0000-000022010000}"/>
    <cellStyle name="_x0002__FFTL4 Valuation Model" xfId="519" xr:uid="{00000000-0005-0000-0000-000023010000}"/>
    <cellStyle name="-_FFTL4 Valuation Model" xfId="520" xr:uid="{00000000-0005-0000-0000-000024010000}"/>
    <cellStyle name="_x0002__Forecast results" xfId="521" xr:uid="{00000000-0005-0000-0000-000025010000}"/>
    <cellStyle name="_x0002__Forecast results 2" xfId="522" xr:uid="{00000000-0005-0000-0000-000026010000}"/>
    <cellStyle name="_FSA - ME - FINAL (2)1" xfId="523" xr:uid="{00000000-0005-0000-0000-000027010000}"/>
    <cellStyle name="_FSA - ME - FINAL (2)1 2" xfId="524" xr:uid="{00000000-0005-0000-0000-000028010000}"/>
    <cellStyle name="_GAM Consolidated Model for Infinity v3 (6)" xfId="525" xr:uid="{00000000-0005-0000-0000-000029010000}"/>
    <cellStyle name="_GAM WACC_v3" xfId="526" xr:uid="{00000000-0005-0000-0000-00002A010000}"/>
    <cellStyle name="_Heading" xfId="112" xr:uid="{00000000-0005-0000-0000-00002B010000}"/>
    <cellStyle name="_Heading_BLS" xfId="527" xr:uid="{00000000-0005-0000-0000-00002C010000}"/>
    <cellStyle name="_Heading_bls roic" xfId="528" xr:uid="{00000000-0005-0000-0000-00002D010000}"/>
    <cellStyle name="_Heading_Book9" xfId="529" xr:uid="{00000000-0005-0000-0000-00002E010000}"/>
    <cellStyle name="_Heading_Broadband Comps" xfId="530" xr:uid="{00000000-0005-0000-0000-00002F010000}"/>
    <cellStyle name="_Heading_capital expenditures 6-18-02" xfId="531" xr:uid="{00000000-0005-0000-0000-000030010000}"/>
    <cellStyle name="_Heading_CTCO" xfId="532" xr:uid="{00000000-0005-0000-0000-000031010000}"/>
    <cellStyle name="_Heading_Infinity Mill Overview 1-14-08v1" xfId="533" xr:uid="{00000000-0005-0000-0000-000032010000}"/>
    <cellStyle name="_Heading_Infinity Mill Overview 1-14-08v1 2" xfId="534" xr:uid="{00000000-0005-0000-0000-000033010000}"/>
    <cellStyle name="_Heading_prestemp" xfId="113" xr:uid="{00000000-0005-0000-0000-000034010000}"/>
    <cellStyle name="_Heading_Q" xfId="535" xr:uid="{00000000-0005-0000-0000-000035010000}"/>
    <cellStyle name="_Heading_q - new guidance" xfId="536" xr:uid="{00000000-0005-0000-0000-000036010000}"/>
    <cellStyle name="_Heading_q - valuation" xfId="537" xr:uid="{00000000-0005-0000-0000-000037010000}"/>
    <cellStyle name="_Heading_Q model_041802" xfId="538" xr:uid="{00000000-0005-0000-0000-000038010000}"/>
    <cellStyle name="_Heading_Q_update" xfId="539" xr:uid="{00000000-0005-0000-0000-000039010000}"/>
    <cellStyle name="_Heading_Qwest Analysis" xfId="540" xr:uid="{00000000-0005-0000-0000-00003A010000}"/>
    <cellStyle name="_Heading_RBOC historicals" xfId="541" xr:uid="{00000000-0005-0000-0000-00003B010000}"/>
    <cellStyle name="_Heading_T - new" xfId="542" xr:uid="{00000000-0005-0000-0000-00003C010000}"/>
    <cellStyle name="_Heading_VZ" xfId="543" xr:uid="{00000000-0005-0000-0000-00003D010000}"/>
    <cellStyle name="_Heading_WACC Model for TTS" xfId="544" xr:uid="{00000000-0005-0000-0000-00003E010000}"/>
    <cellStyle name="_Heading_WACC Model for TTS 2" xfId="545" xr:uid="{00000000-0005-0000-0000-00003F010000}"/>
    <cellStyle name="_Highlight" xfId="114" xr:uid="{00000000-0005-0000-0000-000040010000}"/>
    <cellStyle name="-_INFOTRIM032001" xfId="546" xr:uid="{00000000-0005-0000-0000-000041010000}"/>
    <cellStyle name="-_INFOTRIM032001 2" xfId="547" xr:uid="{00000000-0005-0000-0000-000042010000}"/>
    <cellStyle name="_IV6" xfId="548" xr:uid="{00000000-0005-0000-0000-000043010000}"/>
    <cellStyle name="_IV6 2" xfId="549" xr:uid="{00000000-0005-0000-0000-000044010000}"/>
    <cellStyle name="_JapaneseCatalog" xfId="550" xr:uid="{00000000-0005-0000-0000-000045010000}"/>
    <cellStyle name="_JV Model2" xfId="551" xr:uid="{00000000-0005-0000-0000-000046010000}"/>
    <cellStyle name="_LatAm Beer Comps.v6" xfId="552" xr:uid="{00000000-0005-0000-0000-000047010000}"/>
    <cellStyle name="_LatAm Beer Comps.v6_2. TRS Decomposition" xfId="553" xr:uid="{00000000-0005-0000-0000-000048010000}"/>
    <cellStyle name="_LatAm Beer Comps.v6_PRGA Model with TRS Decomposition" xfId="554" xr:uid="{00000000-0005-0000-0000-000049010000}"/>
    <cellStyle name="_LatAm Beer Comps.v6_Raw_financials" xfId="555" xr:uid="{00000000-0005-0000-0000-00004A010000}"/>
    <cellStyle name="_Macrodata_Brasil_new" xfId="556" xr:uid="{00000000-0005-0000-0000-00004B010000}"/>
    <cellStyle name="_Magnesita Model 2" xfId="557" xr:uid="{00000000-0005-0000-0000-00004C010000}"/>
    <cellStyle name="_Magnesita Model 2 2" xfId="558" xr:uid="{00000000-0005-0000-0000-00004D010000}"/>
    <cellStyle name="_Metrics1" xfId="559" xr:uid="{00000000-0005-0000-0000-00004E010000}"/>
    <cellStyle name="_Metrics1 2" xfId="560" xr:uid="{00000000-0005-0000-0000-00004F010000}"/>
    <cellStyle name="_Metrics11" xfId="561" xr:uid="{00000000-0005-0000-0000-000050010000}"/>
    <cellStyle name="_Metrics11 2" xfId="562" xr:uid="{00000000-0005-0000-0000-000051010000}"/>
    <cellStyle name="_Metrics13" xfId="563" xr:uid="{00000000-0005-0000-0000-000052010000}"/>
    <cellStyle name="_Metrics13 2" xfId="564" xr:uid="{00000000-0005-0000-0000-000053010000}"/>
    <cellStyle name="_Metrics3" xfId="565" xr:uid="{00000000-0005-0000-0000-000054010000}"/>
    <cellStyle name="_Metrics3 2" xfId="566" xr:uid="{00000000-0005-0000-0000-000055010000}"/>
    <cellStyle name="_Metrics5" xfId="567" xr:uid="{00000000-0005-0000-0000-000056010000}"/>
    <cellStyle name="_Metrics5 2" xfId="568" xr:uid="{00000000-0005-0000-0000-000057010000}"/>
    <cellStyle name="_Metrics7" xfId="569" xr:uid="{00000000-0005-0000-0000-000058010000}"/>
    <cellStyle name="_Metrics7 2" xfId="570" xr:uid="{00000000-0005-0000-0000-000059010000}"/>
    <cellStyle name="_Metrics9" xfId="571" xr:uid="{00000000-0005-0000-0000-00005A010000}"/>
    <cellStyle name="_Metrics9 2" xfId="572" xr:uid="{00000000-0005-0000-0000-00005B010000}"/>
    <cellStyle name="_Modelware" xfId="573" xr:uid="{00000000-0005-0000-0000-00005C010000}"/>
    <cellStyle name="_Modelware 2" xfId="574" xr:uid="{00000000-0005-0000-0000-00005D010000}"/>
    <cellStyle name="_msft-dcf" xfId="575" xr:uid="{00000000-0005-0000-0000-00005E010000}"/>
    <cellStyle name="_Multiple" xfId="115" xr:uid="{00000000-0005-0000-0000-00005F010000}"/>
    <cellStyle name="_Multiple_01 adj for merger plan" xfId="116" xr:uid="{00000000-0005-0000-0000-000060010000}"/>
    <cellStyle name="_Multiple_Ability to Pay Analysis" xfId="117" xr:uid="{00000000-0005-0000-0000-000061010000}"/>
    <cellStyle name="_Multiple_AFL" xfId="118" xr:uid="{00000000-0005-0000-0000-000062010000}"/>
    <cellStyle name="_Multiple_AIZ" xfId="119" xr:uid="{00000000-0005-0000-0000-000063010000}"/>
    <cellStyle name="_Multiple_AMP" xfId="120" xr:uid="{00000000-0005-0000-0000-000064010000}"/>
    <cellStyle name="_Multiple_Balance Sheet" xfId="121" xr:uid="{00000000-0005-0000-0000-000065010000}"/>
    <cellStyle name="_Multiple_BHI" xfId="576" xr:uid="{00000000-0005-0000-0000-000066010000}"/>
    <cellStyle name="_Multiple_bls roic" xfId="577" xr:uid="{00000000-0005-0000-0000-000067010000}"/>
    <cellStyle name="_Multiple_Book1" xfId="122" xr:uid="{00000000-0005-0000-0000-000068010000}"/>
    <cellStyle name="_Multiple_Book29" xfId="123" xr:uid="{00000000-0005-0000-0000-000069010000}"/>
    <cellStyle name="_Multiple_Book3" xfId="124" xr:uid="{00000000-0005-0000-0000-00006A010000}"/>
    <cellStyle name="_Multiple_Book3_1" xfId="125" xr:uid="{00000000-0005-0000-0000-00006B010000}"/>
    <cellStyle name="_Multiple_capital expenditures 6-18-02" xfId="578" xr:uid="{00000000-0005-0000-0000-00006C010000}"/>
    <cellStyle name="_Multiple_CNO" xfId="126" xr:uid="{00000000-0005-0000-0000-00006D010000}"/>
    <cellStyle name="_Multiple_DCF Alexander Forbes" xfId="127" xr:uid="{00000000-0005-0000-0000-00006E010000}"/>
    <cellStyle name="_Multiple_fmbi counties" xfId="128" xr:uid="{00000000-0005-0000-0000-00006F010000}"/>
    <cellStyle name="_Multiple_FMBI MBHI Graphs" xfId="129" xr:uid="{00000000-0005-0000-0000-000070010000}"/>
    <cellStyle name="_Multiple_FMBI MBHI Graphs 07102001" xfId="130" xr:uid="{00000000-0005-0000-0000-000071010000}"/>
    <cellStyle name="_Multiple_FMBI MBHI Graphs_7601" xfId="131" xr:uid="{00000000-0005-0000-0000-000072010000}"/>
    <cellStyle name="_Multiple_GNW" xfId="132" xr:uid="{00000000-0005-0000-0000-000073010000}"/>
    <cellStyle name="_Multiple_Infinity Mill Overview 1-14-08v1" xfId="579" xr:uid="{00000000-0005-0000-0000-000074010000}"/>
    <cellStyle name="_Multiple_Insurance Brokerage CSC_1Q2002" xfId="133" xr:uid="{00000000-0005-0000-0000-000075010000}"/>
    <cellStyle name="_Multiple_JP" xfId="134" xr:uid="{00000000-0005-0000-0000-000076010000}"/>
    <cellStyle name="_Multiple_LNC" xfId="135" xr:uid="{00000000-0005-0000-0000-000077010000}"/>
    <cellStyle name="_Multiple_MET" xfId="136" xr:uid="{00000000-0005-0000-0000-000078010000}"/>
    <cellStyle name="_Multiple_MET04" xfId="137" xr:uid="{00000000-0005-0000-0000-000079010000}"/>
    <cellStyle name="_Multiple_NFS" xfId="138" xr:uid="{00000000-0005-0000-0000-00007A010000}"/>
    <cellStyle name="_Multiple_Overview3" xfId="139" xr:uid="{00000000-0005-0000-0000-00007B010000}"/>
    <cellStyle name="_Multiple_phil data" xfId="140" xr:uid="{00000000-0005-0000-0000-00007C010000}"/>
    <cellStyle name="_Multiple_Price Performance Charts" xfId="141" xr:uid="{00000000-0005-0000-0000-00007D010000}"/>
    <cellStyle name="_Multiple_PRU" xfId="142" xr:uid="{00000000-0005-0000-0000-00007E010000}"/>
    <cellStyle name="_Multiple_PRU04" xfId="143" xr:uid="{00000000-0005-0000-0000-00007F010000}"/>
    <cellStyle name="_Multiple_Raw_financials" xfId="580" xr:uid="{00000000-0005-0000-0000-000080010000}"/>
    <cellStyle name="_Multiple_RBOC historicals" xfId="581" xr:uid="{00000000-0005-0000-0000-000081010000}"/>
    <cellStyle name="_Multiple_RiskReward" xfId="144" xr:uid="{00000000-0005-0000-0000-000082010000}"/>
    <cellStyle name="_Multiple_SFG" xfId="145" xr:uid="{00000000-0005-0000-0000-000083010000}"/>
    <cellStyle name="_Multiple_Sheet1" xfId="146" xr:uid="{00000000-0005-0000-0000-000084010000}"/>
    <cellStyle name="_Multiple_Stock-QTR1 FDS" xfId="147" xr:uid="{00000000-0005-0000-0000-000085010000}"/>
    <cellStyle name="_Multiple_T - new" xfId="582" xr:uid="{00000000-0005-0000-0000-000086010000}"/>
    <cellStyle name="_Multiple_TMK" xfId="148" xr:uid="{00000000-0005-0000-0000-000087010000}"/>
    <cellStyle name="_Multiple_Updated Valuation Changes" xfId="149" xr:uid="{00000000-0005-0000-0000-000088010000}"/>
    <cellStyle name="_Multiple_Valuation Graphs" xfId="150" xr:uid="{00000000-0005-0000-0000-000089010000}"/>
    <cellStyle name="_Multiple_xratio - historical mkt val" xfId="151" xr:uid="{00000000-0005-0000-0000-00008A010000}"/>
    <cellStyle name="_MultipleSpace" xfId="152" xr:uid="{00000000-0005-0000-0000-00008B010000}"/>
    <cellStyle name="_MultipleSpace_01 adj for merger plan" xfId="153" xr:uid="{00000000-0005-0000-0000-00008C010000}"/>
    <cellStyle name="_MultipleSpace_Ability to Pay Analysis" xfId="154" xr:uid="{00000000-0005-0000-0000-00008D010000}"/>
    <cellStyle name="_MultipleSpace_AFL" xfId="155" xr:uid="{00000000-0005-0000-0000-00008E010000}"/>
    <cellStyle name="_MultipleSpace_AIZ" xfId="156" xr:uid="{00000000-0005-0000-0000-00008F010000}"/>
    <cellStyle name="_MultipleSpace_AMP" xfId="157" xr:uid="{00000000-0005-0000-0000-000090010000}"/>
    <cellStyle name="_MultipleSpace_Balance Sheet" xfId="158" xr:uid="{00000000-0005-0000-0000-000091010000}"/>
    <cellStyle name="_MultipleSpace_BHI" xfId="583" xr:uid="{00000000-0005-0000-0000-000092010000}"/>
    <cellStyle name="_MultipleSpace_bls roic" xfId="584" xr:uid="{00000000-0005-0000-0000-000093010000}"/>
    <cellStyle name="_MultipleSpace_Book1" xfId="159" xr:uid="{00000000-0005-0000-0000-000094010000}"/>
    <cellStyle name="_MultipleSpace_Book29" xfId="160" xr:uid="{00000000-0005-0000-0000-000095010000}"/>
    <cellStyle name="_MultipleSpace_Book3" xfId="161" xr:uid="{00000000-0005-0000-0000-000096010000}"/>
    <cellStyle name="_MultipleSpace_Book3_1" xfId="162" xr:uid="{00000000-0005-0000-0000-000097010000}"/>
    <cellStyle name="_MultipleSpace_capital expenditures 6-18-02" xfId="585" xr:uid="{00000000-0005-0000-0000-000098010000}"/>
    <cellStyle name="_MultipleSpace_CNO" xfId="163" xr:uid="{00000000-0005-0000-0000-000099010000}"/>
    <cellStyle name="_MultipleSpace_DCF Alexander Forbes" xfId="164" xr:uid="{00000000-0005-0000-0000-00009A010000}"/>
    <cellStyle name="_MultipleSpace_fmbi counties" xfId="165" xr:uid="{00000000-0005-0000-0000-00009B010000}"/>
    <cellStyle name="_MultipleSpace_FMBI MBHI Graphs" xfId="166" xr:uid="{00000000-0005-0000-0000-00009C010000}"/>
    <cellStyle name="_MultipleSpace_FMBI MBHI Graphs 07102001" xfId="167" xr:uid="{00000000-0005-0000-0000-00009D010000}"/>
    <cellStyle name="_MultipleSpace_FMBI MBHI Graphs_7601" xfId="168" xr:uid="{00000000-0005-0000-0000-00009E010000}"/>
    <cellStyle name="_MultipleSpace_GNW" xfId="169" xr:uid="{00000000-0005-0000-0000-00009F010000}"/>
    <cellStyle name="_MultipleSpace_Infinity Mill Overview 1-14-08v1" xfId="586" xr:uid="{00000000-0005-0000-0000-0000A0010000}"/>
    <cellStyle name="_MultipleSpace_Insurance Brokerage CSC_1Q2002" xfId="170" xr:uid="{00000000-0005-0000-0000-0000A1010000}"/>
    <cellStyle name="_MultipleSpace_JP" xfId="171" xr:uid="{00000000-0005-0000-0000-0000A2010000}"/>
    <cellStyle name="_MultipleSpace_LNC" xfId="172" xr:uid="{00000000-0005-0000-0000-0000A3010000}"/>
    <cellStyle name="_MultipleSpace_MET" xfId="173" xr:uid="{00000000-0005-0000-0000-0000A4010000}"/>
    <cellStyle name="_MultipleSpace_MET04" xfId="174" xr:uid="{00000000-0005-0000-0000-0000A5010000}"/>
    <cellStyle name="_MultipleSpace_NFS" xfId="175" xr:uid="{00000000-0005-0000-0000-0000A6010000}"/>
    <cellStyle name="_MultipleSpace_Overview3" xfId="176" xr:uid="{00000000-0005-0000-0000-0000A7010000}"/>
    <cellStyle name="_MultipleSpace_phil data" xfId="177" xr:uid="{00000000-0005-0000-0000-0000A8010000}"/>
    <cellStyle name="_MultipleSpace_Price Performance Charts" xfId="178" xr:uid="{00000000-0005-0000-0000-0000A9010000}"/>
    <cellStyle name="_MultipleSpace_PRU" xfId="179" xr:uid="{00000000-0005-0000-0000-0000AA010000}"/>
    <cellStyle name="_MultipleSpace_PRU04" xfId="180" xr:uid="{00000000-0005-0000-0000-0000AB010000}"/>
    <cellStyle name="_MultipleSpace_Raw_financials" xfId="587" xr:uid="{00000000-0005-0000-0000-0000AC010000}"/>
    <cellStyle name="_MultipleSpace_RBOC historicals" xfId="588" xr:uid="{00000000-0005-0000-0000-0000AD010000}"/>
    <cellStyle name="_MultipleSpace_RiskReward" xfId="181" xr:uid="{00000000-0005-0000-0000-0000AE010000}"/>
    <cellStyle name="_MultipleSpace_SFG" xfId="182" xr:uid="{00000000-0005-0000-0000-0000AF010000}"/>
    <cellStyle name="_MultipleSpace_Sheet1" xfId="183" xr:uid="{00000000-0005-0000-0000-0000B0010000}"/>
    <cellStyle name="_MultipleSpace_Stock-QTR1 FDS" xfId="184" xr:uid="{00000000-0005-0000-0000-0000B1010000}"/>
    <cellStyle name="_MultipleSpace_T - new" xfId="589" xr:uid="{00000000-0005-0000-0000-0000B2010000}"/>
    <cellStyle name="_MultipleSpace_TMK" xfId="185" xr:uid="{00000000-0005-0000-0000-0000B3010000}"/>
    <cellStyle name="_MultipleSpace_Updated Valuation Changes" xfId="186" xr:uid="{00000000-0005-0000-0000-0000B4010000}"/>
    <cellStyle name="_MultipleSpace_Valuation Graphs" xfId="187" xr:uid="{00000000-0005-0000-0000-0000B5010000}"/>
    <cellStyle name="_MultipleSpace_xratio - historical mkt val" xfId="188" xr:uid="{00000000-0005-0000-0000-0000B6010000}"/>
    <cellStyle name="_MW FDS" xfId="590" xr:uid="{00000000-0005-0000-0000-0000B7010000}"/>
    <cellStyle name="_MW_CFA" xfId="591" xr:uid="{00000000-0005-0000-0000-0000B8010000}"/>
    <cellStyle name="_MW_CFA 2" xfId="592" xr:uid="{00000000-0005-0000-0000-0000B9010000}"/>
    <cellStyle name="_MWA RR" xfId="593" xr:uid="{00000000-0005-0000-0000-0000BA010000}"/>
    <cellStyle name="_MWAnalytics" xfId="594" xr:uid="{00000000-0005-0000-0000-0000BB010000}"/>
    <cellStyle name="_MWAnalytics 2" xfId="595" xr:uid="{00000000-0005-0000-0000-0000BC010000}"/>
    <cellStyle name="_MWAnalytics_1" xfId="596" xr:uid="{00000000-0005-0000-0000-0000BD010000}"/>
    <cellStyle name="_MWAnalytics_1_AESA_WIP_ANAtest" xfId="597" xr:uid="{00000000-0005-0000-0000-0000BE010000}"/>
    <cellStyle name="_MWAnalytics_1_Estacio_Oficial_ANA_outsource_test" xfId="598" xr:uid="{00000000-0005-0000-0000-0000BF010000}"/>
    <cellStyle name="_MWAnalytics_1_Estacio_Oficial_ANA_outsource_test_2" xfId="599" xr:uid="{00000000-0005-0000-0000-0000C0010000}"/>
    <cellStyle name="_MWAnalytics_1_WORKING_prjcsmg2007_new" xfId="600" xr:uid="{00000000-0005-0000-0000-0000C1010000}"/>
    <cellStyle name="_MWAnalytics_v2" xfId="601" xr:uid="{00000000-0005-0000-0000-0000C2010000}"/>
    <cellStyle name="_MWAnalytics_v2 2" xfId="602" xr:uid="{00000000-0005-0000-0000-0000C3010000}"/>
    <cellStyle name="_oil" xfId="603" xr:uid="{00000000-0005-0000-0000-0000C4010000}"/>
    <cellStyle name="_oil 2" xfId="604" xr:uid="{00000000-0005-0000-0000-0000C5010000}"/>
    <cellStyle name="_Oil Curve" xfId="605" xr:uid="{00000000-0005-0000-0000-0000C6010000}"/>
    <cellStyle name="_Parm - valuation modeAUG4 ver4" xfId="606" xr:uid="{00000000-0005-0000-0000-0000C7010000}"/>
    <cellStyle name="_Percent" xfId="189" xr:uid="{00000000-0005-0000-0000-0000C8010000}"/>
    <cellStyle name="_Percent_BHI" xfId="607" xr:uid="{00000000-0005-0000-0000-0000C9010000}"/>
    <cellStyle name="_Percent_DCF Alexander Forbes" xfId="190" xr:uid="{00000000-0005-0000-0000-0000CA010000}"/>
    <cellStyle name="_Percent_FMBI MBHI Graphs" xfId="191" xr:uid="{00000000-0005-0000-0000-0000CB010000}"/>
    <cellStyle name="_Percent_FMBI MBHI Graphs 07102001" xfId="192" xr:uid="{00000000-0005-0000-0000-0000CC010000}"/>
    <cellStyle name="_Percent_FMBI MBHI Graphs_7601" xfId="193" xr:uid="{00000000-0005-0000-0000-0000CD010000}"/>
    <cellStyle name="_Percent_Raw_financials" xfId="608" xr:uid="{00000000-0005-0000-0000-0000CE010000}"/>
    <cellStyle name="_PercentSpace" xfId="194" xr:uid="{00000000-0005-0000-0000-0000CF010000}"/>
    <cellStyle name="_PercentSpace_01 adj for merger plan" xfId="195" xr:uid="{00000000-0005-0000-0000-0000D0010000}"/>
    <cellStyle name="_PercentSpace_BHI" xfId="609" xr:uid="{00000000-0005-0000-0000-0000D1010000}"/>
    <cellStyle name="_PercentSpace_DCF Alexander Forbes" xfId="196" xr:uid="{00000000-0005-0000-0000-0000D2010000}"/>
    <cellStyle name="_PercentSpace_FMBI MBHI Graphs" xfId="197" xr:uid="{00000000-0005-0000-0000-0000D3010000}"/>
    <cellStyle name="_PercentSpace_FMBI MBHI Graphs 07102001" xfId="198" xr:uid="{00000000-0005-0000-0000-0000D4010000}"/>
    <cellStyle name="_PercentSpace_FMBI MBHI Graphs_7601" xfId="199" xr:uid="{00000000-0005-0000-0000-0000D5010000}"/>
    <cellStyle name="_PercentSpace_Raw_financials" xfId="610" xr:uid="{00000000-0005-0000-0000-0000D6010000}"/>
    <cellStyle name="_Petrobras" xfId="611" xr:uid="{00000000-0005-0000-0000-0000D7010000}"/>
    <cellStyle name="_Project Sophie Valuation V72" xfId="612" xr:uid="{00000000-0005-0000-0000-0000D8010000}"/>
    <cellStyle name="_Puma Valuation v116" xfId="613" xr:uid="{00000000-0005-0000-0000-0000D9010000}"/>
    <cellStyle name="_Puma Valuation v117" xfId="614" xr:uid="{00000000-0005-0000-0000-0000DA010000}"/>
    <cellStyle name="_Rating Agency Analysis v2" xfId="615" xr:uid="{00000000-0005-0000-0000-0000DB010000}"/>
    <cellStyle name="_Rating Agency Analysis v2_2. TRS Decomposition" xfId="616" xr:uid="{00000000-0005-0000-0000-0000DC010000}"/>
    <cellStyle name="_Rating Agency Analysis v2_PRGA Model with TRS Decomposition" xfId="617" xr:uid="{00000000-0005-0000-0000-0000DD010000}"/>
    <cellStyle name="_Rating Agency Analysis v2_Raw_financials" xfId="618" xr:uid="{00000000-0005-0000-0000-0000DE010000}"/>
    <cellStyle name="_ROE2" xfId="619" xr:uid="{00000000-0005-0000-0000-0000DF010000}"/>
    <cellStyle name="_ROE2 2" xfId="620" xr:uid="{00000000-0005-0000-0000-0000E0010000}"/>
    <cellStyle name="_ROE4" xfId="621" xr:uid="{00000000-0005-0000-0000-0000E1010000}"/>
    <cellStyle name="_ROE4 2" xfId="622" xr:uid="{00000000-0005-0000-0000-0000E2010000}"/>
    <cellStyle name="_ROE8" xfId="623" xr:uid="{00000000-0005-0000-0000-0000E3010000}"/>
    <cellStyle name="_ROE8 2" xfId="624" xr:uid="{00000000-0005-0000-0000-0000E4010000}"/>
    <cellStyle name="_RRS1" xfId="625" xr:uid="{00000000-0005-0000-0000-0000E5010000}"/>
    <cellStyle name="_RRS1_AGRO3 Valuation Model" xfId="626" xr:uid="{00000000-0005-0000-0000-0000E6010000}"/>
    <cellStyle name="_RRS1_AGRO3 Valuation Model 2" xfId="627" xr:uid="{00000000-0005-0000-0000-0000E7010000}"/>
    <cellStyle name="_RRS1_AGRO3-Valuation-Model-backup 211208" xfId="628" xr:uid="{00000000-0005-0000-0000-0000E8010000}"/>
    <cellStyle name="_RRS1_Drogasil Model" xfId="629" xr:uid="{00000000-0005-0000-0000-0000E9010000}"/>
    <cellStyle name="_RRS1_Drogasil Model 2" xfId="630" xr:uid="{00000000-0005-0000-0000-0000EA010000}"/>
    <cellStyle name="_RRS1_FFTL4 Valuation Model" xfId="631" xr:uid="{00000000-0005-0000-0000-0000EB010000}"/>
    <cellStyle name="_RRS1_SLCE3 Valuation Model" xfId="632" xr:uid="{00000000-0005-0000-0000-0000EC010000}"/>
    <cellStyle name="_RRS1_SLCE3 Valuation Model 2" xfId="633" xr:uid="{00000000-0005-0000-0000-0000ED010000}"/>
    <cellStyle name="_RRS1_Valuation Anhanguera " xfId="634" xr:uid="{00000000-0005-0000-0000-0000EE010000}"/>
    <cellStyle name="_RRS1_Valuation Anhanguera  2" xfId="635" xr:uid="{00000000-0005-0000-0000-0000EF010000}"/>
    <cellStyle name="_RRS10" xfId="636" xr:uid="{00000000-0005-0000-0000-0000F0010000}"/>
    <cellStyle name="_RRS10 2" xfId="637" xr:uid="{00000000-0005-0000-0000-0000F1010000}"/>
    <cellStyle name="_RRS10_1" xfId="638" xr:uid="{00000000-0005-0000-0000-0000F2010000}"/>
    <cellStyle name="_RRS11" xfId="639" xr:uid="{00000000-0005-0000-0000-0000F3010000}"/>
    <cellStyle name="_RRS11 2" xfId="640" xr:uid="{00000000-0005-0000-0000-0000F4010000}"/>
    <cellStyle name="_RRS12" xfId="641" xr:uid="{00000000-0005-0000-0000-0000F5010000}"/>
    <cellStyle name="_RRS12 2" xfId="642" xr:uid="{00000000-0005-0000-0000-0000F6010000}"/>
    <cellStyle name="_RRS13" xfId="643" xr:uid="{00000000-0005-0000-0000-0000F7010000}"/>
    <cellStyle name="_RRS14" xfId="644" xr:uid="{00000000-0005-0000-0000-0000F8010000}"/>
    <cellStyle name="_RRS14 2" xfId="645" xr:uid="{00000000-0005-0000-0000-0000F9010000}"/>
    <cellStyle name="_RRS16" xfId="646" xr:uid="{00000000-0005-0000-0000-0000FA010000}"/>
    <cellStyle name="_RRS16 2" xfId="647" xr:uid="{00000000-0005-0000-0000-0000FB010000}"/>
    <cellStyle name="_RRS17" xfId="648" xr:uid="{00000000-0005-0000-0000-0000FC010000}"/>
    <cellStyle name="_RRS17 2" xfId="649" xr:uid="{00000000-0005-0000-0000-0000FD010000}"/>
    <cellStyle name="_RRS21" xfId="650" xr:uid="{00000000-0005-0000-0000-0000FE010000}"/>
    <cellStyle name="_RRS21_AGRO3-Valuation-Model-backup02dez08" xfId="651" xr:uid="{00000000-0005-0000-0000-0000FF010000}"/>
    <cellStyle name="_RRS21_AGRO3-Valuation-Model-backup02dez08 2" xfId="652" xr:uid="{00000000-0005-0000-0000-000000020000}"/>
    <cellStyle name="_RRS21_Drogasil Model" xfId="653" xr:uid="{00000000-0005-0000-0000-000001020000}"/>
    <cellStyle name="_RRS21_Drogasil Model 2" xfId="654" xr:uid="{00000000-0005-0000-0000-000002020000}"/>
    <cellStyle name="_RRS21_Valuation Anhanguera " xfId="655" xr:uid="{00000000-0005-0000-0000-000003020000}"/>
    <cellStyle name="_RRS21_Valuation Anhanguera  2" xfId="656" xr:uid="{00000000-0005-0000-0000-000004020000}"/>
    <cellStyle name="_RRS25" xfId="657" xr:uid="{00000000-0005-0000-0000-000005020000}"/>
    <cellStyle name="_RRS25 2" xfId="658" xr:uid="{00000000-0005-0000-0000-000006020000}"/>
    <cellStyle name="_RRS28" xfId="659" xr:uid="{00000000-0005-0000-0000-000007020000}"/>
    <cellStyle name="_RRS33" xfId="660" xr:uid="{00000000-0005-0000-0000-000008020000}"/>
    <cellStyle name="_RRS33 2" xfId="661" xr:uid="{00000000-0005-0000-0000-000009020000}"/>
    <cellStyle name="_RRS37" xfId="662" xr:uid="{00000000-0005-0000-0000-00000A020000}"/>
    <cellStyle name="_RRS38" xfId="663" xr:uid="{00000000-0005-0000-0000-00000B020000}"/>
    <cellStyle name="_RRS38 2" xfId="664" xr:uid="{00000000-0005-0000-0000-00000C020000}"/>
    <cellStyle name="_RRS4" xfId="665" xr:uid="{00000000-0005-0000-0000-00000D020000}"/>
    <cellStyle name="_RRS4 2" xfId="666" xr:uid="{00000000-0005-0000-0000-00000E020000}"/>
    <cellStyle name="_RRS5" xfId="667" xr:uid="{00000000-0005-0000-0000-00000F020000}"/>
    <cellStyle name="_RRS5 2" xfId="668" xr:uid="{00000000-0005-0000-0000-000010020000}"/>
    <cellStyle name="_RRS6" xfId="669" xr:uid="{00000000-0005-0000-0000-000011020000}"/>
    <cellStyle name="_RRS6 2" xfId="670" xr:uid="{00000000-0005-0000-0000-000012020000}"/>
    <cellStyle name="_RRS7" xfId="671" xr:uid="{00000000-0005-0000-0000-000013020000}"/>
    <cellStyle name="_RRS7 2" xfId="672" xr:uid="{00000000-0005-0000-0000-000014020000}"/>
    <cellStyle name="_Semco Model 5-03-03_v2" xfId="673" xr:uid="{00000000-0005-0000-0000-000015020000}"/>
    <cellStyle name="_Semco Model 5-03-03_v21" xfId="674" xr:uid="{00000000-0005-0000-0000-000016020000}"/>
    <cellStyle name="_Semco Model 7-21-03" xfId="675" xr:uid="{00000000-0005-0000-0000-000017020000}"/>
    <cellStyle name="_Semco Model 7-21-03_2. TRS Decomposition" xfId="676" xr:uid="{00000000-0005-0000-0000-000018020000}"/>
    <cellStyle name="_Semco Model 7-21-03_PRGA Model with TRS Decomposition" xfId="677" xr:uid="{00000000-0005-0000-0000-000019020000}"/>
    <cellStyle name="_Semco Model 7-21-03_Raw_financials" xfId="678" xr:uid="{00000000-0005-0000-0000-00001A020000}"/>
    <cellStyle name="_Semco Model 8-11-03" xfId="679" xr:uid="{00000000-0005-0000-0000-00001B020000}"/>
    <cellStyle name="_ShtReferance" xfId="680" xr:uid="{00000000-0005-0000-0000-00001C020000}"/>
    <cellStyle name="_ShtReferance_AESA_WIP_ANAtest" xfId="681" xr:uid="{00000000-0005-0000-0000-00001D020000}"/>
    <cellStyle name="_ShtReferance_Estacio_Oficial_ANA_outsource_test" xfId="682" xr:uid="{00000000-0005-0000-0000-00001E020000}"/>
    <cellStyle name="_ShtReferance_Estacio_Oficial_ANA_outsource_test_2" xfId="683" xr:uid="{00000000-0005-0000-0000-00001F020000}"/>
    <cellStyle name="_ShtReferance_WORKING_prjcsmg2007_new" xfId="684" xr:uid="{00000000-0005-0000-0000-000020020000}"/>
    <cellStyle name="_x0002__SLCE3 Valuation Model" xfId="685" xr:uid="{00000000-0005-0000-0000-000021020000}"/>
    <cellStyle name="-_SLCE3 Valuation Model" xfId="686" xr:uid="{00000000-0005-0000-0000-000022020000}"/>
    <cellStyle name="_x0002__SLCE3 Valuation Model 10" xfId="687" xr:uid="{00000000-0005-0000-0000-000023020000}"/>
    <cellStyle name="-_SLCE3 Valuation Model 10" xfId="688" xr:uid="{00000000-0005-0000-0000-000024020000}"/>
    <cellStyle name="_x0002__SLCE3 Valuation Model 11" xfId="689" xr:uid="{00000000-0005-0000-0000-000025020000}"/>
    <cellStyle name="-_SLCE3 Valuation Model 11" xfId="690" xr:uid="{00000000-0005-0000-0000-000026020000}"/>
    <cellStyle name="_x0002__SLCE3 Valuation Model 12" xfId="691" xr:uid="{00000000-0005-0000-0000-000027020000}"/>
    <cellStyle name="-_SLCE3 Valuation Model 12" xfId="692" xr:uid="{00000000-0005-0000-0000-000028020000}"/>
    <cellStyle name="_x0002__SLCE3 Valuation Model 13" xfId="693" xr:uid="{00000000-0005-0000-0000-000029020000}"/>
    <cellStyle name="-_SLCE3 Valuation Model 13" xfId="694" xr:uid="{00000000-0005-0000-0000-00002A020000}"/>
    <cellStyle name="_x0002__SLCE3 Valuation Model 14" xfId="695" xr:uid="{00000000-0005-0000-0000-00002B020000}"/>
    <cellStyle name="-_SLCE3 Valuation Model 14" xfId="696" xr:uid="{00000000-0005-0000-0000-00002C020000}"/>
    <cellStyle name="_x0002__SLCE3 Valuation Model 15" xfId="697" xr:uid="{00000000-0005-0000-0000-00002D020000}"/>
    <cellStyle name="-_SLCE3 Valuation Model 15" xfId="698" xr:uid="{00000000-0005-0000-0000-00002E020000}"/>
    <cellStyle name="_x0002__SLCE3 Valuation Model 16" xfId="699" xr:uid="{00000000-0005-0000-0000-00002F020000}"/>
    <cellStyle name="-_SLCE3 Valuation Model 16" xfId="700" xr:uid="{00000000-0005-0000-0000-000030020000}"/>
    <cellStyle name="_x0002__SLCE3 Valuation Model 17" xfId="701" xr:uid="{00000000-0005-0000-0000-000031020000}"/>
    <cellStyle name="-_SLCE3 Valuation Model 17" xfId="702" xr:uid="{00000000-0005-0000-0000-000032020000}"/>
    <cellStyle name="_x0002__SLCE3 Valuation Model 2" xfId="703" xr:uid="{00000000-0005-0000-0000-000033020000}"/>
    <cellStyle name="-_SLCE3 Valuation Model 2" xfId="704" xr:uid="{00000000-0005-0000-0000-000034020000}"/>
    <cellStyle name="_x0002__SLCE3 Valuation Model 3" xfId="705" xr:uid="{00000000-0005-0000-0000-000035020000}"/>
    <cellStyle name="-_SLCE3 Valuation Model 3" xfId="706" xr:uid="{00000000-0005-0000-0000-000036020000}"/>
    <cellStyle name="_x0002__SLCE3 Valuation Model 4" xfId="707" xr:uid="{00000000-0005-0000-0000-000037020000}"/>
    <cellStyle name="-_SLCE3 Valuation Model 4" xfId="708" xr:uid="{00000000-0005-0000-0000-000038020000}"/>
    <cellStyle name="_x0002__SLCE3 Valuation Model 5" xfId="709" xr:uid="{00000000-0005-0000-0000-000039020000}"/>
    <cellStyle name="-_SLCE3 Valuation Model 5" xfId="710" xr:uid="{00000000-0005-0000-0000-00003A020000}"/>
    <cellStyle name="_x0002__SLCE3 Valuation Model 6" xfId="711" xr:uid="{00000000-0005-0000-0000-00003B020000}"/>
    <cellStyle name="-_SLCE3 Valuation Model 6" xfId="712" xr:uid="{00000000-0005-0000-0000-00003C020000}"/>
    <cellStyle name="_x0002__SLCE3 Valuation Model 7" xfId="713" xr:uid="{00000000-0005-0000-0000-00003D020000}"/>
    <cellStyle name="-_SLCE3 Valuation Model 7" xfId="714" xr:uid="{00000000-0005-0000-0000-00003E020000}"/>
    <cellStyle name="_x0002__SLCE3 Valuation Model 8" xfId="715" xr:uid="{00000000-0005-0000-0000-00003F020000}"/>
    <cellStyle name="-_SLCE3 Valuation Model 8" xfId="716" xr:uid="{00000000-0005-0000-0000-000040020000}"/>
    <cellStyle name="_x0002__SLCE3 Valuation Model 9" xfId="717" xr:uid="{00000000-0005-0000-0000-000041020000}"/>
    <cellStyle name="-_SLCE3 Valuation Model 9" xfId="718" xr:uid="{00000000-0005-0000-0000-000042020000}"/>
    <cellStyle name="-_SLCE3 Valuation Model_Raw_financials" xfId="719" xr:uid="{00000000-0005-0000-0000-000043020000}"/>
    <cellStyle name="-_SLCE3 Valuation Model_Raw_financials 2" xfId="720" xr:uid="{00000000-0005-0000-0000-000044020000}"/>
    <cellStyle name="_SubHeading" xfId="200" xr:uid="{00000000-0005-0000-0000-000045020000}"/>
    <cellStyle name="_SubHeading_Ability to Pay Analysis" xfId="201" xr:uid="{00000000-0005-0000-0000-000046020000}"/>
    <cellStyle name="_SubHeading_BankUnited Model" xfId="202" xr:uid="{00000000-0005-0000-0000-000047020000}"/>
    <cellStyle name="_SubHeading_BLS" xfId="721" xr:uid="{00000000-0005-0000-0000-000048020000}"/>
    <cellStyle name="_SubHeading_bls roic" xfId="722" xr:uid="{00000000-0005-0000-0000-000049020000}"/>
    <cellStyle name="_SubHeading_Book9" xfId="723" xr:uid="{00000000-0005-0000-0000-00004A020000}"/>
    <cellStyle name="_SubHeading_Broadband Comps" xfId="724" xr:uid="{00000000-0005-0000-0000-00004B020000}"/>
    <cellStyle name="_SubHeading_capital expenditures 6-18-02" xfId="725" xr:uid="{00000000-0005-0000-0000-00004C020000}"/>
    <cellStyle name="_SubHeading_CTCO" xfId="726" xr:uid="{00000000-0005-0000-0000-00004D020000}"/>
    <cellStyle name="_SubHeading_fmbi counties" xfId="203" xr:uid="{00000000-0005-0000-0000-00004E020000}"/>
    <cellStyle name="_SubHeading_FMBI MBHI Graphs" xfId="204" xr:uid="{00000000-0005-0000-0000-00004F020000}"/>
    <cellStyle name="_SubHeading_FMBI MBHI Graphs 07102001" xfId="205" xr:uid="{00000000-0005-0000-0000-000050020000}"/>
    <cellStyle name="_SubHeading_FMBI MBHI Graphs_7601" xfId="206" xr:uid="{00000000-0005-0000-0000-000051020000}"/>
    <cellStyle name="_SubHeading_Infinity Mill Overview 1-14-08v1" xfId="727" xr:uid="{00000000-0005-0000-0000-000052020000}"/>
    <cellStyle name="_SubHeading_Infinity Mill Overview 1-14-08v1 2" xfId="728" xr:uid="{00000000-0005-0000-0000-000053020000}"/>
    <cellStyle name="_SubHeading_prestemp" xfId="207" xr:uid="{00000000-0005-0000-0000-000054020000}"/>
    <cellStyle name="_SubHeading_prestemp_Insurance Brokerage CSC_1Q2002" xfId="208" xr:uid="{00000000-0005-0000-0000-000055020000}"/>
    <cellStyle name="_SubHeading_prestemp_Overview3" xfId="209" xr:uid="{00000000-0005-0000-0000-000056020000}"/>
    <cellStyle name="_SubHeading_prestemp_Updated Valuation Changes" xfId="210" xr:uid="{00000000-0005-0000-0000-000057020000}"/>
    <cellStyle name="_SubHeading_Q" xfId="729" xr:uid="{00000000-0005-0000-0000-000058020000}"/>
    <cellStyle name="_SubHeading_q - new guidance" xfId="730" xr:uid="{00000000-0005-0000-0000-000059020000}"/>
    <cellStyle name="_SubHeading_q - valuation" xfId="731" xr:uid="{00000000-0005-0000-0000-00005A020000}"/>
    <cellStyle name="_SubHeading_Q model_041802" xfId="732" xr:uid="{00000000-0005-0000-0000-00005B020000}"/>
    <cellStyle name="_SubHeading_Q_update" xfId="733" xr:uid="{00000000-0005-0000-0000-00005C020000}"/>
    <cellStyle name="_SubHeading_Qwest Analysis" xfId="734" xr:uid="{00000000-0005-0000-0000-00005D020000}"/>
    <cellStyle name="_SubHeading_RBOC historicals" xfId="735" xr:uid="{00000000-0005-0000-0000-00005E020000}"/>
    <cellStyle name="_SubHeading_T - new" xfId="736" xr:uid="{00000000-0005-0000-0000-00005F020000}"/>
    <cellStyle name="_SubHeading_VZ" xfId="737" xr:uid="{00000000-0005-0000-0000-000060020000}"/>
    <cellStyle name="_SubHeading_WACC Model for TTS" xfId="738" xr:uid="{00000000-0005-0000-0000-000061020000}"/>
    <cellStyle name="_SubHeading_WACC Model for TTS 2" xfId="739" xr:uid="{00000000-0005-0000-0000-000062020000}"/>
    <cellStyle name="_SubHeading_xratio - historical mkt val" xfId="211" xr:uid="{00000000-0005-0000-0000-000063020000}"/>
    <cellStyle name="_Subo" xfId="740" xr:uid="{00000000-0005-0000-0000-000064020000}"/>
    <cellStyle name="_Subo_AESA_WIP_ANAtest" xfId="741" xr:uid="{00000000-0005-0000-0000-000065020000}"/>
    <cellStyle name="_Subo_Estacio_Oficial_ANA_outsource_test" xfId="742" xr:uid="{00000000-0005-0000-0000-000066020000}"/>
    <cellStyle name="_Subo_Estacio_Oficial_ANA_outsource_test_2" xfId="743" xr:uid="{00000000-0005-0000-0000-000067020000}"/>
    <cellStyle name="_Subo_Prjcmi2006" xfId="744" xr:uid="{00000000-0005-0000-0000-000068020000}"/>
    <cellStyle name="_Subo_Prjcmi2006_Estacio_Oficial_ANA_outsource_test" xfId="745" xr:uid="{00000000-0005-0000-0000-000069020000}"/>
    <cellStyle name="_Subo_Prjcmi2006_SEB_Oficial_ANA_outsource_test" xfId="746" xr:uid="{00000000-0005-0000-0000-00006A020000}"/>
    <cellStyle name="_Subo_Prjcmi2006_SEB_Oficial_ANA_outsource_test 2" xfId="747" xr:uid="{00000000-0005-0000-0000-00006B020000}"/>
    <cellStyle name="_Subo_Prjcmi2007_SOTP_new" xfId="748" xr:uid="{00000000-0005-0000-0000-00006C020000}"/>
    <cellStyle name="_Subo_Prjcmi2007_SOTP_new_Estacio_Oficial_ANA_outsource_test" xfId="749" xr:uid="{00000000-0005-0000-0000-00006D020000}"/>
    <cellStyle name="_Subo_Prjcmi2007_SOTP_new_SEB_Oficial_ANA_outsource_test" xfId="750" xr:uid="{00000000-0005-0000-0000-00006E020000}"/>
    <cellStyle name="_Subo_Prjcmi2007_SOTP_new_SEB_Oficial_ANA_outsource_test 2" xfId="751" xr:uid="{00000000-0005-0000-0000-00006F020000}"/>
    <cellStyle name="_Subo_prjcpl2007_SOTP_new" xfId="752" xr:uid="{00000000-0005-0000-0000-000070020000}"/>
    <cellStyle name="_Subo_prjcpl2007_SOTP_new_Estacio_Oficial_ANA_outsource_test" xfId="753" xr:uid="{00000000-0005-0000-0000-000071020000}"/>
    <cellStyle name="_Subo_prjcpl2007_SOTP_new_SEB_Oficial_ANA_outsource_test" xfId="754" xr:uid="{00000000-0005-0000-0000-000072020000}"/>
    <cellStyle name="_Subo_prjcpl2007_SOTP_new_SEB_Oficial_ANA_outsource_test 2" xfId="755" xr:uid="{00000000-0005-0000-0000-000073020000}"/>
    <cellStyle name="_Subo_prjele2007_new" xfId="756" xr:uid="{00000000-0005-0000-0000-000074020000}"/>
    <cellStyle name="_Subo_prjget2005" xfId="757" xr:uid="{00000000-0005-0000-0000-000075020000}"/>
    <cellStyle name="_Subo_prjget2007" xfId="758" xr:uid="{00000000-0005-0000-0000-000076020000}"/>
    <cellStyle name="_Subo_prjtbl2005" xfId="759" xr:uid="{00000000-0005-0000-0000-000077020000}"/>
    <cellStyle name="_Subo_SEB_Oficial_ANA_outsource_test" xfId="760" xr:uid="{00000000-0005-0000-0000-000078020000}"/>
    <cellStyle name="_Subo_SEB_Oficial_ANA_outsource_test 2" xfId="761" xr:uid="{00000000-0005-0000-0000-000079020000}"/>
    <cellStyle name="_Subo_WORKING Prjcmi2007_SOTP_new" xfId="762" xr:uid="{00000000-0005-0000-0000-00007A020000}"/>
    <cellStyle name="_Subo_WORKING Prjcmi2007_SOTP_new_Estacio_Oficial_ANA_outsource_test" xfId="763" xr:uid="{00000000-0005-0000-0000-00007B020000}"/>
    <cellStyle name="_Subo_WORKING Prjcmi2007_SOTP_new_SEB_Oficial_ANA_outsource_test" xfId="764" xr:uid="{00000000-0005-0000-0000-00007C020000}"/>
    <cellStyle name="_Subo_WORKING Prjcmi2007_SOTP_new_SEB_Oficial_ANA_outsource_test 2" xfId="765" xr:uid="{00000000-0005-0000-0000-00007D020000}"/>
    <cellStyle name="_Subo_WORKING prjcsp2007_new" xfId="766" xr:uid="{00000000-0005-0000-0000-00007E020000}"/>
    <cellStyle name="_Subo_WORKING prjedp2007_new" xfId="767" xr:uid="{00000000-0005-0000-0000-00007F020000}"/>
    <cellStyle name="_Subo_WORKING prjedp2007_new_Estacio_Oficial_ANA_outsource_test" xfId="768" xr:uid="{00000000-0005-0000-0000-000080020000}"/>
    <cellStyle name="_Subo_WORKING prjedp2007_new_SEB_Oficial_ANA_outsource_test" xfId="769" xr:uid="{00000000-0005-0000-0000-000081020000}"/>
    <cellStyle name="_Subo_WORKING prjedp2007_new_SEB_Oficial_ANA_outsource_test 2" xfId="770" xr:uid="{00000000-0005-0000-0000-000082020000}"/>
    <cellStyle name="_Subo_WORKING PRJelp2007_new" xfId="771" xr:uid="{00000000-0005-0000-0000-000083020000}"/>
    <cellStyle name="_Subo_WORKING prjeqt2007_new" xfId="772" xr:uid="{00000000-0005-0000-0000-000084020000}"/>
    <cellStyle name="_Subo_WORKING prjget2007_new" xfId="773" xr:uid="{00000000-0005-0000-0000-000085020000}"/>
    <cellStyle name="_Subo_WORKING prjget42007_new" xfId="774" xr:uid="{00000000-0005-0000-0000-000086020000}"/>
    <cellStyle name="_Subo_WORKING prjtbl2007_new" xfId="775" xr:uid="{00000000-0005-0000-0000-000087020000}"/>
    <cellStyle name="_Subo_WORKING_prjcsmg2007_new" xfId="776" xr:uid="{00000000-0005-0000-0000-000088020000}"/>
    <cellStyle name="_Sugar Sector Compaqs_v9" xfId="777" xr:uid="{00000000-0005-0000-0000-000089020000}"/>
    <cellStyle name="_SUMMARY " xfId="778" xr:uid="{00000000-0005-0000-0000-00008A020000}"/>
    <cellStyle name="_Summary_Land" xfId="779" xr:uid="{00000000-0005-0000-0000-00008B020000}"/>
    <cellStyle name="_SY Earnings(Labor cost)" xfId="780" xr:uid="{00000000-0005-0000-0000-00008C020000}"/>
    <cellStyle name="_SY Earnings(Labor cost) 2" xfId="781" xr:uid="{00000000-0005-0000-0000-00008D020000}"/>
    <cellStyle name="_TA Case" xfId="782" xr:uid="{00000000-0005-0000-0000-00008E020000}"/>
    <cellStyle name="_Table" xfId="212" xr:uid="{00000000-0005-0000-0000-00008F020000}"/>
    <cellStyle name="_Table_Ability to Pay Analysis" xfId="213" xr:uid="{00000000-0005-0000-0000-000090020000}"/>
    <cellStyle name="_Table_BankUnited Model" xfId="214" xr:uid="{00000000-0005-0000-0000-000091020000}"/>
    <cellStyle name="_Table_BLS" xfId="783" xr:uid="{00000000-0005-0000-0000-000092020000}"/>
    <cellStyle name="_Table_bls roic" xfId="784" xr:uid="{00000000-0005-0000-0000-000093020000}"/>
    <cellStyle name="_Table_Book9" xfId="785" xr:uid="{00000000-0005-0000-0000-000094020000}"/>
    <cellStyle name="_Table_Broadband Comps" xfId="786" xr:uid="{00000000-0005-0000-0000-000095020000}"/>
    <cellStyle name="_Table_capital expenditures 6-18-02" xfId="787" xr:uid="{00000000-0005-0000-0000-000096020000}"/>
    <cellStyle name="_Table_CTCO" xfId="788" xr:uid="{00000000-0005-0000-0000-000097020000}"/>
    <cellStyle name="_Table_fmbi counties" xfId="215" xr:uid="{00000000-0005-0000-0000-000098020000}"/>
    <cellStyle name="_Table_Infinity Mill Overview 1-14-08v1" xfId="789" xr:uid="{00000000-0005-0000-0000-000099020000}"/>
    <cellStyle name="_Table_Infinity Mill Overview 1-14-08v1 2" xfId="790" xr:uid="{00000000-0005-0000-0000-00009A020000}"/>
    <cellStyle name="_Table_Q" xfId="791" xr:uid="{00000000-0005-0000-0000-00009B020000}"/>
    <cellStyle name="_Table_q - new guidance" xfId="792" xr:uid="{00000000-0005-0000-0000-00009C020000}"/>
    <cellStyle name="_Table_q - valuation" xfId="793" xr:uid="{00000000-0005-0000-0000-00009D020000}"/>
    <cellStyle name="_Table_Q model_041802" xfId="794" xr:uid="{00000000-0005-0000-0000-00009E020000}"/>
    <cellStyle name="_Table_Q_update" xfId="795" xr:uid="{00000000-0005-0000-0000-00009F020000}"/>
    <cellStyle name="_Table_Qwest Analysis" xfId="796" xr:uid="{00000000-0005-0000-0000-0000A0020000}"/>
    <cellStyle name="_Table_RBOC historicals" xfId="797" xr:uid="{00000000-0005-0000-0000-0000A1020000}"/>
    <cellStyle name="_Table_T - new" xfId="798" xr:uid="{00000000-0005-0000-0000-0000A2020000}"/>
    <cellStyle name="_Table_VZ" xfId="799" xr:uid="{00000000-0005-0000-0000-0000A3020000}"/>
    <cellStyle name="_Table_xratio - historical mkt val" xfId="216" xr:uid="{00000000-0005-0000-0000-0000A4020000}"/>
    <cellStyle name="_TableHead" xfId="217" xr:uid="{00000000-0005-0000-0000-0000A5020000}"/>
    <cellStyle name="_TableHead 2" xfId="800" xr:uid="{00000000-0005-0000-0000-0000A6020000}"/>
    <cellStyle name="_TableHead 3" xfId="801" xr:uid="{00000000-0005-0000-0000-0000A7020000}"/>
    <cellStyle name="_TableHead 4" xfId="802" xr:uid="{00000000-0005-0000-0000-0000A8020000}"/>
    <cellStyle name="_TableHead_BLS" xfId="803" xr:uid="{00000000-0005-0000-0000-0000A9020000}"/>
    <cellStyle name="_TableHead_BLS 2" xfId="804" xr:uid="{00000000-0005-0000-0000-0000AA020000}"/>
    <cellStyle name="_TableHead_BLS 3" xfId="805" xr:uid="{00000000-0005-0000-0000-0000AB020000}"/>
    <cellStyle name="_TableHead_BLS 4" xfId="806" xr:uid="{00000000-0005-0000-0000-0000AC020000}"/>
    <cellStyle name="_TableHead_bls roic" xfId="807" xr:uid="{00000000-0005-0000-0000-0000AD020000}"/>
    <cellStyle name="_TableHead_bls roic 2" xfId="808" xr:uid="{00000000-0005-0000-0000-0000AE020000}"/>
    <cellStyle name="_TableHead_bls roic 3" xfId="809" xr:uid="{00000000-0005-0000-0000-0000AF020000}"/>
    <cellStyle name="_TableHead_bls roic 4" xfId="810" xr:uid="{00000000-0005-0000-0000-0000B0020000}"/>
    <cellStyle name="_TableHead_Book9" xfId="811" xr:uid="{00000000-0005-0000-0000-0000B1020000}"/>
    <cellStyle name="_TableHead_Book9 2" xfId="812" xr:uid="{00000000-0005-0000-0000-0000B2020000}"/>
    <cellStyle name="_TableHead_Book9 3" xfId="813" xr:uid="{00000000-0005-0000-0000-0000B3020000}"/>
    <cellStyle name="_TableHead_Book9 4" xfId="814" xr:uid="{00000000-0005-0000-0000-0000B4020000}"/>
    <cellStyle name="_TableHead_Broadband Comps" xfId="815" xr:uid="{00000000-0005-0000-0000-0000B5020000}"/>
    <cellStyle name="_TableHead_Broadband Comps 2" xfId="816" xr:uid="{00000000-0005-0000-0000-0000B6020000}"/>
    <cellStyle name="_TableHead_Broadband Comps 3" xfId="817" xr:uid="{00000000-0005-0000-0000-0000B7020000}"/>
    <cellStyle name="_TableHead_Broadband Comps 4" xfId="818" xr:uid="{00000000-0005-0000-0000-0000B8020000}"/>
    <cellStyle name="_TableHead_capital expenditures 6-18-02" xfId="819" xr:uid="{00000000-0005-0000-0000-0000B9020000}"/>
    <cellStyle name="_TableHead_capital expenditures 6-18-02 2" xfId="820" xr:uid="{00000000-0005-0000-0000-0000BA020000}"/>
    <cellStyle name="_TableHead_capital expenditures 6-18-02 3" xfId="821" xr:uid="{00000000-0005-0000-0000-0000BB020000}"/>
    <cellStyle name="_TableHead_capital expenditures 6-18-02 4" xfId="822" xr:uid="{00000000-0005-0000-0000-0000BC020000}"/>
    <cellStyle name="_TableHead_CTCO" xfId="823" xr:uid="{00000000-0005-0000-0000-0000BD020000}"/>
    <cellStyle name="_TableHead_CTCO 2" xfId="824" xr:uid="{00000000-0005-0000-0000-0000BE020000}"/>
    <cellStyle name="_TableHead_CTCO 3" xfId="825" xr:uid="{00000000-0005-0000-0000-0000BF020000}"/>
    <cellStyle name="_TableHead_CTCO 4" xfId="826" xr:uid="{00000000-0005-0000-0000-0000C0020000}"/>
    <cellStyle name="_TableHead_Infinity Mill Overview 1-14-08v1" xfId="827" xr:uid="{00000000-0005-0000-0000-0000C1020000}"/>
    <cellStyle name="_TableHead_Infinity Mill Overview 1-14-08v1 2" xfId="828" xr:uid="{00000000-0005-0000-0000-0000C2020000}"/>
    <cellStyle name="_TableHead_Infinity Mill Overview 1-14-08v1 2 2" xfId="829" xr:uid="{00000000-0005-0000-0000-0000C3020000}"/>
    <cellStyle name="_TableHead_Infinity Mill Overview 1-14-08v1 2 3" xfId="830" xr:uid="{00000000-0005-0000-0000-0000C4020000}"/>
    <cellStyle name="_TableHead_Infinity Mill Overview 1-14-08v1 2 4" xfId="831" xr:uid="{00000000-0005-0000-0000-0000C5020000}"/>
    <cellStyle name="_TableHead_Infinity Mill Overview 1-14-08v1 3" xfId="832" xr:uid="{00000000-0005-0000-0000-0000C6020000}"/>
    <cellStyle name="_TableHead_Infinity Mill Overview 1-14-08v1 4" xfId="833" xr:uid="{00000000-0005-0000-0000-0000C7020000}"/>
    <cellStyle name="_TableHead_Infinity Mill Overview 1-14-08v1 5" xfId="834" xr:uid="{00000000-0005-0000-0000-0000C8020000}"/>
    <cellStyle name="_TableHead_Q" xfId="835" xr:uid="{00000000-0005-0000-0000-0000C9020000}"/>
    <cellStyle name="_TableHead_q - new guidance" xfId="836" xr:uid="{00000000-0005-0000-0000-0000CA020000}"/>
    <cellStyle name="_TableHead_q - new guidance 2" xfId="837" xr:uid="{00000000-0005-0000-0000-0000CB020000}"/>
    <cellStyle name="_TableHead_q - new guidance 3" xfId="838" xr:uid="{00000000-0005-0000-0000-0000CC020000}"/>
    <cellStyle name="_TableHead_q - new guidance 4" xfId="839" xr:uid="{00000000-0005-0000-0000-0000CD020000}"/>
    <cellStyle name="_TableHead_q - valuation" xfId="840" xr:uid="{00000000-0005-0000-0000-0000CE020000}"/>
    <cellStyle name="_TableHead_q - valuation 2" xfId="841" xr:uid="{00000000-0005-0000-0000-0000CF020000}"/>
    <cellStyle name="_TableHead_q - valuation 3" xfId="842" xr:uid="{00000000-0005-0000-0000-0000D0020000}"/>
    <cellStyle name="_TableHead_q - valuation 4" xfId="843" xr:uid="{00000000-0005-0000-0000-0000D1020000}"/>
    <cellStyle name="_TableHead_Q 2" xfId="844" xr:uid="{00000000-0005-0000-0000-0000D2020000}"/>
    <cellStyle name="_TableHead_Q 3" xfId="845" xr:uid="{00000000-0005-0000-0000-0000D3020000}"/>
    <cellStyle name="_TableHead_Q 4" xfId="846" xr:uid="{00000000-0005-0000-0000-0000D4020000}"/>
    <cellStyle name="_TableHead_Q 5" xfId="847" xr:uid="{00000000-0005-0000-0000-0000D5020000}"/>
    <cellStyle name="_TableHead_Q 6" xfId="848" xr:uid="{00000000-0005-0000-0000-0000D6020000}"/>
    <cellStyle name="_TableHead_Q 7" xfId="849" xr:uid="{00000000-0005-0000-0000-0000D7020000}"/>
    <cellStyle name="_TableHead_Q model_041802" xfId="850" xr:uid="{00000000-0005-0000-0000-0000D8020000}"/>
    <cellStyle name="_TableHead_Q model_041802 2" xfId="851" xr:uid="{00000000-0005-0000-0000-0000D9020000}"/>
    <cellStyle name="_TableHead_Q model_041802 3" xfId="852" xr:uid="{00000000-0005-0000-0000-0000DA020000}"/>
    <cellStyle name="_TableHead_Q model_041802 4" xfId="853" xr:uid="{00000000-0005-0000-0000-0000DB020000}"/>
    <cellStyle name="_TableHead_Q_update" xfId="854" xr:uid="{00000000-0005-0000-0000-0000DC020000}"/>
    <cellStyle name="_TableHead_Q_update 2" xfId="855" xr:uid="{00000000-0005-0000-0000-0000DD020000}"/>
    <cellStyle name="_TableHead_Q_update 3" xfId="856" xr:uid="{00000000-0005-0000-0000-0000DE020000}"/>
    <cellStyle name="_TableHead_Q_update 4" xfId="857" xr:uid="{00000000-0005-0000-0000-0000DF020000}"/>
    <cellStyle name="_TableHead_QP_XXX" xfId="858" xr:uid="{00000000-0005-0000-0000-0000E0020000}"/>
    <cellStyle name="_TableHead_QP_XXX 2" xfId="859" xr:uid="{00000000-0005-0000-0000-0000E1020000}"/>
    <cellStyle name="_TableHead_QP_XXX 3" xfId="860" xr:uid="{00000000-0005-0000-0000-0000E2020000}"/>
    <cellStyle name="_TableHead_QP_XXX 4" xfId="861" xr:uid="{00000000-0005-0000-0000-0000E3020000}"/>
    <cellStyle name="_TableHead_Qwest Analysis" xfId="862" xr:uid="{00000000-0005-0000-0000-0000E4020000}"/>
    <cellStyle name="_TableHead_Qwest Analysis 2" xfId="863" xr:uid="{00000000-0005-0000-0000-0000E5020000}"/>
    <cellStyle name="_TableHead_Qwest Analysis 3" xfId="864" xr:uid="{00000000-0005-0000-0000-0000E6020000}"/>
    <cellStyle name="_TableHead_Qwest Analysis 4" xfId="865" xr:uid="{00000000-0005-0000-0000-0000E7020000}"/>
    <cellStyle name="_TableHead_RBOC historicals" xfId="866" xr:uid="{00000000-0005-0000-0000-0000E8020000}"/>
    <cellStyle name="_TableHead_RBOC historicals 2" xfId="867" xr:uid="{00000000-0005-0000-0000-0000E9020000}"/>
    <cellStyle name="_TableHead_RBOC historicals 3" xfId="868" xr:uid="{00000000-0005-0000-0000-0000EA020000}"/>
    <cellStyle name="_TableHead_RBOC historicals 4" xfId="869" xr:uid="{00000000-0005-0000-0000-0000EB020000}"/>
    <cellStyle name="_TableHead_T - new" xfId="870" xr:uid="{00000000-0005-0000-0000-0000EC020000}"/>
    <cellStyle name="_TableHead_T - new 2" xfId="871" xr:uid="{00000000-0005-0000-0000-0000ED020000}"/>
    <cellStyle name="_TableHead_T - new 3" xfId="872" xr:uid="{00000000-0005-0000-0000-0000EE020000}"/>
    <cellStyle name="_TableHead_T - new 4" xfId="873" xr:uid="{00000000-0005-0000-0000-0000EF020000}"/>
    <cellStyle name="_TableHead_VZ" xfId="874" xr:uid="{00000000-0005-0000-0000-0000F0020000}"/>
    <cellStyle name="_TableHead_VZ 2" xfId="875" xr:uid="{00000000-0005-0000-0000-0000F1020000}"/>
    <cellStyle name="_TableHead_VZ 3" xfId="876" xr:uid="{00000000-0005-0000-0000-0000F2020000}"/>
    <cellStyle name="_TableHead_VZ 4" xfId="877" xr:uid="{00000000-0005-0000-0000-0000F3020000}"/>
    <cellStyle name="_TableRowBorder" xfId="878" xr:uid="{00000000-0005-0000-0000-0000F4020000}"/>
    <cellStyle name="_TableRowBorder 2" xfId="879" xr:uid="{00000000-0005-0000-0000-0000F5020000}"/>
    <cellStyle name="_TableRowBorder 3" xfId="880" xr:uid="{00000000-0005-0000-0000-0000F6020000}"/>
    <cellStyle name="_TableRowBorder 4" xfId="881" xr:uid="{00000000-0005-0000-0000-0000F7020000}"/>
    <cellStyle name="_TableRowHead" xfId="218" xr:uid="{00000000-0005-0000-0000-0000F8020000}"/>
    <cellStyle name="_TableRowHead_BLS" xfId="882" xr:uid="{00000000-0005-0000-0000-0000F9020000}"/>
    <cellStyle name="_TableRowHead_bls roic" xfId="883" xr:uid="{00000000-0005-0000-0000-0000FA020000}"/>
    <cellStyle name="_TableRowHead_Book9" xfId="884" xr:uid="{00000000-0005-0000-0000-0000FB020000}"/>
    <cellStyle name="_TableRowHead_Broadband Comps" xfId="885" xr:uid="{00000000-0005-0000-0000-0000FC020000}"/>
    <cellStyle name="_TableRowHead_capital expenditures 6-18-02" xfId="886" xr:uid="{00000000-0005-0000-0000-0000FD020000}"/>
    <cellStyle name="_TableRowHead_CTCO" xfId="887" xr:uid="{00000000-0005-0000-0000-0000FE020000}"/>
    <cellStyle name="_TableRowHead_Infinity Mill Overview 1-14-08v1" xfId="888" xr:uid="{00000000-0005-0000-0000-0000FF020000}"/>
    <cellStyle name="_TableRowHead_Infinity Mill Overview 1-14-08v1 2" xfId="889" xr:uid="{00000000-0005-0000-0000-000000030000}"/>
    <cellStyle name="_TableRowHead_Q" xfId="890" xr:uid="{00000000-0005-0000-0000-000001030000}"/>
    <cellStyle name="_TableRowHead_q - new guidance" xfId="891" xr:uid="{00000000-0005-0000-0000-000002030000}"/>
    <cellStyle name="_TableRowHead_q - valuation" xfId="892" xr:uid="{00000000-0005-0000-0000-000003030000}"/>
    <cellStyle name="_TableRowHead_Q model_041802" xfId="893" xr:uid="{00000000-0005-0000-0000-000004030000}"/>
    <cellStyle name="_TableRowHead_Q_update" xfId="894" xr:uid="{00000000-0005-0000-0000-000005030000}"/>
    <cellStyle name="_TableRowHead_QP_XXX" xfId="895" xr:uid="{00000000-0005-0000-0000-000006030000}"/>
    <cellStyle name="_TableRowHead_Qwest Analysis" xfId="896" xr:uid="{00000000-0005-0000-0000-000007030000}"/>
    <cellStyle name="_TableRowHead_RBOC historicals" xfId="897" xr:uid="{00000000-0005-0000-0000-000008030000}"/>
    <cellStyle name="_TableRowHead_T - new" xfId="898" xr:uid="{00000000-0005-0000-0000-000009030000}"/>
    <cellStyle name="_TableRowHead_VZ" xfId="899" xr:uid="{00000000-0005-0000-0000-00000A030000}"/>
    <cellStyle name="_TableSuperHead" xfId="219" xr:uid="{00000000-0005-0000-0000-00000B030000}"/>
    <cellStyle name="_TableSuperHead_Ability to Pay Analysis" xfId="220" xr:uid="{00000000-0005-0000-0000-00000C030000}"/>
    <cellStyle name="_TableSuperHead_BankUnited Model" xfId="221" xr:uid="{00000000-0005-0000-0000-00000D030000}"/>
    <cellStyle name="_TableSuperHead_BLS" xfId="900" xr:uid="{00000000-0005-0000-0000-00000E030000}"/>
    <cellStyle name="_TableSuperHead_bls roic" xfId="901" xr:uid="{00000000-0005-0000-0000-00000F030000}"/>
    <cellStyle name="_TableSuperHead_Book9" xfId="902" xr:uid="{00000000-0005-0000-0000-000010030000}"/>
    <cellStyle name="_TableSuperHead_Broadband Comps" xfId="903" xr:uid="{00000000-0005-0000-0000-000011030000}"/>
    <cellStyle name="_TableSuperHead_capital expenditures 6-18-02" xfId="904" xr:uid="{00000000-0005-0000-0000-000012030000}"/>
    <cellStyle name="_TableSuperHead_CTCO" xfId="905" xr:uid="{00000000-0005-0000-0000-000013030000}"/>
    <cellStyle name="_TableSuperHead_fmbi counties" xfId="222" xr:uid="{00000000-0005-0000-0000-000014030000}"/>
    <cellStyle name="_TableSuperHead_Infinity Mill Overview 1-14-08v1" xfId="906" xr:uid="{00000000-0005-0000-0000-000015030000}"/>
    <cellStyle name="_TableSuperHead_Infinity Mill Overview 1-14-08v1 2" xfId="907" xr:uid="{00000000-0005-0000-0000-000016030000}"/>
    <cellStyle name="_TableSuperHead_Q" xfId="908" xr:uid="{00000000-0005-0000-0000-000017030000}"/>
    <cellStyle name="_TableSuperHead_q - new guidance" xfId="909" xr:uid="{00000000-0005-0000-0000-000018030000}"/>
    <cellStyle name="_TableSuperHead_q - valuation" xfId="910" xr:uid="{00000000-0005-0000-0000-000019030000}"/>
    <cellStyle name="_TableSuperHead_Q model_041802" xfId="911" xr:uid="{00000000-0005-0000-0000-00001A030000}"/>
    <cellStyle name="_TableSuperHead_Q_update" xfId="912" xr:uid="{00000000-0005-0000-0000-00001B030000}"/>
    <cellStyle name="_TableSuperHead_Qwest Analysis" xfId="913" xr:uid="{00000000-0005-0000-0000-00001C030000}"/>
    <cellStyle name="_TableSuperHead_RBOC historicals" xfId="914" xr:uid="{00000000-0005-0000-0000-00001D030000}"/>
    <cellStyle name="_TableSuperHead_T - new" xfId="915" xr:uid="{00000000-0005-0000-0000-00001E030000}"/>
    <cellStyle name="_TableSuperHead_VZ" xfId="916" xr:uid="{00000000-0005-0000-0000-00001F030000}"/>
    <cellStyle name="_TableSuperHead_xratio - historical mkt val" xfId="223" xr:uid="{00000000-0005-0000-0000-000020030000}"/>
    <cellStyle name="_TeleSPValuationModel_v2" xfId="917" xr:uid="{00000000-0005-0000-0000-000021030000}"/>
    <cellStyle name="_TemplateSheets" xfId="918" xr:uid="{00000000-0005-0000-0000-000022030000}"/>
    <cellStyle name="_TemplateSheets_AESA_WIP_ANAtest" xfId="919" xr:uid="{00000000-0005-0000-0000-000023030000}"/>
    <cellStyle name="_TemplateSheets_Estacio_Oficial_ANA_outsource_test" xfId="920" xr:uid="{00000000-0005-0000-0000-000024030000}"/>
    <cellStyle name="_TemplateSheets_Estacio_Oficial_ANA_outsource_test_2" xfId="921" xr:uid="{00000000-0005-0000-0000-000025030000}"/>
    <cellStyle name="_TemplateSheets_WORKING_prjcsmg2007_new" xfId="922" xr:uid="{00000000-0005-0000-0000-000026030000}"/>
    <cellStyle name="-_Usgaap1" xfId="923" xr:uid="{00000000-0005-0000-0000-000027030000}"/>
    <cellStyle name="-_Usgaap1 2" xfId="924" xr:uid="{00000000-0005-0000-0000-000028030000}"/>
    <cellStyle name="-_Usgaap1_Raw_financials" xfId="925" xr:uid="{00000000-0005-0000-0000-000029030000}"/>
    <cellStyle name="-_Usgaap1_Raw_financials 2" xfId="926" xr:uid="{00000000-0005-0000-0000-00002A030000}"/>
    <cellStyle name="_WACC Analysis" xfId="927" xr:uid="{00000000-0005-0000-0000-00002B030000}"/>
    <cellStyle name="_WACC DLJ" xfId="928" xr:uid="{00000000-0005-0000-0000-00002C030000}"/>
    <cellStyle name="_WORKING prjget2007_new" xfId="929" xr:uid="{00000000-0005-0000-0000-00002D030000}"/>
    <cellStyle name="_WORKING prjget2007_new 2" xfId="930" xr:uid="{00000000-0005-0000-0000-00002E030000}"/>
    <cellStyle name="_WORKING_prjcsmg2007_new" xfId="931" xr:uid="{00000000-0005-0000-0000-00002F030000}"/>
    <cellStyle name="_WORKINGseb_new_ANA" xfId="932" xr:uid="{00000000-0005-0000-0000-000030030000}"/>
    <cellStyle name="’Ê‰Ý [0.00]_COMPANY" xfId="933" xr:uid="{00000000-0005-0000-0000-000031030000}"/>
    <cellStyle name="’Ê‰Ý_COMPANY" xfId="934" xr:uid="{00000000-0005-0000-0000-000032030000}"/>
    <cellStyle name="“ú–{Œê" xfId="935" xr:uid="{00000000-0005-0000-0000-000033030000}"/>
    <cellStyle name="£ BP" xfId="936" xr:uid="{00000000-0005-0000-0000-000034030000}"/>
    <cellStyle name="£3places" xfId="937" xr:uid="{00000000-0005-0000-0000-000035030000}"/>
    <cellStyle name="¥ JY" xfId="938" xr:uid="{00000000-0005-0000-0000-000036030000}"/>
    <cellStyle name="=C:\WINNT35\SYSTEM32\COMMAND.COM" xfId="939" xr:uid="{00000000-0005-0000-0000-000037030000}"/>
    <cellStyle name="•W€_Comparables" xfId="940" xr:uid="{00000000-0005-0000-0000-000038030000}"/>
    <cellStyle name="•W_EditLog" xfId="941" xr:uid="{00000000-0005-0000-0000-000039030000}"/>
    <cellStyle name="æØè [0.00]_COMPANY" xfId="942" xr:uid="{00000000-0005-0000-0000-00003A030000}"/>
    <cellStyle name="æØè_COMPANY" xfId="943" xr:uid="{00000000-0005-0000-0000-00003B030000}"/>
    <cellStyle name="0" xfId="944" xr:uid="{00000000-0005-0000-0000-00003C030000}"/>
    <cellStyle name="0%" xfId="945" xr:uid="{00000000-0005-0000-0000-00003D030000}"/>
    <cellStyle name="0,0_x000d__x000a_NA_x000d__x000a_" xfId="946" xr:uid="{00000000-0005-0000-0000-00003E030000}"/>
    <cellStyle name="0,0_x000d__x000a_NA_x000d__x000a_ 2" xfId="947" xr:uid="{00000000-0005-0000-0000-00003F030000}"/>
    <cellStyle name="0.0" xfId="948" xr:uid="{00000000-0005-0000-0000-000040030000}"/>
    <cellStyle name="0.0 x" xfId="949" xr:uid="{00000000-0005-0000-0000-000041030000}"/>
    <cellStyle name="0.0%" xfId="950" xr:uid="{00000000-0005-0000-0000-000042030000}"/>
    <cellStyle name="0.0_2. TRS Decomposition" xfId="951" xr:uid="{00000000-0005-0000-0000-000043030000}"/>
    <cellStyle name="0.00" xfId="952" xr:uid="{00000000-0005-0000-0000-000044030000}"/>
    <cellStyle name="0.00%" xfId="953" xr:uid="{00000000-0005-0000-0000-000045030000}"/>
    <cellStyle name="0.00_40050504 (pension)" xfId="954" xr:uid="{00000000-0005-0000-0000-000046030000}"/>
    <cellStyle name="0.000" xfId="955" xr:uid="{00000000-0005-0000-0000-000047030000}"/>
    <cellStyle name="0_40050504 (pension)" xfId="956" xr:uid="{00000000-0005-0000-0000-000048030000}"/>
    <cellStyle name="0_40050504 (pension) 2" xfId="957" xr:uid="{00000000-0005-0000-0000-000049030000}"/>
    <cellStyle name="0_40050504 (pension)_Estacio_Oficial_ANA_outsource_test" xfId="958" xr:uid="{00000000-0005-0000-0000-00004A030000}"/>
    <cellStyle name="0_40050504 (pension)_Estacio_Oficial_ANA_outsource_test 2" xfId="959" xr:uid="{00000000-0005-0000-0000-00004B030000}"/>
    <cellStyle name="0_9952 formal model(070322)-1" xfId="960" xr:uid="{00000000-0005-0000-0000-00004C030000}"/>
    <cellStyle name="0_9952 formal model(070322)-1 2" xfId="961" xr:uid="{00000000-0005-0000-0000-00004D030000}"/>
    <cellStyle name="0_9952 formal model(070322)-1_Estacio_Oficial_ANA_outsource_test" xfId="962" xr:uid="{00000000-0005-0000-0000-00004E030000}"/>
    <cellStyle name="0_9952 formal model(070322)-1_Estacio_Oficial_ANA_outsource_test 2" xfId="963" xr:uid="{00000000-0005-0000-0000-00004F030000}"/>
    <cellStyle name="0_AGRO3 Valuation Model" xfId="964" xr:uid="{00000000-0005-0000-0000-000050030000}"/>
    <cellStyle name="0_AGRO3 Valuation Model_Raw_financials" xfId="965" xr:uid="{00000000-0005-0000-0000-000051030000}"/>
    <cellStyle name="0_AGRO3 Valuation Model_Raw_financials_BRF Valuation Model" xfId="966" xr:uid="{00000000-0005-0000-0000-000052030000}"/>
    <cellStyle name="0_AGRO3-Valuation-Model-backup02dez08" xfId="967" xr:uid="{00000000-0005-0000-0000-000053030000}"/>
    <cellStyle name="0_AGRO3-Valuation-Model-backup02dez08_Raw_financials" xfId="968" xr:uid="{00000000-0005-0000-0000-000054030000}"/>
    <cellStyle name="0_bs" xfId="969" xr:uid="{00000000-0005-0000-0000-000055030000}"/>
    <cellStyle name="0_bs_Estacio_Oficial_ANA_outsource_test" xfId="970" xr:uid="{00000000-0005-0000-0000-000056030000}"/>
    <cellStyle name="0_bs_SEB_Oficial_ANA_outsource_test" xfId="971" xr:uid="{00000000-0005-0000-0000-000057030000}"/>
    <cellStyle name="0_bs_SEB_Oficial_ANA_outsource_test 2" xfId="972" xr:uid="{00000000-0005-0000-0000-000058030000}"/>
    <cellStyle name="0_Capex &amp; Depreciation " xfId="973" xr:uid="{00000000-0005-0000-0000-000059030000}"/>
    <cellStyle name="0_Capex &amp; Depreciation _5. Synergies Seara" xfId="974" xr:uid="{00000000-0005-0000-0000-00005A030000}"/>
    <cellStyle name="0_ConsensusPanel_v20080325 (2)" xfId="975" xr:uid="{00000000-0005-0000-0000-00005B030000}"/>
    <cellStyle name="0_Conso-inc" xfId="976" xr:uid="{00000000-0005-0000-0000-00005C030000}"/>
    <cellStyle name="0_Conso-inc_Estacio_Oficial_ANA_outsource_test" xfId="977" xr:uid="{00000000-0005-0000-0000-00005D030000}"/>
    <cellStyle name="0_Conso-inc_SEB_Oficial_ANA_outsource_test" xfId="978" xr:uid="{00000000-0005-0000-0000-00005E030000}"/>
    <cellStyle name="0_Conso-inc_SEB_Oficial_ANA_outsource_test 2" xfId="979" xr:uid="{00000000-0005-0000-0000-00005F030000}"/>
    <cellStyle name="0_Estacio_Oficial_ANA_outsource_test" xfId="980" xr:uid="{00000000-0005-0000-0000-000060030000}"/>
    <cellStyle name="0_Estacio_Oficial_ANA_outsource_test_Raw_financials" xfId="981" xr:uid="{00000000-0005-0000-0000-000061030000}"/>
    <cellStyle name="0_external_link" xfId="982" xr:uid="{00000000-0005-0000-0000-000062030000}"/>
    <cellStyle name="0_external_link 2" xfId="983" xr:uid="{00000000-0005-0000-0000-000063030000}"/>
    <cellStyle name="0_FFTL4 Valuation Model" xfId="984" xr:uid="{00000000-0005-0000-0000-000064030000}"/>
    <cellStyle name="0_FFTL4 Valuation Model_Raw_financials" xfId="985" xr:uid="{00000000-0005-0000-0000-000065030000}"/>
    <cellStyle name="0_FSA - ME - FINAL (2)1" xfId="986" xr:uid="{00000000-0005-0000-0000-000066030000}"/>
    <cellStyle name="0_geconsensusv1" xfId="987" xr:uid="{00000000-0005-0000-0000-000067030000}"/>
    <cellStyle name="0_IV2" xfId="988" xr:uid="{00000000-0005-0000-0000-000068030000}"/>
    <cellStyle name="0_IV2 2" xfId="989" xr:uid="{00000000-0005-0000-0000-000069030000}"/>
    <cellStyle name="0_IV6" xfId="990" xr:uid="{00000000-0005-0000-0000-00006A030000}"/>
    <cellStyle name="0_IV6 2" xfId="991" xr:uid="{00000000-0005-0000-0000-00006B030000}"/>
    <cellStyle name="0_Japan Pension Module Sumitomo Chemical" xfId="992" xr:uid="{00000000-0005-0000-0000-00006C030000}"/>
    <cellStyle name="0_Japan Pension Module Sumitomo Chemical 2" xfId="993" xr:uid="{00000000-0005-0000-0000-00006D030000}"/>
    <cellStyle name="0_Japan Pension Module Sumitomo Chemical_Estacio_Oficial_ANA_outsource_test" xfId="994" xr:uid="{00000000-0005-0000-0000-00006E030000}"/>
    <cellStyle name="0_Japan Pension Module Sumitomo Chemical_Estacio_Oficial_ANA_outsource_test 2" xfId="995" xr:uid="{00000000-0005-0000-0000-00006F030000}"/>
    <cellStyle name="0_JapaneseCatalog" xfId="996" xr:uid="{00000000-0005-0000-0000-000070030000}"/>
    <cellStyle name="0_Lonmin_request" xfId="997" xr:uid="{00000000-0005-0000-0000-000071030000}"/>
    <cellStyle name="0_Lonmin_request_Estacio_Oficial_ANA_outsource_test" xfId="998" xr:uid="{00000000-0005-0000-0000-000072030000}"/>
    <cellStyle name="0_Lonmin_request_SEB_Oficial_ANA_outsource_test" xfId="999" xr:uid="{00000000-0005-0000-0000-000073030000}"/>
    <cellStyle name="0_Lonmin_request_SEB_Oficial_ANA_outsource_test 2" xfId="1000" xr:uid="{00000000-0005-0000-0000-000074030000}"/>
    <cellStyle name="0_MW PEV Model" xfId="1001" xr:uid="{00000000-0005-0000-0000-000075030000}"/>
    <cellStyle name="0_MWAnalytics" xfId="1002" xr:uid="{00000000-0005-0000-0000-000076030000}"/>
    <cellStyle name="0_MWAnalytics_Estacio_Oficial_ANA_outsource_test" xfId="1003" xr:uid="{00000000-0005-0000-0000-000077030000}"/>
    <cellStyle name="0_MWAnalytics_SEB_Oficial_ANA_outsource_test" xfId="1004" xr:uid="{00000000-0005-0000-0000-000078030000}"/>
    <cellStyle name="0_MWAnalytics_SEB_Oficial_ANA_outsource_test 2" xfId="1005" xr:uid="{00000000-0005-0000-0000-000079030000}"/>
    <cellStyle name="0_MWAnalytics_v2" xfId="1006" xr:uid="{00000000-0005-0000-0000-00007A030000}"/>
    <cellStyle name="0_MWAnalytics_v2_Estacio_Oficial_ANA_outsource_test" xfId="1007" xr:uid="{00000000-0005-0000-0000-00007B030000}"/>
    <cellStyle name="0_MWAnalytics_v2_Estacio_Oficial_ANA_outsource_test_Raw_financials" xfId="1008" xr:uid="{00000000-0005-0000-0000-00007C030000}"/>
    <cellStyle name="0_MWAnalytics_v2_Raw_financials" xfId="1009" xr:uid="{00000000-0005-0000-0000-00007D030000}"/>
    <cellStyle name="0_MWAnalytics_v2_SEB_Oficial_ANA_outsource_test" xfId="1010" xr:uid="{00000000-0005-0000-0000-00007E030000}"/>
    <cellStyle name="0_MWAnalytics_v2_SEB_Oficial_ANA_outsource_test 2" xfId="1011" xr:uid="{00000000-0005-0000-0000-00007F030000}"/>
    <cellStyle name="0_MWAnalytics_v2_SEB_Oficial_ANA_outsource_test_Raw_financials" xfId="1012" xr:uid="{00000000-0005-0000-0000-000080030000}"/>
    <cellStyle name="0_MWAnalytics_v2_SEB_Oficial_ANA_outsource_test_Raw_financials 2" xfId="1013" xr:uid="{00000000-0005-0000-0000-000081030000}"/>
    <cellStyle name="0_Profarma Model 3Q08" xfId="1014" xr:uid="{00000000-0005-0000-0000-000082030000}"/>
    <cellStyle name="0_Profarma Model 3Q08 2" xfId="1015" xr:uid="{00000000-0005-0000-0000-000083030000}"/>
    <cellStyle name="0_Raw_financials" xfId="1016" xr:uid="{00000000-0005-0000-0000-000084030000}"/>
    <cellStyle name="0_Rio_main" xfId="1017" xr:uid="{00000000-0005-0000-0000-000085030000}"/>
    <cellStyle name="0_Rio_main_Estacio_Oficial_ANA_outsource_test" xfId="1018" xr:uid="{00000000-0005-0000-0000-000086030000}"/>
    <cellStyle name="0_Rio_main_Estacio_Oficial_ANA_outsource_test_Raw_financials" xfId="1019" xr:uid="{00000000-0005-0000-0000-000087030000}"/>
    <cellStyle name="0_Rio_main_Raw_financials" xfId="1020" xr:uid="{00000000-0005-0000-0000-000088030000}"/>
    <cellStyle name="0_Rio_main_SEB_Oficial_ANA_outsource_test" xfId="1021" xr:uid="{00000000-0005-0000-0000-000089030000}"/>
    <cellStyle name="0_Rio_main_SEB_Oficial_ANA_outsource_test 2" xfId="1022" xr:uid="{00000000-0005-0000-0000-00008A030000}"/>
    <cellStyle name="0_Rio_main_SEB_Oficial_ANA_outsource_test_Raw_financials" xfId="1023" xr:uid="{00000000-0005-0000-0000-00008B030000}"/>
    <cellStyle name="0_Rio_main_SEB_Oficial_ANA_outsource_test_Raw_financials 2" xfId="1024" xr:uid="{00000000-0005-0000-0000-00008C030000}"/>
    <cellStyle name="0_ROE2" xfId="1025" xr:uid="{00000000-0005-0000-0000-00008D030000}"/>
    <cellStyle name="0_ROE2 2" xfId="1026" xr:uid="{00000000-0005-0000-0000-00008E030000}"/>
    <cellStyle name="0_ROE4" xfId="1027" xr:uid="{00000000-0005-0000-0000-00008F030000}"/>
    <cellStyle name="0_ROE4 2" xfId="1028" xr:uid="{00000000-0005-0000-0000-000090030000}"/>
    <cellStyle name="0_SEB_Oficial_ANA_outsource_test" xfId="1029" xr:uid="{00000000-0005-0000-0000-000091030000}"/>
    <cellStyle name="0_SEB_Oficial_ANA_outsource_test 2" xfId="1030" xr:uid="{00000000-0005-0000-0000-000092030000}"/>
    <cellStyle name="0_SEB_Oficial_ANA_outsource_test_Raw_financials" xfId="1031" xr:uid="{00000000-0005-0000-0000-000093030000}"/>
    <cellStyle name="0_SEB_Oficial_ANA_outsource_test_Raw_financials 2" xfId="1032" xr:uid="{00000000-0005-0000-0000-000094030000}"/>
    <cellStyle name="0_ShtReferance" xfId="1033" xr:uid="{00000000-0005-0000-0000-000095030000}"/>
    <cellStyle name="0_ShtReferance_Estacio_Oficial_ANA_outsource_test" xfId="1034" xr:uid="{00000000-0005-0000-0000-000096030000}"/>
    <cellStyle name="0_ShtReferance_SEB_Oficial_ANA_outsource_test" xfId="1035" xr:uid="{00000000-0005-0000-0000-000097030000}"/>
    <cellStyle name="0_ShtReferance_SEB_Oficial_ANA_outsource_test 2" xfId="1036" xr:uid="{00000000-0005-0000-0000-000098030000}"/>
    <cellStyle name="0_SLCE3 Valuation Model" xfId="1037" xr:uid="{00000000-0005-0000-0000-000099030000}"/>
    <cellStyle name="0_SLCE3 Valuation Model_Raw_financials" xfId="1038" xr:uid="{00000000-0005-0000-0000-00009A030000}"/>
    <cellStyle name="0_SLCE3 Valuation Model_Raw_financials_BRF Valuation Model" xfId="1039" xr:uid="{00000000-0005-0000-0000-00009B030000}"/>
    <cellStyle name="0_SmartChart_C3800(1)" xfId="1040" xr:uid="{00000000-0005-0000-0000-00009C030000}"/>
    <cellStyle name="0_TemplateSheets" xfId="1041" xr:uid="{00000000-0005-0000-0000-00009D030000}"/>
    <cellStyle name="0_TemplateSheets_Estacio_Oficial_ANA_outsource_test" xfId="1042" xr:uid="{00000000-0005-0000-0000-00009E030000}"/>
    <cellStyle name="0_TemplateSheets_SEB_Oficial_ANA_outsource_test" xfId="1043" xr:uid="{00000000-0005-0000-0000-00009F030000}"/>
    <cellStyle name="0_TemplateSheets_SEB_Oficial_ANA_outsource_test 2" xfId="1044" xr:uid="{00000000-0005-0000-0000-0000A0030000}"/>
    <cellStyle name="0_Valuing BP " xfId="1045" xr:uid="{00000000-0005-0000-0000-0000A1030000}"/>
    <cellStyle name="0_Valuing BP _5. Synergies Seara" xfId="1046" xr:uid="{00000000-0005-0000-0000-0000A2030000}"/>
    <cellStyle name="0_Yardstick2012" xfId="1047" xr:uid="{00000000-0005-0000-0000-0000A3030000}"/>
    <cellStyle name="0_Yardstick2012 2" xfId="1048" xr:uid="{00000000-0005-0000-0000-0000A4030000}"/>
    <cellStyle name="000 PN" xfId="1049" xr:uid="{00000000-0005-0000-0000-0000A5030000}"/>
    <cellStyle name="000's" xfId="1050" xr:uid="{00000000-0005-0000-0000-0000A6030000}"/>
    <cellStyle name="1" xfId="1051" xr:uid="{00000000-0005-0000-0000-0000A7030000}"/>
    <cellStyle name="--1" xfId="1052" xr:uid="{00000000-0005-0000-0000-0000A8030000}"/>
    <cellStyle name="1,comma" xfId="1053" xr:uid="{00000000-0005-0000-0000-0000A9030000}"/>
    <cellStyle name="2 Decimal Places" xfId="1054" xr:uid="{00000000-0005-0000-0000-0000AA030000}"/>
    <cellStyle name="20% - Accent1 10" xfId="1055" xr:uid="{00000000-0005-0000-0000-0000AB030000}"/>
    <cellStyle name="20% - Accent1 10 2" xfId="1056" xr:uid="{00000000-0005-0000-0000-0000AC030000}"/>
    <cellStyle name="20% - Accent1 2" xfId="1057" xr:uid="{00000000-0005-0000-0000-0000AD030000}"/>
    <cellStyle name="20% - Accent1 2 2" xfId="1058" xr:uid="{00000000-0005-0000-0000-0000AE030000}"/>
    <cellStyle name="20% - Accent1 3" xfId="1059" xr:uid="{00000000-0005-0000-0000-0000AF030000}"/>
    <cellStyle name="20% - Accent1 3 2" xfId="1060" xr:uid="{00000000-0005-0000-0000-0000B0030000}"/>
    <cellStyle name="20% - Accent1 4" xfId="1061" xr:uid="{00000000-0005-0000-0000-0000B1030000}"/>
    <cellStyle name="20% - Accent1 4 2" xfId="1062" xr:uid="{00000000-0005-0000-0000-0000B2030000}"/>
    <cellStyle name="20% - Accent1 5" xfId="1063" xr:uid="{00000000-0005-0000-0000-0000B3030000}"/>
    <cellStyle name="20% - Accent1 5 2" xfId="1064" xr:uid="{00000000-0005-0000-0000-0000B4030000}"/>
    <cellStyle name="20% - Accent1 6" xfId="1065" xr:uid="{00000000-0005-0000-0000-0000B5030000}"/>
    <cellStyle name="20% - Accent1 6 2" xfId="1066" xr:uid="{00000000-0005-0000-0000-0000B6030000}"/>
    <cellStyle name="20% - Accent1 7" xfId="1067" xr:uid="{00000000-0005-0000-0000-0000B7030000}"/>
    <cellStyle name="20% - Accent1 8" xfId="1068" xr:uid="{00000000-0005-0000-0000-0000B8030000}"/>
    <cellStyle name="20% - Accent1 9" xfId="1069" xr:uid="{00000000-0005-0000-0000-0000B9030000}"/>
    <cellStyle name="20% - Accent1 9 2" xfId="1070" xr:uid="{00000000-0005-0000-0000-0000BA030000}"/>
    <cellStyle name="20% - Accent2 10" xfId="1071" xr:uid="{00000000-0005-0000-0000-0000BB030000}"/>
    <cellStyle name="20% - Accent2 10 2" xfId="1072" xr:uid="{00000000-0005-0000-0000-0000BC030000}"/>
    <cellStyle name="20% - Accent2 2" xfId="1073" xr:uid="{00000000-0005-0000-0000-0000BD030000}"/>
    <cellStyle name="20% - Accent2 2 2" xfId="1074" xr:uid="{00000000-0005-0000-0000-0000BE030000}"/>
    <cellStyle name="20% - Accent2 3" xfId="1075" xr:uid="{00000000-0005-0000-0000-0000BF030000}"/>
    <cellStyle name="20% - Accent2 3 2" xfId="1076" xr:uid="{00000000-0005-0000-0000-0000C0030000}"/>
    <cellStyle name="20% - Accent2 4" xfId="1077" xr:uid="{00000000-0005-0000-0000-0000C1030000}"/>
    <cellStyle name="20% - Accent2 4 2" xfId="1078" xr:uid="{00000000-0005-0000-0000-0000C2030000}"/>
    <cellStyle name="20% - Accent2 5" xfId="1079" xr:uid="{00000000-0005-0000-0000-0000C3030000}"/>
    <cellStyle name="20% - Accent2 5 2" xfId="1080" xr:uid="{00000000-0005-0000-0000-0000C4030000}"/>
    <cellStyle name="20% - Accent2 6" xfId="1081" xr:uid="{00000000-0005-0000-0000-0000C5030000}"/>
    <cellStyle name="20% - Accent2 6 2" xfId="1082" xr:uid="{00000000-0005-0000-0000-0000C6030000}"/>
    <cellStyle name="20% - Accent2 7" xfId="1083" xr:uid="{00000000-0005-0000-0000-0000C7030000}"/>
    <cellStyle name="20% - Accent2 8" xfId="1084" xr:uid="{00000000-0005-0000-0000-0000C8030000}"/>
    <cellStyle name="20% - Accent2 9" xfId="1085" xr:uid="{00000000-0005-0000-0000-0000C9030000}"/>
    <cellStyle name="20% - Accent2 9 2" xfId="1086" xr:uid="{00000000-0005-0000-0000-0000CA030000}"/>
    <cellStyle name="20% - Accent3 10" xfId="1087" xr:uid="{00000000-0005-0000-0000-0000CB030000}"/>
    <cellStyle name="20% - Accent3 10 2" xfId="1088" xr:uid="{00000000-0005-0000-0000-0000CC030000}"/>
    <cellStyle name="20% - Accent3 2" xfId="1089" xr:uid="{00000000-0005-0000-0000-0000CD030000}"/>
    <cellStyle name="20% - Accent3 2 2" xfId="1090" xr:uid="{00000000-0005-0000-0000-0000CE030000}"/>
    <cellStyle name="20% - Accent3 3" xfId="1091" xr:uid="{00000000-0005-0000-0000-0000CF030000}"/>
    <cellStyle name="20% - Accent3 3 2" xfId="1092" xr:uid="{00000000-0005-0000-0000-0000D0030000}"/>
    <cellStyle name="20% - Accent3 4" xfId="1093" xr:uid="{00000000-0005-0000-0000-0000D1030000}"/>
    <cellStyle name="20% - Accent3 4 2" xfId="1094" xr:uid="{00000000-0005-0000-0000-0000D2030000}"/>
    <cellStyle name="20% - Accent3 5" xfId="1095" xr:uid="{00000000-0005-0000-0000-0000D3030000}"/>
    <cellStyle name="20% - Accent3 5 2" xfId="1096" xr:uid="{00000000-0005-0000-0000-0000D4030000}"/>
    <cellStyle name="20% - Accent3 6" xfId="1097" xr:uid="{00000000-0005-0000-0000-0000D5030000}"/>
    <cellStyle name="20% - Accent3 6 2" xfId="1098" xr:uid="{00000000-0005-0000-0000-0000D6030000}"/>
    <cellStyle name="20% - Accent3 7" xfId="1099" xr:uid="{00000000-0005-0000-0000-0000D7030000}"/>
    <cellStyle name="20% - Accent3 8" xfId="1100" xr:uid="{00000000-0005-0000-0000-0000D8030000}"/>
    <cellStyle name="20% - Accent3 9" xfId="1101" xr:uid="{00000000-0005-0000-0000-0000D9030000}"/>
    <cellStyle name="20% - Accent3 9 2" xfId="1102" xr:uid="{00000000-0005-0000-0000-0000DA030000}"/>
    <cellStyle name="20% - Accent4 10" xfId="1103" xr:uid="{00000000-0005-0000-0000-0000DB030000}"/>
    <cellStyle name="20% - Accent4 10 2" xfId="1104" xr:uid="{00000000-0005-0000-0000-0000DC030000}"/>
    <cellStyle name="20% - Accent4 2" xfId="1105" xr:uid="{00000000-0005-0000-0000-0000DD030000}"/>
    <cellStyle name="20% - Accent4 2 2" xfId="1106" xr:uid="{00000000-0005-0000-0000-0000DE030000}"/>
    <cellStyle name="20% - Accent4 3" xfId="1107" xr:uid="{00000000-0005-0000-0000-0000DF030000}"/>
    <cellStyle name="20% - Accent4 3 2" xfId="1108" xr:uid="{00000000-0005-0000-0000-0000E0030000}"/>
    <cellStyle name="20% - Accent4 4" xfId="1109" xr:uid="{00000000-0005-0000-0000-0000E1030000}"/>
    <cellStyle name="20% - Accent4 4 2" xfId="1110" xr:uid="{00000000-0005-0000-0000-0000E2030000}"/>
    <cellStyle name="20% - Accent4 5" xfId="1111" xr:uid="{00000000-0005-0000-0000-0000E3030000}"/>
    <cellStyle name="20% - Accent4 5 2" xfId="1112" xr:uid="{00000000-0005-0000-0000-0000E4030000}"/>
    <cellStyle name="20% - Accent4 6" xfId="1113" xr:uid="{00000000-0005-0000-0000-0000E5030000}"/>
    <cellStyle name="20% - Accent4 6 2" xfId="1114" xr:uid="{00000000-0005-0000-0000-0000E6030000}"/>
    <cellStyle name="20% - Accent4 7" xfId="1115" xr:uid="{00000000-0005-0000-0000-0000E7030000}"/>
    <cellStyle name="20% - Accent4 8" xfId="1116" xr:uid="{00000000-0005-0000-0000-0000E8030000}"/>
    <cellStyle name="20% - Accent4 9" xfId="1117" xr:uid="{00000000-0005-0000-0000-0000E9030000}"/>
    <cellStyle name="20% - Accent4 9 2" xfId="1118" xr:uid="{00000000-0005-0000-0000-0000EA030000}"/>
    <cellStyle name="20% - Accent5 10" xfId="1119" xr:uid="{00000000-0005-0000-0000-0000EB030000}"/>
    <cellStyle name="20% - Accent5 10 2" xfId="1120" xr:uid="{00000000-0005-0000-0000-0000EC030000}"/>
    <cellStyle name="20% - Accent5 2" xfId="1121" xr:uid="{00000000-0005-0000-0000-0000ED030000}"/>
    <cellStyle name="20% - Accent5 2 2" xfId="1122" xr:uid="{00000000-0005-0000-0000-0000EE030000}"/>
    <cellStyle name="20% - Accent5 3" xfId="1123" xr:uid="{00000000-0005-0000-0000-0000EF030000}"/>
    <cellStyle name="20% - Accent5 3 2" xfId="1124" xr:uid="{00000000-0005-0000-0000-0000F0030000}"/>
    <cellStyle name="20% - Accent5 4" xfId="1125" xr:uid="{00000000-0005-0000-0000-0000F1030000}"/>
    <cellStyle name="20% - Accent5 4 2" xfId="1126" xr:uid="{00000000-0005-0000-0000-0000F2030000}"/>
    <cellStyle name="20% - Accent5 5" xfId="1127" xr:uid="{00000000-0005-0000-0000-0000F3030000}"/>
    <cellStyle name="20% - Accent5 5 2" xfId="1128" xr:uid="{00000000-0005-0000-0000-0000F4030000}"/>
    <cellStyle name="20% - Accent5 6" xfId="1129" xr:uid="{00000000-0005-0000-0000-0000F5030000}"/>
    <cellStyle name="20% - Accent5 6 2" xfId="1130" xr:uid="{00000000-0005-0000-0000-0000F6030000}"/>
    <cellStyle name="20% - Accent5 7" xfId="1131" xr:uid="{00000000-0005-0000-0000-0000F7030000}"/>
    <cellStyle name="20% - Accent5 8" xfId="1132" xr:uid="{00000000-0005-0000-0000-0000F8030000}"/>
    <cellStyle name="20% - Accent5 9" xfId="1133" xr:uid="{00000000-0005-0000-0000-0000F9030000}"/>
    <cellStyle name="20% - Accent5 9 2" xfId="1134" xr:uid="{00000000-0005-0000-0000-0000FA030000}"/>
    <cellStyle name="20% - Accent6 10" xfId="1135" xr:uid="{00000000-0005-0000-0000-0000FB030000}"/>
    <cellStyle name="20% - Accent6 10 2" xfId="1136" xr:uid="{00000000-0005-0000-0000-0000FC030000}"/>
    <cellStyle name="20% - Accent6 2" xfId="1137" xr:uid="{00000000-0005-0000-0000-0000FD030000}"/>
    <cellStyle name="20% - Accent6 2 2" xfId="1138" xr:uid="{00000000-0005-0000-0000-0000FE030000}"/>
    <cellStyle name="20% - Accent6 3" xfId="1139" xr:uid="{00000000-0005-0000-0000-0000FF030000}"/>
    <cellStyle name="20% - Accent6 3 2" xfId="1140" xr:uid="{00000000-0005-0000-0000-000000040000}"/>
    <cellStyle name="20% - Accent6 4" xfId="1141" xr:uid="{00000000-0005-0000-0000-000001040000}"/>
    <cellStyle name="20% - Accent6 4 2" xfId="1142" xr:uid="{00000000-0005-0000-0000-000002040000}"/>
    <cellStyle name="20% - Accent6 5" xfId="1143" xr:uid="{00000000-0005-0000-0000-000003040000}"/>
    <cellStyle name="20% - Accent6 5 2" xfId="1144" xr:uid="{00000000-0005-0000-0000-000004040000}"/>
    <cellStyle name="20% - Accent6 6" xfId="1145" xr:uid="{00000000-0005-0000-0000-000005040000}"/>
    <cellStyle name="20% - Accent6 6 2" xfId="1146" xr:uid="{00000000-0005-0000-0000-000006040000}"/>
    <cellStyle name="20% - Accent6 7" xfId="1147" xr:uid="{00000000-0005-0000-0000-000007040000}"/>
    <cellStyle name="20% - Accent6 8" xfId="1148" xr:uid="{00000000-0005-0000-0000-000008040000}"/>
    <cellStyle name="20% - Accent6 9" xfId="1149" xr:uid="{00000000-0005-0000-0000-000009040000}"/>
    <cellStyle name="20% - Accent6 9 2" xfId="1150" xr:uid="{00000000-0005-0000-0000-00000A040000}"/>
    <cellStyle name="20% - Ênfase1" xfId="1151" xr:uid="{00000000-0005-0000-0000-00000B040000}"/>
    <cellStyle name="20% - Ênfase1 2" xfId="1152" xr:uid="{00000000-0005-0000-0000-00000C040000}"/>
    <cellStyle name="20% - Ênfase1 3" xfId="1153" xr:uid="{00000000-0005-0000-0000-00000D040000}"/>
    <cellStyle name="20% - Ênfase1 4" xfId="1154" xr:uid="{00000000-0005-0000-0000-00000E040000}"/>
    <cellStyle name="20% - Ênfase1 5" xfId="1155" xr:uid="{00000000-0005-0000-0000-00000F040000}"/>
    <cellStyle name="20% - Ênfase1 6" xfId="1156" xr:uid="{00000000-0005-0000-0000-000010040000}"/>
    <cellStyle name="20% - Ênfase2" xfId="1157" xr:uid="{00000000-0005-0000-0000-000011040000}"/>
    <cellStyle name="20% - Ênfase2 2" xfId="1158" xr:uid="{00000000-0005-0000-0000-000012040000}"/>
    <cellStyle name="20% - Ênfase2 3" xfId="1159" xr:uid="{00000000-0005-0000-0000-000013040000}"/>
    <cellStyle name="20% - Ênfase2 4" xfId="1160" xr:uid="{00000000-0005-0000-0000-000014040000}"/>
    <cellStyle name="20% - Ênfase2 5" xfId="1161" xr:uid="{00000000-0005-0000-0000-000015040000}"/>
    <cellStyle name="20% - Ênfase2 6" xfId="1162" xr:uid="{00000000-0005-0000-0000-000016040000}"/>
    <cellStyle name="20% - Ênfase3" xfId="1163" xr:uid="{00000000-0005-0000-0000-000017040000}"/>
    <cellStyle name="20% - Ênfase3 2" xfId="1164" xr:uid="{00000000-0005-0000-0000-000018040000}"/>
    <cellStyle name="20% - Ênfase3 3" xfId="1165" xr:uid="{00000000-0005-0000-0000-000019040000}"/>
    <cellStyle name="20% - Ênfase3 4" xfId="1166" xr:uid="{00000000-0005-0000-0000-00001A040000}"/>
    <cellStyle name="20% - Ênfase3 5" xfId="1167" xr:uid="{00000000-0005-0000-0000-00001B040000}"/>
    <cellStyle name="20% - Ênfase3 6" xfId="1168" xr:uid="{00000000-0005-0000-0000-00001C040000}"/>
    <cellStyle name="20% - Ênfase4" xfId="1169" xr:uid="{00000000-0005-0000-0000-00001D040000}"/>
    <cellStyle name="20% - Ênfase4 2" xfId="1170" xr:uid="{00000000-0005-0000-0000-00001E040000}"/>
    <cellStyle name="20% - Ênfase4 3" xfId="1171" xr:uid="{00000000-0005-0000-0000-00001F040000}"/>
    <cellStyle name="20% - Ênfase4 4" xfId="1172" xr:uid="{00000000-0005-0000-0000-000020040000}"/>
    <cellStyle name="20% - Ênfase4 5" xfId="1173" xr:uid="{00000000-0005-0000-0000-000021040000}"/>
    <cellStyle name="20% - Ênfase4 6" xfId="1174" xr:uid="{00000000-0005-0000-0000-000022040000}"/>
    <cellStyle name="20% - Ênfase5" xfId="1175" xr:uid="{00000000-0005-0000-0000-000023040000}"/>
    <cellStyle name="20% - Ênfase5 2" xfId="1176" xr:uid="{00000000-0005-0000-0000-000024040000}"/>
    <cellStyle name="20% - Ênfase5 3" xfId="1177" xr:uid="{00000000-0005-0000-0000-000025040000}"/>
    <cellStyle name="20% - Ênfase5 4" xfId="1178" xr:uid="{00000000-0005-0000-0000-000026040000}"/>
    <cellStyle name="20% - Ênfase5 5" xfId="1179" xr:uid="{00000000-0005-0000-0000-000027040000}"/>
    <cellStyle name="20% - Ênfase5 6" xfId="1180" xr:uid="{00000000-0005-0000-0000-000028040000}"/>
    <cellStyle name="20% - Ênfase6" xfId="1181" xr:uid="{00000000-0005-0000-0000-000029040000}"/>
    <cellStyle name="20% - Ênfase6 2" xfId="1182" xr:uid="{00000000-0005-0000-0000-00002A040000}"/>
    <cellStyle name="20% - Ênfase6 3" xfId="1183" xr:uid="{00000000-0005-0000-0000-00002B040000}"/>
    <cellStyle name="20% - Ênfase6 4" xfId="1184" xr:uid="{00000000-0005-0000-0000-00002C040000}"/>
    <cellStyle name="20% - Ênfase6 5" xfId="1185" xr:uid="{00000000-0005-0000-0000-00002D040000}"/>
    <cellStyle name="20% - Ênfase6 6" xfId="1186" xr:uid="{00000000-0005-0000-0000-00002E040000}"/>
    <cellStyle name="20% - Énfasis1" xfId="1187" xr:uid="{00000000-0005-0000-0000-00002F040000}"/>
    <cellStyle name="20% - Énfasis2" xfId="1188" xr:uid="{00000000-0005-0000-0000-000030040000}"/>
    <cellStyle name="20% - Énfasis3" xfId="1189" xr:uid="{00000000-0005-0000-0000-000031040000}"/>
    <cellStyle name="20% - Énfasis4" xfId="1190" xr:uid="{00000000-0005-0000-0000-000032040000}"/>
    <cellStyle name="20% - Énfasis5" xfId="1191" xr:uid="{00000000-0005-0000-0000-000033040000}"/>
    <cellStyle name="20% - Énfasis6" xfId="1192" xr:uid="{00000000-0005-0000-0000-000034040000}"/>
    <cellStyle name="3" xfId="1193" xr:uid="{00000000-0005-0000-0000-000035040000}"/>
    <cellStyle name="3_Raw_financials" xfId="1194" xr:uid="{00000000-0005-0000-0000-000036040000}"/>
    <cellStyle name="40% - Accent1 10" xfId="1195" xr:uid="{00000000-0005-0000-0000-000037040000}"/>
    <cellStyle name="40% - Accent1 10 2" xfId="1196" xr:uid="{00000000-0005-0000-0000-000038040000}"/>
    <cellStyle name="40% - Accent1 2" xfId="1197" xr:uid="{00000000-0005-0000-0000-000039040000}"/>
    <cellStyle name="40% - Accent1 2 2" xfId="1198" xr:uid="{00000000-0005-0000-0000-00003A040000}"/>
    <cellStyle name="40% - Accent1 3" xfId="1199" xr:uid="{00000000-0005-0000-0000-00003B040000}"/>
    <cellStyle name="40% - Accent1 3 2" xfId="1200" xr:uid="{00000000-0005-0000-0000-00003C040000}"/>
    <cellStyle name="40% - Accent1 4" xfId="1201" xr:uid="{00000000-0005-0000-0000-00003D040000}"/>
    <cellStyle name="40% - Accent1 4 2" xfId="1202" xr:uid="{00000000-0005-0000-0000-00003E040000}"/>
    <cellStyle name="40% - Accent1 5" xfId="1203" xr:uid="{00000000-0005-0000-0000-00003F040000}"/>
    <cellStyle name="40% - Accent1 5 2" xfId="1204" xr:uid="{00000000-0005-0000-0000-000040040000}"/>
    <cellStyle name="40% - Accent1 6" xfId="1205" xr:uid="{00000000-0005-0000-0000-000041040000}"/>
    <cellStyle name="40% - Accent1 6 2" xfId="1206" xr:uid="{00000000-0005-0000-0000-000042040000}"/>
    <cellStyle name="40% - Accent1 7" xfId="1207" xr:uid="{00000000-0005-0000-0000-000043040000}"/>
    <cellStyle name="40% - Accent1 8" xfId="1208" xr:uid="{00000000-0005-0000-0000-000044040000}"/>
    <cellStyle name="40% - Accent1 9" xfId="1209" xr:uid="{00000000-0005-0000-0000-000045040000}"/>
    <cellStyle name="40% - Accent1 9 2" xfId="1210" xr:uid="{00000000-0005-0000-0000-000046040000}"/>
    <cellStyle name="40% - Accent2 10" xfId="1211" xr:uid="{00000000-0005-0000-0000-000047040000}"/>
    <cellStyle name="40% - Accent2 10 2" xfId="1212" xr:uid="{00000000-0005-0000-0000-000048040000}"/>
    <cellStyle name="40% - Accent2 2" xfId="1213" xr:uid="{00000000-0005-0000-0000-000049040000}"/>
    <cellStyle name="40% - Accent2 2 2" xfId="1214" xr:uid="{00000000-0005-0000-0000-00004A040000}"/>
    <cellStyle name="40% - Accent2 3" xfId="1215" xr:uid="{00000000-0005-0000-0000-00004B040000}"/>
    <cellStyle name="40% - Accent2 3 2" xfId="1216" xr:uid="{00000000-0005-0000-0000-00004C040000}"/>
    <cellStyle name="40% - Accent2 4" xfId="1217" xr:uid="{00000000-0005-0000-0000-00004D040000}"/>
    <cellStyle name="40% - Accent2 4 2" xfId="1218" xr:uid="{00000000-0005-0000-0000-00004E040000}"/>
    <cellStyle name="40% - Accent2 5" xfId="1219" xr:uid="{00000000-0005-0000-0000-00004F040000}"/>
    <cellStyle name="40% - Accent2 5 2" xfId="1220" xr:uid="{00000000-0005-0000-0000-000050040000}"/>
    <cellStyle name="40% - Accent2 6" xfId="1221" xr:uid="{00000000-0005-0000-0000-000051040000}"/>
    <cellStyle name="40% - Accent2 6 2" xfId="1222" xr:uid="{00000000-0005-0000-0000-000052040000}"/>
    <cellStyle name="40% - Accent2 7" xfId="1223" xr:uid="{00000000-0005-0000-0000-000053040000}"/>
    <cellStyle name="40% - Accent2 8" xfId="1224" xr:uid="{00000000-0005-0000-0000-000054040000}"/>
    <cellStyle name="40% - Accent2 9" xfId="1225" xr:uid="{00000000-0005-0000-0000-000055040000}"/>
    <cellStyle name="40% - Accent2 9 2" xfId="1226" xr:uid="{00000000-0005-0000-0000-000056040000}"/>
    <cellStyle name="40% - Accent3 10" xfId="1227" xr:uid="{00000000-0005-0000-0000-000057040000}"/>
    <cellStyle name="40% - Accent3 10 2" xfId="1228" xr:uid="{00000000-0005-0000-0000-000058040000}"/>
    <cellStyle name="40% - Accent3 2" xfId="1229" xr:uid="{00000000-0005-0000-0000-000059040000}"/>
    <cellStyle name="40% - Accent3 2 2" xfId="1230" xr:uid="{00000000-0005-0000-0000-00005A040000}"/>
    <cellStyle name="40% - Accent3 3" xfId="1231" xr:uid="{00000000-0005-0000-0000-00005B040000}"/>
    <cellStyle name="40% - Accent3 3 2" xfId="1232" xr:uid="{00000000-0005-0000-0000-00005C040000}"/>
    <cellStyle name="40% - Accent3 4" xfId="1233" xr:uid="{00000000-0005-0000-0000-00005D040000}"/>
    <cellStyle name="40% - Accent3 4 2" xfId="1234" xr:uid="{00000000-0005-0000-0000-00005E040000}"/>
    <cellStyle name="40% - Accent3 5" xfId="1235" xr:uid="{00000000-0005-0000-0000-00005F040000}"/>
    <cellStyle name="40% - Accent3 5 2" xfId="1236" xr:uid="{00000000-0005-0000-0000-000060040000}"/>
    <cellStyle name="40% - Accent3 6" xfId="1237" xr:uid="{00000000-0005-0000-0000-000061040000}"/>
    <cellStyle name="40% - Accent3 6 2" xfId="1238" xr:uid="{00000000-0005-0000-0000-000062040000}"/>
    <cellStyle name="40% - Accent3 7" xfId="1239" xr:uid="{00000000-0005-0000-0000-000063040000}"/>
    <cellStyle name="40% - Accent3 8" xfId="1240" xr:uid="{00000000-0005-0000-0000-000064040000}"/>
    <cellStyle name="40% - Accent3 9" xfId="1241" xr:uid="{00000000-0005-0000-0000-000065040000}"/>
    <cellStyle name="40% - Accent3 9 2" xfId="1242" xr:uid="{00000000-0005-0000-0000-000066040000}"/>
    <cellStyle name="40% - Accent4 10" xfId="1243" xr:uid="{00000000-0005-0000-0000-000067040000}"/>
    <cellStyle name="40% - Accent4 10 2" xfId="1244" xr:uid="{00000000-0005-0000-0000-000068040000}"/>
    <cellStyle name="40% - Accent4 2" xfId="1245" xr:uid="{00000000-0005-0000-0000-000069040000}"/>
    <cellStyle name="40% - Accent4 2 2" xfId="1246" xr:uid="{00000000-0005-0000-0000-00006A040000}"/>
    <cellStyle name="40% - Accent4 3" xfId="1247" xr:uid="{00000000-0005-0000-0000-00006B040000}"/>
    <cellStyle name="40% - Accent4 3 2" xfId="1248" xr:uid="{00000000-0005-0000-0000-00006C040000}"/>
    <cellStyle name="40% - Accent4 4" xfId="1249" xr:uid="{00000000-0005-0000-0000-00006D040000}"/>
    <cellStyle name="40% - Accent4 4 2" xfId="1250" xr:uid="{00000000-0005-0000-0000-00006E040000}"/>
    <cellStyle name="40% - Accent4 5" xfId="1251" xr:uid="{00000000-0005-0000-0000-00006F040000}"/>
    <cellStyle name="40% - Accent4 5 2" xfId="1252" xr:uid="{00000000-0005-0000-0000-000070040000}"/>
    <cellStyle name="40% - Accent4 6" xfId="1253" xr:uid="{00000000-0005-0000-0000-000071040000}"/>
    <cellStyle name="40% - Accent4 6 2" xfId="1254" xr:uid="{00000000-0005-0000-0000-000072040000}"/>
    <cellStyle name="40% - Accent4 7" xfId="1255" xr:uid="{00000000-0005-0000-0000-000073040000}"/>
    <cellStyle name="40% - Accent4 8" xfId="1256" xr:uid="{00000000-0005-0000-0000-000074040000}"/>
    <cellStyle name="40% - Accent4 9" xfId="1257" xr:uid="{00000000-0005-0000-0000-000075040000}"/>
    <cellStyle name="40% - Accent4 9 2" xfId="1258" xr:uid="{00000000-0005-0000-0000-000076040000}"/>
    <cellStyle name="40% - Accent5 10" xfId="1259" xr:uid="{00000000-0005-0000-0000-000077040000}"/>
    <cellStyle name="40% - Accent5 10 2" xfId="1260" xr:uid="{00000000-0005-0000-0000-000078040000}"/>
    <cellStyle name="40% - Accent5 2" xfId="1261" xr:uid="{00000000-0005-0000-0000-000079040000}"/>
    <cellStyle name="40% - Accent5 2 2" xfId="1262" xr:uid="{00000000-0005-0000-0000-00007A040000}"/>
    <cellStyle name="40% - Accent5 3" xfId="1263" xr:uid="{00000000-0005-0000-0000-00007B040000}"/>
    <cellStyle name="40% - Accent5 3 2" xfId="1264" xr:uid="{00000000-0005-0000-0000-00007C040000}"/>
    <cellStyle name="40% - Accent5 4" xfId="1265" xr:uid="{00000000-0005-0000-0000-00007D040000}"/>
    <cellStyle name="40% - Accent5 4 2" xfId="1266" xr:uid="{00000000-0005-0000-0000-00007E040000}"/>
    <cellStyle name="40% - Accent5 5" xfId="1267" xr:uid="{00000000-0005-0000-0000-00007F040000}"/>
    <cellStyle name="40% - Accent5 5 2" xfId="1268" xr:uid="{00000000-0005-0000-0000-000080040000}"/>
    <cellStyle name="40% - Accent5 6" xfId="1269" xr:uid="{00000000-0005-0000-0000-000081040000}"/>
    <cellStyle name="40% - Accent5 6 2" xfId="1270" xr:uid="{00000000-0005-0000-0000-000082040000}"/>
    <cellStyle name="40% - Accent5 7" xfId="1271" xr:uid="{00000000-0005-0000-0000-000083040000}"/>
    <cellStyle name="40% - Accent5 8" xfId="1272" xr:uid="{00000000-0005-0000-0000-000084040000}"/>
    <cellStyle name="40% - Accent5 9" xfId="1273" xr:uid="{00000000-0005-0000-0000-000085040000}"/>
    <cellStyle name="40% - Accent5 9 2" xfId="1274" xr:uid="{00000000-0005-0000-0000-000086040000}"/>
    <cellStyle name="40% - Accent6 10" xfId="1275" xr:uid="{00000000-0005-0000-0000-000087040000}"/>
    <cellStyle name="40% - Accent6 10 2" xfId="1276" xr:uid="{00000000-0005-0000-0000-000088040000}"/>
    <cellStyle name="40% - Accent6 2" xfId="1277" xr:uid="{00000000-0005-0000-0000-000089040000}"/>
    <cellStyle name="40% - Accent6 2 2" xfId="1278" xr:uid="{00000000-0005-0000-0000-00008A040000}"/>
    <cellStyle name="40% - Accent6 3" xfId="1279" xr:uid="{00000000-0005-0000-0000-00008B040000}"/>
    <cellStyle name="40% - Accent6 3 2" xfId="1280" xr:uid="{00000000-0005-0000-0000-00008C040000}"/>
    <cellStyle name="40% - Accent6 4" xfId="1281" xr:uid="{00000000-0005-0000-0000-00008D040000}"/>
    <cellStyle name="40% - Accent6 4 2" xfId="1282" xr:uid="{00000000-0005-0000-0000-00008E040000}"/>
    <cellStyle name="40% - Accent6 5" xfId="1283" xr:uid="{00000000-0005-0000-0000-00008F040000}"/>
    <cellStyle name="40% - Accent6 5 2" xfId="1284" xr:uid="{00000000-0005-0000-0000-000090040000}"/>
    <cellStyle name="40% - Accent6 6" xfId="1285" xr:uid="{00000000-0005-0000-0000-000091040000}"/>
    <cellStyle name="40% - Accent6 6 2" xfId="1286" xr:uid="{00000000-0005-0000-0000-000092040000}"/>
    <cellStyle name="40% - Accent6 7" xfId="1287" xr:uid="{00000000-0005-0000-0000-000093040000}"/>
    <cellStyle name="40% - Accent6 8" xfId="1288" xr:uid="{00000000-0005-0000-0000-000094040000}"/>
    <cellStyle name="40% - Accent6 9" xfId="1289" xr:uid="{00000000-0005-0000-0000-000095040000}"/>
    <cellStyle name="40% - Accent6 9 2" xfId="1290" xr:uid="{00000000-0005-0000-0000-000096040000}"/>
    <cellStyle name="40% - Ênfase1" xfId="1291" xr:uid="{00000000-0005-0000-0000-000097040000}"/>
    <cellStyle name="40% - Ênfase1 2" xfId="1292" xr:uid="{00000000-0005-0000-0000-000098040000}"/>
    <cellStyle name="40% - Ênfase1 3" xfId="1293" xr:uid="{00000000-0005-0000-0000-000099040000}"/>
    <cellStyle name="40% - Ênfase1 4" xfId="1294" xr:uid="{00000000-0005-0000-0000-00009A040000}"/>
    <cellStyle name="40% - Ênfase1 5" xfId="1295" xr:uid="{00000000-0005-0000-0000-00009B040000}"/>
    <cellStyle name="40% - Ênfase1 6" xfId="1296" xr:uid="{00000000-0005-0000-0000-00009C040000}"/>
    <cellStyle name="40% - Ênfase2" xfId="1297" xr:uid="{00000000-0005-0000-0000-00009D040000}"/>
    <cellStyle name="40% - Ênfase2 2" xfId="1298" xr:uid="{00000000-0005-0000-0000-00009E040000}"/>
    <cellStyle name="40% - Ênfase2 3" xfId="1299" xr:uid="{00000000-0005-0000-0000-00009F040000}"/>
    <cellStyle name="40% - Ênfase2 4" xfId="1300" xr:uid="{00000000-0005-0000-0000-0000A0040000}"/>
    <cellStyle name="40% - Ênfase2 5" xfId="1301" xr:uid="{00000000-0005-0000-0000-0000A1040000}"/>
    <cellStyle name="40% - Ênfase2 6" xfId="1302" xr:uid="{00000000-0005-0000-0000-0000A2040000}"/>
    <cellStyle name="40% - Ênfase3" xfId="1303" xr:uid="{00000000-0005-0000-0000-0000A3040000}"/>
    <cellStyle name="40% - Ênfase3 2" xfId="1304" xr:uid="{00000000-0005-0000-0000-0000A4040000}"/>
    <cellStyle name="40% - Ênfase3 3" xfId="1305" xr:uid="{00000000-0005-0000-0000-0000A5040000}"/>
    <cellStyle name="40% - Ênfase3 4" xfId="1306" xr:uid="{00000000-0005-0000-0000-0000A6040000}"/>
    <cellStyle name="40% - Ênfase3 5" xfId="1307" xr:uid="{00000000-0005-0000-0000-0000A7040000}"/>
    <cellStyle name="40% - Ênfase3 6" xfId="1308" xr:uid="{00000000-0005-0000-0000-0000A8040000}"/>
    <cellStyle name="40% - Ênfase4" xfId="1309" xr:uid="{00000000-0005-0000-0000-0000A9040000}"/>
    <cellStyle name="40% - Ênfase4 2" xfId="1310" xr:uid="{00000000-0005-0000-0000-0000AA040000}"/>
    <cellStyle name="40% - Ênfase4 3" xfId="1311" xr:uid="{00000000-0005-0000-0000-0000AB040000}"/>
    <cellStyle name="40% - Ênfase4 4" xfId="1312" xr:uid="{00000000-0005-0000-0000-0000AC040000}"/>
    <cellStyle name="40% - Ênfase4 5" xfId="1313" xr:uid="{00000000-0005-0000-0000-0000AD040000}"/>
    <cellStyle name="40% - Ênfase4 6" xfId="1314" xr:uid="{00000000-0005-0000-0000-0000AE040000}"/>
    <cellStyle name="40% - Ênfase5" xfId="1315" xr:uid="{00000000-0005-0000-0000-0000AF040000}"/>
    <cellStyle name="40% - Ênfase5 2" xfId="1316" xr:uid="{00000000-0005-0000-0000-0000B0040000}"/>
    <cellStyle name="40% - Ênfase5 3" xfId="1317" xr:uid="{00000000-0005-0000-0000-0000B1040000}"/>
    <cellStyle name="40% - Ênfase5 4" xfId="1318" xr:uid="{00000000-0005-0000-0000-0000B2040000}"/>
    <cellStyle name="40% - Ênfase5 5" xfId="1319" xr:uid="{00000000-0005-0000-0000-0000B3040000}"/>
    <cellStyle name="40% - Ênfase5 6" xfId="1320" xr:uid="{00000000-0005-0000-0000-0000B4040000}"/>
    <cellStyle name="40% - Ênfase6" xfId="1321" xr:uid="{00000000-0005-0000-0000-0000B5040000}"/>
    <cellStyle name="40% - Ênfase6 2" xfId="1322" xr:uid="{00000000-0005-0000-0000-0000B6040000}"/>
    <cellStyle name="40% - Ênfase6 3" xfId="1323" xr:uid="{00000000-0005-0000-0000-0000B7040000}"/>
    <cellStyle name="40% - Ênfase6 4" xfId="1324" xr:uid="{00000000-0005-0000-0000-0000B8040000}"/>
    <cellStyle name="40% - Ênfase6 5" xfId="1325" xr:uid="{00000000-0005-0000-0000-0000B9040000}"/>
    <cellStyle name="40% - Ênfase6 6" xfId="1326" xr:uid="{00000000-0005-0000-0000-0000BA040000}"/>
    <cellStyle name="40% - Énfasis1" xfId="1327" xr:uid="{00000000-0005-0000-0000-0000BB040000}"/>
    <cellStyle name="40% - Énfasis2" xfId="1328" xr:uid="{00000000-0005-0000-0000-0000BC040000}"/>
    <cellStyle name="40% - Énfasis3" xfId="1329" xr:uid="{00000000-0005-0000-0000-0000BD040000}"/>
    <cellStyle name="40% - Énfasis4" xfId="1330" xr:uid="{00000000-0005-0000-0000-0000BE040000}"/>
    <cellStyle name="40% - Énfasis5" xfId="1331" xr:uid="{00000000-0005-0000-0000-0000BF040000}"/>
    <cellStyle name="40% - Énfasis6" xfId="1332" xr:uid="{00000000-0005-0000-0000-0000C0040000}"/>
    <cellStyle name="6" xfId="1333" xr:uid="{00000000-0005-0000-0000-0000C1040000}"/>
    <cellStyle name="60% - Accent1 2" xfId="1334" xr:uid="{00000000-0005-0000-0000-0000C2040000}"/>
    <cellStyle name="60% - Accent1 2 2" xfId="1335" xr:uid="{00000000-0005-0000-0000-0000C3040000}"/>
    <cellStyle name="60% - Accent1 3" xfId="1336" xr:uid="{00000000-0005-0000-0000-0000C4040000}"/>
    <cellStyle name="60% - Accent1 3 2" xfId="1337" xr:uid="{00000000-0005-0000-0000-0000C5040000}"/>
    <cellStyle name="60% - Accent1 4" xfId="1338" xr:uid="{00000000-0005-0000-0000-0000C6040000}"/>
    <cellStyle name="60% - Accent1 4 2" xfId="1339" xr:uid="{00000000-0005-0000-0000-0000C7040000}"/>
    <cellStyle name="60% - Accent1 5" xfId="1340" xr:uid="{00000000-0005-0000-0000-0000C8040000}"/>
    <cellStyle name="60% - Accent1 5 2" xfId="1341" xr:uid="{00000000-0005-0000-0000-0000C9040000}"/>
    <cellStyle name="60% - Accent2 2" xfId="1342" xr:uid="{00000000-0005-0000-0000-0000CA040000}"/>
    <cellStyle name="60% - Accent2 2 2" xfId="1343" xr:uid="{00000000-0005-0000-0000-0000CB040000}"/>
    <cellStyle name="60% - Accent2 3" xfId="1344" xr:uid="{00000000-0005-0000-0000-0000CC040000}"/>
    <cellStyle name="60% - Accent2 3 2" xfId="1345" xr:uid="{00000000-0005-0000-0000-0000CD040000}"/>
    <cellStyle name="60% - Accent2 4" xfId="1346" xr:uid="{00000000-0005-0000-0000-0000CE040000}"/>
    <cellStyle name="60% - Accent2 4 2" xfId="1347" xr:uid="{00000000-0005-0000-0000-0000CF040000}"/>
    <cellStyle name="60% - Accent2 5" xfId="1348" xr:uid="{00000000-0005-0000-0000-0000D0040000}"/>
    <cellStyle name="60% - Accent2 5 2" xfId="1349" xr:uid="{00000000-0005-0000-0000-0000D1040000}"/>
    <cellStyle name="60% - Accent3 2" xfId="1350" xr:uid="{00000000-0005-0000-0000-0000D2040000}"/>
    <cellStyle name="60% - Accent3 2 2" xfId="1351" xr:uid="{00000000-0005-0000-0000-0000D3040000}"/>
    <cellStyle name="60% - Accent3 3" xfId="1352" xr:uid="{00000000-0005-0000-0000-0000D4040000}"/>
    <cellStyle name="60% - Accent3 3 2" xfId="1353" xr:uid="{00000000-0005-0000-0000-0000D5040000}"/>
    <cellStyle name="60% - Accent3 4" xfId="1354" xr:uid="{00000000-0005-0000-0000-0000D6040000}"/>
    <cellStyle name="60% - Accent3 4 2" xfId="1355" xr:uid="{00000000-0005-0000-0000-0000D7040000}"/>
    <cellStyle name="60% - Accent3 5" xfId="1356" xr:uid="{00000000-0005-0000-0000-0000D8040000}"/>
    <cellStyle name="60% - Accent3 5 2" xfId="1357" xr:uid="{00000000-0005-0000-0000-0000D9040000}"/>
    <cellStyle name="60% - Accent4 2" xfId="1358" xr:uid="{00000000-0005-0000-0000-0000DA040000}"/>
    <cellStyle name="60% - Accent4 2 2" xfId="1359" xr:uid="{00000000-0005-0000-0000-0000DB040000}"/>
    <cellStyle name="60% - Accent4 3" xfId="1360" xr:uid="{00000000-0005-0000-0000-0000DC040000}"/>
    <cellStyle name="60% - Accent4 3 2" xfId="1361" xr:uid="{00000000-0005-0000-0000-0000DD040000}"/>
    <cellStyle name="60% - Accent4 4" xfId="1362" xr:uid="{00000000-0005-0000-0000-0000DE040000}"/>
    <cellStyle name="60% - Accent4 4 2" xfId="1363" xr:uid="{00000000-0005-0000-0000-0000DF040000}"/>
    <cellStyle name="60% - Accent4 5" xfId="1364" xr:uid="{00000000-0005-0000-0000-0000E0040000}"/>
    <cellStyle name="60% - Accent4 5 2" xfId="1365" xr:uid="{00000000-0005-0000-0000-0000E1040000}"/>
    <cellStyle name="60% - Accent5 2" xfId="1366" xr:uid="{00000000-0005-0000-0000-0000E2040000}"/>
    <cellStyle name="60% - Accent5 2 2" xfId="1367" xr:uid="{00000000-0005-0000-0000-0000E3040000}"/>
    <cellStyle name="60% - Accent5 3" xfId="1368" xr:uid="{00000000-0005-0000-0000-0000E4040000}"/>
    <cellStyle name="60% - Accent5 3 2" xfId="1369" xr:uid="{00000000-0005-0000-0000-0000E5040000}"/>
    <cellStyle name="60% - Accent5 4" xfId="1370" xr:uid="{00000000-0005-0000-0000-0000E6040000}"/>
    <cellStyle name="60% - Accent5 4 2" xfId="1371" xr:uid="{00000000-0005-0000-0000-0000E7040000}"/>
    <cellStyle name="60% - Accent5 5" xfId="1372" xr:uid="{00000000-0005-0000-0000-0000E8040000}"/>
    <cellStyle name="60% - Accent5 5 2" xfId="1373" xr:uid="{00000000-0005-0000-0000-0000E9040000}"/>
    <cellStyle name="60% - Accent6 2" xfId="1374" xr:uid="{00000000-0005-0000-0000-0000EA040000}"/>
    <cellStyle name="60% - Accent6 2 2" xfId="1375" xr:uid="{00000000-0005-0000-0000-0000EB040000}"/>
    <cellStyle name="60% - Accent6 3" xfId="1376" xr:uid="{00000000-0005-0000-0000-0000EC040000}"/>
    <cellStyle name="60% - Accent6 3 2" xfId="1377" xr:uid="{00000000-0005-0000-0000-0000ED040000}"/>
    <cellStyle name="60% - Accent6 4" xfId="1378" xr:uid="{00000000-0005-0000-0000-0000EE040000}"/>
    <cellStyle name="60% - Accent6 4 2" xfId="1379" xr:uid="{00000000-0005-0000-0000-0000EF040000}"/>
    <cellStyle name="60% - Accent6 5" xfId="1380" xr:uid="{00000000-0005-0000-0000-0000F0040000}"/>
    <cellStyle name="60% - Accent6 5 2" xfId="1381" xr:uid="{00000000-0005-0000-0000-0000F1040000}"/>
    <cellStyle name="60% - Ênfase1" xfId="1382" xr:uid="{00000000-0005-0000-0000-0000F2040000}"/>
    <cellStyle name="60% - Ênfase1 2" xfId="1383" xr:uid="{00000000-0005-0000-0000-0000F3040000}"/>
    <cellStyle name="60% - Ênfase1 3" xfId="1384" xr:uid="{00000000-0005-0000-0000-0000F4040000}"/>
    <cellStyle name="60% - Ênfase1 4" xfId="1385" xr:uid="{00000000-0005-0000-0000-0000F5040000}"/>
    <cellStyle name="60% - Ênfase1 5" xfId="1386" xr:uid="{00000000-0005-0000-0000-0000F6040000}"/>
    <cellStyle name="60% - Ênfase1 6" xfId="1387" xr:uid="{00000000-0005-0000-0000-0000F7040000}"/>
    <cellStyle name="60% - Ênfase2" xfId="1388" xr:uid="{00000000-0005-0000-0000-0000F8040000}"/>
    <cellStyle name="60% - Ênfase2 2" xfId="1389" xr:uid="{00000000-0005-0000-0000-0000F9040000}"/>
    <cellStyle name="60% - Ênfase2 3" xfId="1390" xr:uid="{00000000-0005-0000-0000-0000FA040000}"/>
    <cellStyle name="60% - Ênfase2 4" xfId="1391" xr:uid="{00000000-0005-0000-0000-0000FB040000}"/>
    <cellStyle name="60% - Ênfase2 5" xfId="1392" xr:uid="{00000000-0005-0000-0000-0000FC040000}"/>
    <cellStyle name="60% - Ênfase2 6" xfId="1393" xr:uid="{00000000-0005-0000-0000-0000FD040000}"/>
    <cellStyle name="60% - Ênfase3" xfId="1394" xr:uid="{00000000-0005-0000-0000-0000FE040000}"/>
    <cellStyle name="60% - Ênfase3 2" xfId="1395" xr:uid="{00000000-0005-0000-0000-0000FF040000}"/>
    <cellStyle name="60% - Ênfase3 3" xfId="1396" xr:uid="{00000000-0005-0000-0000-000000050000}"/>
    <cellStyle name="60% - Ênfase3 4" xfId="1397" xr:uid="{00000000-0005-0000-0000-000001050000}"/>
    <cellStyle name="60% - Ênfase3 5" xfId="1398" xr:uid="{00000000-0005-0000-0000-000002050000}"/>
    <cellStyle name="60% - Ênfase3 6" xfId="1399" xr:uid="{00000000-0005-0000-0000-000003050000}"/>
    <cellStyle name="60% - Ênfase4" xfId="1400" xr:uid="{00000000-0005-0000-0000-000004050000}"/>
    <cellStyle name="60% - Ênfase4 2" xfId="1401" xr:uid="{00000000-0005-0000-0000-000005050000}"/>
    <cellStyle name="60% - Ênfase4 3" xfId="1402" xr:uid="{00000000-0005-0000-0000-000006050000}"/>
    <cellStyle name="60% - Ênfase4 4" xfId="1403" xr:uid="{00000000-0005-0000-0000-000007050000}"/>
    <cellStyle name="60% - Ênfase4 5" xfId="1404" xr:uid="{00000000-0005-0000-0000-000008050000}"/>
    <cellStyle name="60% - Ênfase4 6" xfId="1405" xr:uid="{00000000-0005-0000-0000-000009050000}"/>
    <cellStyle name="60% - Ênfase5" xfId="1406" xr:uid="{00000000-0005-0000-0000-00000A050000}"/>
    <cellStyle name="60% - Ênfase5 2" xfId="1407" xr:uid="{00000000-0005-0000-0000-00000B050000}"/>
    <cellStyle name="60% - Ênfase5 3" xfId="1408" xr:uid="{00000000-0005-0000-0000-00000C050000}"/>
    <cellStyle name="60% - Ênfase5 4" xfId="1409" xr:uid="{00000000-0005-0000-0000-00000D050000}"/>
    <cellStyle name="60% - Ênfase5 5" xfId="1410" xr:uid="{00000000-0005-0000-0000-00000E050000}"/>
    <cellStyle name="60% - Ênfase5 6" xfId="1411" xr:uid="{00000000-0005-0000-0000-00000F050000}"/>
    <cellStyle name="60% - Ênfase6" xfId="1412" xr:uid="{00000000-0005-0000-0000-000010050000}"/>
    <cellStyle name="60% - Ênfase6 2" xfId="1413" xr:uid="{00000000-0005-0000-0000-000011050000}"/>
    <cellStyle name="60% - Ênfase6 3" xfId="1414" xr:uid="{00000000-0005-0000-0000-000012050000}"/>
    <cellStyle name="60% - Ênfase6 4" xfId="1415" xr:uid="{00000000-0005-0000-0000-000013050000}"/>
    <cellStyle name="60% - Ênfase6 5" xfId="1416" xr:uid="{00000000-0005-0000-0000-000014050000}"/>
    <cellStyle name="60% - Ênfase6 6" xfId="1417" xr:uid="{00000000-0005-0000-0000-000015050000}"/>
    <cellStyle name="60% - Énfasis1" xfId="1418" xr:uid="{00000000-0005-0000-0000-000016050000}"/>
    <cellStyle name="60% - Énfasis2" xfId="1419" xr:uid="{00000000-0005-0000-0000-000017050000}"/>
    <cellStyle name="60% - Énfasis3" xfId="1420" xr:uid="{00000000-0005-0000-0000-000018050000}"/>
    <cellStyle name="60% - Énfasis4" xfId="1421" xr:uid="{00000000-0005-0000-0000-000019050000}"/>
    <cellStyle name="60% - Énfasis5" xfId="1422" xr:uid="{00000000-0005-0000-0000-00001A050000}"/>
    <cellStyle name="60% - Énfasis6" xfId="1423" xr:uid="{00000000-0005-0000-0000-00001B050000}"/>
    <cellStyle name="600 PN" xfId="1424" xr:uid="{00000000-0005-0000-0000-00001C050000}"/>
    <cellStyle name="6mal" xfId="1425" xr:uid="{00000000-0005-0000-0000-00001D050000}"/>
    <cellStyle name="700 PN" xfId="1426" xr:uid="{00000000-0005-0000-0000-00001E050000}"/>
    <cellStyle name="752131" xfId="1427" xr:uid="{00000000-0005-0000-0000-00001F050000}"/>
    <cellStyle name="9" xfId="1428" xr:uid="{00000000-0005-0000-0000-000020050000}"/>
    <cellStyle name="A$2places" xfId="1429" xr:uid="{00000000-0005-0000-0000-000021050000}"/>
    <cellStyle name="A$3places" xfId="1430" xr:uid="{00000000-0005-0000-0000-000022050000}"/>
    <cellStyle name="A_Block Space" xfId="1431" xr:uid="{00000000-0005-0000-0000-000023050000}"/>
    <cellStyle name="A_BlueLine" xfId="1432" xr:uid="{00000000-0005-0000-0000-000024050000}"/>
    <cellStyle name="A_Do not Change" xfId="1433" xr:uid="{00000000-0005-0000-0000-000025050000}"/>
    <cellStyle name="A_Estimate" xfId="1434" xr:uid="{00000000-0005-0000-0000-000026050000}"/>
    <cellStyle name="A_Memo" xfId="1435" xr:uid="{00000000-0005-0000-0000-000027050000}"/>
    <cellStyle name="A_Memo_AGU_model--JF" xfId="1436" xr:uid="{00000000-0005-0000-0000-000028050000}"/>
    <cellStyle name="A_Normal" xfId="1437" xr:uid="{00000000-0005-0000-0000-000029050000}"/>
    <cellStyle name="A_Normal Forecast" xfId="1438" xr:uid="{00000000-0005-0000-0000-00002A050000}"/>
    <cellStyle name="A_Normal Historical" xfId="1439" xr:uid="{00000000-0005-0000-0000-00002B050000}"/>
    <cellStyle name="A_Normal Historical_AGU_model--JF" xfId="1440" xr:uid="{00000000-0005-0000-0000-00002C050000}"/>
    <cellStyle name="A_Rate_Data" xfId="1441" xr:uid="{00000000-0005-0000-0000-00002D050000}"/>
    <cellStyle name="A_Rate_Data Historical" xfId="1442" xr:uid="{00000000-0005-0000-0000-00002E050000}"/>
    <cellStyle name="A_Rate_Title" xfId="1443" xr:uid="{00000000-0005-0000-0000-00002F050000}"/>
    <cellStyle name="A_Simple Title" xfId="1444" xr:uid="{00000000-0005-0000-0000-000030050000}"/>
    <cellStyle name="A_Sum" xfId="1445" xr:uid="{00000000-0005-0000-0000-000031050000}"/>
    <cellStyle name="A_SUM_Row Major" xfId="1446" xr:uid="{00000000-0005-0000-0000-000032050000}"/>
    <cellStyle name="A_SUM_Row Minor" xfId="1447" xr:uid="{00000000-0005-0000-0000-000033050000}"/>
    <cellStyle name="A_Title" xfId="1448" xr:uid="{00000000-0005-0000-0000-000034050000}"/>
    <cellStyle name="A_Title_AGU_model--JF" xfId="1449" xr:uid="{00000000-0005-0000-0000-000035050000}"/>
    <cellStyle name="A_YearHeadings" xfId="1450" xr:uid="{00000000-0005-0000-0000-000036050000}"/>
    <cellStyle name="A3 297 x 420 mm" xfId="1451" xr:uid="{00000000-0005-0000-0000-000037050000}"/>
    <cellStyle name="Accent1 2" xfId="1452" xr:uid="{00000000-0005-0000-0000-000038050000}"/>
    <cellStyle name="Accent1 2 2" xfId="1453" xr:uid="{00000000-0005-0000-0000-000039050000}"/>
    <cellStyle name="Accent1 3" xfId="1454" xr:uid="{00000000-0005-0000-0000-00003A050000}"/>
    <cellStyle name="Accent1 3 2" xfId="1455" xr:uid="{00000000-0005-0000-0000-00003B050000}"/>
    <cellStyle name="Accent1 4" xfId="1456" xr:uid="{00000000-0005-0000-0000-00003C050000}"/>
    <cellStyle name="Accent1 4 2" xfId="1457" xr:uid="{00000000-0005-0000-0000-00003D050000}"/>
    <cellStyle name="Accent1 5" xfId="1458" xr:uid="{00000000-0005-0000-0000-00003E050000}"/>
    <cellStyle name="Accent1 5 2" xfId="1459" xr:uid="{00000000-0005-0000-0000-00003F050000}"/>
    <cellStyle name="Accent2 2" xfId="1460" xr:uid="{00000000-0005-0000-0000-000040050000}"/>
    <cellStyle name="Accent2 2 2" xfId="1461" xr:uid="{00000000-0005-0000-0000-000041050000}"/>
    <cellStyle name="Accent2 3" xfId="1462" xr:uid="{00000000-0005-0000-0000-000042050000}"/>
    <cellStyle name="Accent2 3 2" xfId="1463" xr:uid="{00000000-0005-0000-0000-000043050000}"/>
    <cellStyle name="Accent2 4" xfId="1464" xr:uid="{00000000-0005-0000-0000-000044050000}"/>
    <cellStyle name="Accent2 4 2" xfId="1465" xr:uid="{00000000-0005-0000-0000-000045050000}"/>
    <cellStyle name="Accent2 5" xfId="1466" xr:uid="{00000000-0005-0000-0000-000046050000}"/>
    <cellStyle name="Accent2 5 2" xfId="1467" xr:uid="{00000000-0005-0000-0000-000047050000}"/>
    <cellStyle name="Accent3 2" xfId="1468" xr:uid="{00000000-0005-0000-0000-000048050000}"/>
    <cellStyle name="Accent3 2 2" xfId="1469" xr:uid="{00000000-0005-0000-0000-000049050000}"/>
    <cellStyle name="Accent3 3" xfId="1470" xr:uid="{00000000-0005-0000-0000-00004A050000}"/>
    <cellStyle name="Accent3 3 2" xfId="1471" xr:uid="{00000000-0005-0000-0000-00004B050000}"/>
    <cellStyle name="Accent3 4" xfId="1472" xr:uid="{00000000-0005-0000-0000-00004C050000}"/>
    <cellStyle name="Accent3 4 2" xfId="1473" xr:uid="{00000000-0005-0000-0000-00004D050000}"/>
    <cellStyle name="Accent3 5" xfId="1474" xr:uid="{00000000-0005-0000-0000-00004E050000}"/>
    <cellStyle name="Accent3 5 2" xfId="1475" xr:uid="{00000000-0005-0000-0000-00004F050000}"/>
    <cellStyle name="Accent4 2" xfId="1476" xr:uid="{00000000-0005-0000-0000-000050050000}"/>
    <cellStyle name="Accent4 2 2" xfId="1477" xr:uid="{00000000-0005-0000-0000-000051050000}"/>
    <cellStyle name="Accent4 3" xfId="1478" xr:uid="{00000000-0005-0000-0000-000052050000}"/>
    <cellStyle name="Accent4 3 2" xfId="1479" xr:uid="{00000000-0005-0000-0000-000053050000}"/>
    <cellStyle name="Accent4 4" xfId="1480" xr:uid="{00000000-0005-0000-0000-000054050000}"/>
    <cellStyle name="Accent4 4 2" xfId="1481" xr:uid="{00000000-0005-0000-0000-000055050000}"/>
    <cellStyle name="Accent4 5" xfId="1482" xr:uid="{00000000-0005-0000-0000-000056050000}"/>
    <cellStyle name="Accent4 5 2" xfId="1483" xr:uid="{00000000-0005-0000-0000-000057050000}"/>
    <cellStyle name="Accent5 2" xfId="1484" xr:uid="{00000000-0005-0000-0000-000058050000}"/>
    <cellStyle name="Accent5 2 2" xfId="1485" xr:uid="{00000000-0005-0000-0000-000059050000}"/>
    <cellStyle name="Accent5 3" xfId="1486" xr:uid="{00000000-0005-0000-0000-00005A050000}"/>
    <cellStyle name="Accent5 3 2" xfId="1487" xr:uid="{00000000-0005-0000-0000-00005B050000}"/>
    <cellStyle name="Accent5 4" xfId="1488" xr:uid="{00000000-0005-0000-0000-00005C050000}"/>
    <cellStyle name="Accent5 4 2" xfId="1489" xr:uid="{00000000-0005-0000-0000-00005D050000}"/>
    <cellStyle name="Accent5 5" xfId="1490" xr:uid="{00000000-0005-0000-0000-00005E050000}"/>
    <cellStyle name="Accent5 5 2" xfId="1491" xr:uid="{00000000-0005-0000-0000-00005F050000}"/>
    <cellStyle name="Accent6 2" xfId="1492" xr:uid="{00000000-0005-0000-0000-000060050000}"/>
    <cellStyle name="Accent6 2 2" xfId="1493" xr:uid="{00000000-0005-0000-0000-000061050000}"/>
    <cellStyle name="Accent6 3" xfId="1494" xr:uid="{00000000-0005-0000-0000-000062050000}"/>
    <cellStyle name="Accent6 3 2" xfId="1495" xr:uid="{00000000-0005-0000-0000-000063050000}"/>
    <cellStyle name="Accent6 4" xfId="1496" xr:uid="{00000000-0005-0000-0000-000064050000}"/>
    <cellStyle name="Accent6 4 2" xfId="1497" xr:uid="{00000000-0005-0000-0000-000065050000}"/>
    <cellStyle name="Accent6 5" xfId="1498" xr:uid="{00000000-0005-0000-0000-000066050000}"/>
    <cellStyle name="Accent6 5 2" xfId="1499" xr:uid="{00000000-0005-0000-0000-000067050000}"/>
    <cellStyle name="Acctg" xfId="1500" xr:uid="{00000000-0005-0000-0000-000068050000}"/>
    <cellStyle name="Actual" xfId="1501" xr:uid="{00000000-0005-0000-0000-000069050000}"/>
    <cellStyle name="Actual data" xfId="224" xr:uid="{00000000-0005-0000-0000-00006A050000}"/>
    <cellStyle name="Actual Date" xfId="1502" xr:uid="{00000000-0005-0000-0000-00006B050000}"/>
    <cellStyle name="Actual Date 2" xfId="1503" xr:uid="{00000000-0005-0000-0000-00006C050000}"/>
    <cellStyle name="Actual year" xfId="225" xr:uid="{00000000-0005-0000-0000-00006D050000}"/>
    <cellStyle name="Actuals Cells" xfId="226" xr:uid="{00000000-0005-0000-0000-00006E050000}"/>
    <cellStyle name="Adj L1" xfId="1504" xr:uid="{00000000-0005-0000-0000-00006F050000}"/>
    <cellStyle name="Adj L2" xfId="1505" xr:uid="{00000000-0005-0000-0000-000070050000}"/>
    <cellStyle name="Adj L3" xfId="1506" xr:uid="{00000000-0005-0000-0000-000071050000}"/>
    <cellStyle name="Adj Space" xfId="1507" xr:uid="{00000000-0005-0000-0000-000072050000}"/>
    <cellStyle name="AFE" xfId="227" xr:uid="{00000000-0005-0000-0000-000073050000}"/>
    <cellStyle name="AFE 2" xfId="1508" xr:uid="{00000000-0005-0000-0000-000074050000}"/>
    <cellStyle name="afl" xfId="228" xr:uid="{00000000-0005-0000-0000-000075050000}"/>
    <cellStyle name="ales" xfId="1509" xr:uid="{00000000-0005-0000-0000-000076050000}"/>
    <cellStyle name="AMN" xfId="1510" xr:uid="{00000000-0005-0000-0000-000077050000}"/>
    <cellStyle name="Andre's Title" xfId="229" xr:uid="{00000000-0005-0000-0000-000078050000}"/>
    <cellStyle name="args.style" xfId="1511" xr:uid="{00000000-0005-0000-0000-000079050000}"/>
    <cellStyle name="Arial" xfId="1512" xr:uid="{00000000-0005-0000-0000-00007A050000}"/>
    <cellStyle name="Arial 10" xfId="1513" xr:uid="{00000000-0005-0000-0000-00007B050000}"/>
    <cellStyle name="Arial 10 2" xfId="1514" xr:uid="{00000000-0005-0000-0000-00007C050000}"/>
    <cellStyle name="arial 11" xfId="1515" xr:uid="{00000000-0005-0000-0000-00007D050000}"/>
    <cellStyle name="Arial 12" xfId="1516" xr:uid="{00000000-0005-0000-0000-00007E050000}"/>
    <cellStyle name="arial 13" xfId="1517" xr:uid="{00000000-0005-0000-0000-00007F050000}"/>
    <cellStyle name="arial 14" xfId="1518" xr:uid="{00000000-0005-0000-0000-000080050000}"/>
    <cellStyle name="arial 15" xfId="1519" xr:uid="{00000000-0005-0000-0000-000081050000}"/>
    <cellStyle name="arial 16" xfId="1520" xr:uid="{00000000-0005-0000-0000-000082050000}"/>
    <cellStyle name="arial 17" xfId="1521" xr:uid="{00000000-0005-0000-0000-000083050000}"/>
    <cellStyle name="arial 18" xfId="1522" xr:uid="{00000000-0005-0000-0000-000084050000}"/>
    <cellStyle name="arial 19" xfId="1523" xr:uid="{00000000-0005-0000-0000-000085050000}"/>
    <cellStyle name="arial 2" xfId="1524" xr:uid="{00000000-0005-0000-0000-000086050000}"/>
    <cellStyle name="Arial 20" xfId="1525" xr:uid="{00000000-0005-0000-0000-000087050000}"/>
    <cellStyle name="Arial 21" xfId="1526" xr:uid="{00000000-0005-0000-0000-000088050000}"/>
    <cellStyle name="Arial 22" xfId="1527" xr:uid="{00000000-0005-0000-0000-000089050000}"/>
    <cellStyle name="Arial 23" xfId="1528" xr:uid="{00000000-0005-0000-0000-00008A050000}"/>
    <cellStyle name="arial 3" xfId="1529" xr:uid="{00000000-0005-0000-0000-00008B050000}"/>
    <cellStyle name="arial 4" xfId="1530" xr:uid="{00000000-0005-0000-0000-00008C050000}"/>
    <cellStyle name="arial 5" xfId="1531" xr:uid="{00000000-0005-0000-0000-00008D050000}"/>
    <cellStyle name="arial 6" xfId="1532" xr:uid="{00000000-0005-0000-0000-00008E050000}"/>
    <cellStyle name="arial 7" xfId="1533" xr:uid="{00000000-0005-0000-0000-00008F050000}"/>
    <cellStyle name="arial 8" xfId="1534" xr:uid="{00000000-0005-0000-0000-000090050000}"/>
    <cellStyle name="arial 9" xfId="1535" xr:uid="{00000000-0005-0000-0000-000091050000}"/>
    <cellStyle name="arial_CFS" xfId="1536" xr:uid="{00000000-0005-0000-0000-000092050000}"/>
    <cellStyle name="ArialNormal" xfId="1537" xr:uid="{00000000-0005-0000-0000-000093050000}"/>
    <cellStyle name="ArialNormal 2" xfId="1538" xr:uid="{00000000-0005-0000-0000-000094050000}"/>
    <cellStyle name="Ariel 7 pt. plain" xfId="1539" xr:uid="{00000000-0005-0000-0000-000095050000}"/>
    <cellStyle name="Assumption" xfId="1540" xr:uid="{00000000-0005-0000-0000-000096050000}"/>
    <cellStyle name="Assumption 2" xfId="1541" xr:uid="{00000000-0005-0000-0000-000097050000}"/>
    <cellStyle name="AUV" xfId="1542" xr:uid="{00000000-0005-0000-0000-000098050000}"/>
    <cellStyle name="AUV 2" xfId="1543" xr:uid="{00000000-0005-0000-0000-000099050000}"/>
    <cellStyle name="b" xfId="1544" xr:uid="{00000000-0005-0000-0000-00009A050000}"/>
    <cellStyle name="b 2" xfId="1545" xr:uid="{00000000-0005-0000-0000-00009B050000}"/>
    <cellStyle name="Bad 2" xfId="1546" xr:uid="{00000000-0005-0000-0000-00009C050000}"/>
    <cellStyle name="Bad 2 2" xfId="1547" xr:uid="{00000000-0005-0000-0000-00009D050000}"/>
    <cellStyle name="Bad 3" xfId="1548" xr:uid="{00000000-0005-0000-0000-00009E050000}"/>
    <cellStyle name="Bad 3 2" xfId="1549" xr:uid="{00000000-0005-0000-0000-00009F050000}"/>
    <cellStyle name="Bad 4" xfId="1550" xr:uid="{00000000-0005-0000-0000-0000A0050000}"/>
    <cellStyle name="Bad 4 2" xfId="1551" xr:uid="{00000000-0005-0000-0000-0000A1050000}"/>
    <cellStyle name="Bad 5" xfId="1552" xr:uid="{00000000-0005-0000-0000-0000A2050000}"/>
    <cellStyle name="Bad 5 2" xfId="1553" xr:uid="{00000000-0005-0000-0000-0000A3050000}"/>
    <cellStyle name="Balance Sheet" xfId="1554" xr:uid="{00000000-0005-0000-0000-0000A4050000}"/>
    <cellStyle name="BalanceSheet" xfId="1555" xr:uid="{00000000-0005-0000-0000-0000A5050000}"/>
    <cellStyle name="BalanceSheet 2" xfId="1556" xr:uid="{00000000-0005-0000-0000-0000A6050000}"/>
    <cellStyle name="Band 2" xfId="1557" xr:uid="{00000000-0005-0000-0000-0000A7050000}"/>
    <cellStyle name="Basis points" xfId="1558" xr:uid="{00000000-0005-0000-0000-0000A8050000}"/>
    <cellStyle name="big-font" xfId="1559" xr:uid="{00000000-0005-0000-0000-0000A9050000}"/>
    <cellStyle name="Billion" xfId="1560" xr:uid="{00000000-0005-0000-0000-0000AA050000}"/>
    <cellStyle name="Black" xfId="1561" xr:uid="{00000000-0005-0000-0000-0000AB050000}"/>
    <cellStyle name="black - Style1" xfId="1562" xr:uid="{00000000-0005-0000-0000-0000AC050000}"/>
    <cellStyle name="Black 10" xfId="1563" xr:uid="{00000000-0005-0000-0000-0000AD050000}"/>
    <cellStyle name="Black 11" xfId="1564" xr:uid="{00000000-0005-0000-0000-0000AE050000}"/>
    <cellStyle name="Black 12" xfId="1565" xr:uid="{00000000-0005-0000-0000-0000AF050000}"/>
    <cellStyle name="Black 13" xfId="1566" xr:uid="{00000000-0005-0000-0000-0000B0050000}"/>
    <cellStyle name="Black 14" xfId="1567" xr:uid="{00000000-0005-0000-0000-0000B1050000}"/>
    <cellStyle name="Black 15" xfId="1568" xr:uid="{00000000-0005-0000-0000-0000B2050000}"/>
    <cellStyle name="Black 16" xfId="1569" xr:uid="{00000000-0005-0000-0000-0000B3050000}"/>
    <cellStyle name="Black 17" xfId="1570" xr:uid="{00000000-0005-0000-0000-0000B4050000}"/>
    <cellStyle name="Black 2" xfId="1571" xr:uid="{00000000-0005-0000-0000-0000B5050000}"/>
    <cellStyle name="Black 3" xfId="1572" xr:uid="{00000000-0005-0000-0000-0000B6050000}"/>
    <cellStyle name="Black 4" xfId="1573" xr:uid="{00000000-0005-0000-0000-0000B7050000}"/>
    <cellStyle name="Black 5" xfId="1574" xr:uid="{00000000-0005-0000-0000-0000B8050000}"/>
    <cellStyle name="Black 6" xfId="1575" xr:uid="{00000000-0005-0000-0000-0000B9050000}"/>
    <cellStyle name="Black 7" xfId="1576" xr:uid="{00000000-0005-0000-0000-0000BA050000}"/>
    <cellStyle name="Black 8" xfId="1577" xr:uid="{00000000-0005-0000-0000-0000BB050000}"/>
    <cellStyle name="Black 9" xfId="1578" xr:uid="{00000000-0005-0000-0000-0000BC050000}"/>
    <cellStyle name="Black Text" xfId="1579" xr:uid="{00000000-0005-0000-0000-0000BD050000}"/>
    <cellStyle name="Black Text (No Wrap)" xfId="1580" xr:uid="{00000000-0005-0000-0000-0000BE050000}"/>
    <cellStyle name="Black Text_Quarterly projections" xfId="1581" xr:uid="{00000000-0005-0000-0000-0000BF050000}"/>
    <cellStyle name="BlackStrike" xfId="1582" xr:uid="{00000000-0005-0000-0000-0000C0050000}"/>
    <cellStyle name="BlackText" xfId="1583" xr:uid="{00000000-0005-0000-0000-0000C1050000}"/>
    <cellStyle name="Blank" xfId="230" xr:uid="{00000000-0005-0000-0000-0000C2050000}"/>
    <cellStyle name="Blue" xfId="231" xr:uid="{00000000-0005-0000-0000-0000C3050000}"/>
    <cellStyle name="Blue 2" xfId="1584" xr:uid="{00000000-0005-0000-0000-0000C4050000}"/>
    <cellStyle name="Blue Text" xfId="1585" xr:uid="{00000000-0005-0000-0000-0000C5050000}"/>
    <cellStyle name="Blue Text - Ariel 10" xfId="1586" xr:uid="{00000000-0005-0000-0000-0000C6050000}"/>
    <cellStyle name="Blue Text_Quarterly projections" xfId="1587" xr:uid="{00000000-0005-0000-0000-0000C7050000}"/>
    <cellStyle name="Blue Title" xfId="232" xr:uid="{00000000-0005-0000-0000-0000C8050000}"/>
    <cellStyle name="blue_AGRO3 Valuation Model" xfId="1588" xr:uid="{00000000-0005-0000-0000-0000C9050000}"/>
    <cellStyle name="BLuedashZero" xfId="1589" xr:uid="{00000000-0005-0000-0000-0000CA050000}"/>
    <cellStyle name="blue-linked data to another file" xfId="1590" xr:uid="{00000000-0005-0000-0000-0000CB050000}"/>
    <cellStyle name="Body" xfId="1591" xr:uid="{00000000-0005-0000-0000-0000CC050000}"/>
    <cellStyle name="Bold TmsRmn" xfId="1592" xr:uid="{00000000-0005-0000-0000-0000CD050000}"/>
    <cellStyle name="Bold/Border" xfId="1593" xr:uid="{00000000-0005-0000-0000-0000CE050000}"/>
    <cellStyle name="Bold/Border 2" xfId="1594" xr:uid="{00000000-0005-0000-0000-0000CF050000}"/>
    <cellStyle name="Bold/Border 3" xfId="1595" xr:uid="{00000000-0005-0000-0000-0000D0050000}"/>
    <cellStyle name="Bold/Border 4" xfId="1596" xr:uid="{00000000-0005-0000-0000-0000D1050000}"/>
    <cellStyle name="Bol-Data" xfId="1597" xr:uid="{00000000-0005-0000-0000-0000D2050000}"/>
    <cellStyle name="BoldText" xfId="1598" xr:uid="{00000000-0005-0000-0000-0000D3050000}"/>
    <cellStyle name="bolet" xfId="1599" xr:uid="{00000000-0005-0000-0000-0000D4050000}"/>
    <cellStyle name="Boletim" xfId="1600" xr:uid="{00000000-0005-0000-0000-0000D5050000}"/>
    <cellStyle name="Boletim 2" xfId="1601" xr:uid="{00000000-0005-0000-0000-0000D6050000}"/>
    <cellStyle name="Bom" xfId="1602" xr:uid="{00000000-0005-0000-0000-0000D7050000}"/>
    <cellStyle name="Bom 2" xfId="1603" xr:uid="{00000000-0005-0000-0000-0000D8050000}"/>
    <cellStyle name="Bom 3" xfId="1604" xr:uid="{00000000-0005-0000-0000-0000D9050000}"/>
    <cellStyle name="Bom 4" xfId="1605" xr:uid="{00000000-0005-0000-0000-0000DA050000}"/>
    <cellStyle name="Bom 5" xfId="1606" xr:uid="{00000000-0005-0000-0000-0000DB050000}"/>
    <cellStyle name="Bom 6" xfId="1607" xr:uid="{00000000-0005-0000-0000-0000DC050000}"/>
    <cellStyle name="book" xfId="1608" xr:uid="{00000000-0005-0000-0000-0000DD050000}"/>
    <cellStyle name="borde thin" xfId="1609" xr:uid="{00000000-0005-0000-0000-0000DE050000}"/>
    <cellStyle name="Border" xfId="1610" xr:uid="{00000000-0005-0000-0000-0000DF050000}"/>
    <cellStyle name="Border 2" xfId="1611" xr:uid="{00000000-0005-0000-0000-0000E0050000}"/>
    <cellStyle name="Border Heavy" xfId="1612" xr:uid="{00000000-0005-0000-0000-0000E1050000}"/>
    <cellStyle name="Border Heavy 2" xfId="1613" xr:uid="{00000000-0005-0000-0000-0000E2050000}"/>
    <cellStyle name="Border Heavy 3" xfId="1614" xr:uid="{00000000-0005-0000-0000-0000E3050000}"/>
    <cellStyle name="Border Heavy 4" xfId="1615" xr:uid="{00000000-0005-0000-0000-0000E4050000}"/>
    <cellStyle name="border thick" xfId="1616" xr:uid="{00000000-0005-0000-0000-0000E5050000}"/>
    <cellStyle name="border thick 2" xfId="1617" xr:uid="{00000000-0005-0000-0000-0000E6050000}"/>
    <cellStyle name="Border Thin" xfId="1618" xr:uid="{00000000-0005-0000-0000-0000E7050000}"/>
    <cellStyle name="Border Thin 2" xfId="1619" xr:uid="{00000000-0005-0000-0000-0000E8050000}"/>
    <cellStyle name="Border Thin 3" xfId="1620" xr:uid="{00000000-0005-0000-0000-0000E9050000}"/>
    <cellStyle name="Border Thin 4" xfId="1621" xr:uid="{00000000-0005-0000-0000-0000EA050000}"/>
    <cellStyle name="border think" xfId="1622" xr:uid="{00000000-0005-0000-0000-0000EB050000}"/>
    <cellStyle name="border tihn" xfId="1623" xr:uid="{00000000-0005-0000-0000-0000EC050000}"/>
    <cellStyle name="Border, Bottom" xfId="1624" xr:uid="{00000000-0005-0000-0000-0000ED050000}"/>
    <cellStyle name="Border, Bottom 2" xfId="1625" xr:uid="{00000000-0005-0000-0000-0000EE050000}"/>
    <cellStyle name="Border, Bottom 2 2" xfId="1626" xr:uid="{00000000-0005-0000-0000-0000EF050000}"/>
    <cellStyle name="Border, Bottom 2 3" xfId="1627" xr:uid="{00000000-0005-0000-0000-0000F0050000}"/>
    <cellStyle name="Border, Bottom 2 4" xfId="1628" xr:uid="{00000000-0005-0000-0000-0000F1050000}"/>
    <cellStyle name="Border, Bottom 3" xfId="1629" xr:uid="{00000000-0005-0000-0000-0000F2050000}"/>
    <cellStyle name="Border, Bottom 4" xfId="1630" xr:uid="{00000000-0005-0000-0000-0000F3050000}"/>
    <cellStyle name="Border, Bottom 5" xfId="1631" xr:uid="{00000000-0005-0000-0000-0000F4050000}"/>
    <cellStyle name="Border, Left" xfId="1632" xr:uid="{00000000-0005-0000-0000-0000F5050000}"/>
    <cellStyle name="Border, Left 2" xfId="1633" xr:uid="{00000000-0005-0000-0000-0000F6050000}"/>
    <cellStyle name="Border, Right" xfId="1634" xr:uid="{00000000-0005-0000-0000-0000F7050000}"/>
    <cellStyle name="Border, Right 2" xfId="1635" xr:uid="{00000000-0005-0000-0000-0000F8050000}"/>
    <cellStyle name="Border, Top" xfId="1636" xr:uid="{00000000-0005-0000-0000-0000F9050000}"/>
    <cellStyle name="Border, Top 2" xfId="1637" xr:uid="{00000000-0005-0000-0000-0000FA050000}"/>
    <cellStyle name="Border_AGRO3 Valuation Model" xfId="1638" xr:uid="{00000000-0005-0000-0000-0000FB050000}"/>
    <cellStyle name="bordert thin" xfId="1639" xr:uid="{00000000-0005-0000-0000-0000FC050000}"/>
    <cellStyle name="bordert thin 2" xfId="1640" xr:uid="{00000000-0005-0000-0000-0000FD050000}"/>
    <cellStyle name="Bottom Edge" xfId="1641" xr:uid="{00000000-0005-0000-0000-0000FE050000}"/>
    <cellStyle name="bottom-title" xfId="1642" xr:uid="{00000000-0005-0000-0000-0000FF050000}"/>
    <cellStyle name="bps" xfId="1643" xr:uid="{00000000-0005-0000-0000-000000060000}"/>
    <cellStyle name="bps 2" xfId="1644" xr:uid="{00000000-0005-0000-0000-000001060000}"/>
    <cellStyle name="British Pound" xfId="1645" xr:uid="{00000000-0005-0000-0000-000002060000}"/>
    <cellStyle name="BritPound" xfId="1646" xr:uid="{00000000-0005-0000-0000-000003060000}"/>
    <cellStyle name="Buena" xfId="1647" xr:uid="{00000000-0005-0000-0000-000004060000}"/>
    <cellStyle name="Bullet" xfId="1648" xr:uid="{00000000-0005-0000-0000-000005060000}"/>
    <cellStyle name="c" xfId="1649" xr:uid="{00000000-0005-0000-0000-000006060000}"/>
    <cellStyle name="c 2" xfId="1650" xr:uid="{00000000-0005-0000-0000-000007060000}"/>
    <cellStyle name="c_HardInc" xfId="1651" xr:uid="{00000000-0005-0000-0000-000008060000}"/>
    <cellStyle name="c_HardInc " xfId="1652" xr:uid="{00000000-0005-0000-0000-000009060000}"/>
    <cellStyle name="c_HardInc _5. Synergies Seara" xfId="1653" xr:uid="{00000000-0005-0000-0000-00000A060000}"/>
    <cellStyle name="c_HardInc _Catalog" xfId="1654" xr:uid="{00000000-0005-0000-0000-00000B060000}"/>
    <cellStyle name="c_HardInc _Catalog 2" xfId="1655" xr:uid="{00000000-0005-0000-0000-00000C060000}"/>
    <cellStyle name="c_HardInc _Estacio_Oficial_ANA_outsource_test" xfId="1656" xr:uid="{00000000-0005-0000-0000-00000D060000}"/>
    <cellStyle name="c_HardInc _JapaneseCatalog" xfId="1657" xr:uid="{00000000-0005-0000-0000-00000E060000}"/>
    <cellStyle name="c_HardInc _RRS1" xfId="1658" xr:uid="{00000000-0005-0000-0000-00000F060000}"/>
    <cellStyle name="c_HardInc _RRS6" xfId="1659" xr:uid="{00000000-0005-0000-0000-000010060000}"/>
    <cellStyle name="c_HardInc _SEB_Oficial_ANA_outsource_test" xfId="1660" xr:uid="{00000000-0005-0000-0000-000011060000}"/>
    <cellStyle name="c_HardInc _SEB_Oficial_ANA_outsource_test 2" xfId="1661" xr:uid="{00000000-0005-0000-0000-000012060000}"/>
    <cellStyle name="c_HardInc _WORKING prjget2007_new" xfId="1662" xr:uid="{00000000-0005-0000-0000-000013060000}"/>
    <cellStyle name="c_Raw_financials" xfId="1663" xr:uid="{00000000-0005-0000-0000-000014060000}"/>
    <cellStyle name="c_Raw_financials 2" xfId="1664" xr:uid="{00000000-0005-0000-0000-000015060000}"/>
    <cellStyle name="C05_Style E Text" xfId="1665" xr:uid="{00000000-0005-0000-0000-000016060000}"/>
    <cellStyle name="Cabecera 1" xfId="1666" xr:uid="{00000000-0005-0000-0000-000017060000}"/>
    <cellStyle name="Cabecera 2" xfId="1667" xr:uid="{00000000-0005-0000-0000-000018060000}"/>
    <cellStyle name="Calc Cells" xfId="233" xr:uid="{00000000-0005-0000-0000-000019060000}"/>
    <cellStyle name="Calc Currency (0)" xfId="1668" xr:uid="{00000000-0005-0000-0000-00001A060000}"/>
    <cellStyle name="Calculation 2" xfId="1669" xr:uid="{00000000-0005-0000-0000-00001B060000}"/>
    <cellStyle name="Calculation 2 2" xfId="1670" xr:uid="{00000000-0005-0000-0000-00001C060000}"/>
    <cellStyle name="Calculation 3" xfId="1671" xr:uid="{00000000-0005-0000-0000-00001D060000}"/>
    <cellStyle name="Calculation 3 2" xfId="1672" xr:uid="{00000000-0005-0000-0000-00001E060000}"/>
    <cellStyle name="Calculation 4" xfId="1673" xr:uid="{00000000-0005-0000-0000-00001F060000}"/>
    <cellStyle name="Calculation 4 2" xfId="1674" xr:uid="{00000000-0005-0000-0000-000020060000}"/>
    <cellStyle name="Calculation 5" xfId="1675" xr:uid="{00000000-0005-0000-0000-000021060000}"/>
    <cellStyle name="Calculation 5 2" xfId="1676" xr:uid="{00000000-0005-0000-0000-000022060000}"/>
    <cellStyle name="Cálculo" xfId="1677" xr:uid="{00000000-0005-0000-0000-000023060000}"/>
    <cellStyle name="Cálculo 2" xfId="1678" xr:uid="{00000000-0005-0000-0000-000024060000}"/>
    <cellStyle name="Cálculo 3" xfId="1679" xr:uid="{00000000-0005-0000-0000-000025060000}"/>
    <cellStyle name="Cálculo 4" xfId="1680" xr:uid="{00000000-0005-0000-0000-000026060000}"/>
    <cellStyle name="Cálculo 5" xfId="1681" xr:uid="{00000000-0005-0000-0000-000027060000}"/>
    <cellStyle name="Cálculo 6" xfId="1682" xr:uid="{00000000-0005-0000-0000-000028060000}"/>
    <cellStyle name="Case" xfId="234" xr:uid="{00000000-0005-0000-0000-000029060000}"/>
    <cellStyle name="Case 2" xfId="1683" xr:uid="{00000000-0005-0000-0000-00002A060000}"/>
    <cellStyle name="CashFlow" xfId="1684" xr:uid="{00000000-0005-0000-0000-00002B060000}"/>
    <cellStyle name="CashFlow 2" xfId="1685" xr:uid="{00000000-0005-0000-0000-00002C060000}"/>
    <cellStyle name="Celda de comprobación" xfId="1686" xr:uid="{00000000-0005-0000-0000-00002D060000}"/>
    <cellStyle name="Celda vinculada" xfId="1687" xr:uid="{00000000-0005-0000-0000-00002E060000}"/>
    <cellStyle name="Célula de Verificação" xfId="1688" xr:uid="{00000000-0005-0000-0000-00002F060000}"/>
    <cellStyle name="Célula de Verificação 2" xfId="1689" xr:uid="{00000000-0005-0000-0000-000030060000}"/>
    <cellStyle name="Célula de Verificação 3" xfId="1690" xr:uid="{00000000-0005-0000-0000-000031060000}"/>
    <cellStyle name="Célula de Verificação 4" xfId="1691" xr:uid="{00000000-0005-0000-0000-000032060000}"/>
    <cellStyle name="Célula de Verificação 5" xfId="1692" xr:uid="{00000000-0005-0000-0000-000033060000}"/>
    <cellStyle name="Célula de Verificação 6" xfId="1693" xr:uid="{00000000-0005-0000-0000-000034060000}"/>
    <cellStyle name="Célula Vinculada" xfId="1694" xr:uid="{00000000-0005-0000-0000-000035060000}"/>
    <cellStyle name="Célula Vinculada 2" xfId="1695" xr:uid="{00000000-0005-0000-0000-000036060000}"/>
    <cellStyle name="Célula Vinculada 3" xfId="1696" xr:uid="{00000000-0005-0000-0000-000037060000}"/>
    <cellStyle name="Célula Vinculada 4" xfId="1697" xr:uid="{00000000-0005-0000-0000-000038060000}"/>
    <cellStyle name="Célula Vinculada 5" xfId="1698" xr:uid="{00000000-0005-0000-0000-000039060000}"/>
    <cellStyle name="Célula Vinculada 6" xfId="1699" xr:uid="{00000000-0005-0000-0000-00003A060000}"/>
    <cellStyle name="center" xfId="1700" xr:uid="{00000000-0005-0000-0000-00003B060000}"/>
    <cellStyle name="Centrado" xfId="1701" xr:uid="{00000000-0005-0000-0000-00003C060000}"/>
    <cellStyle name="Cents" xfId="1702" xr:uid="{00000000-0005-0000-0000-00003D060000}"/>
    <cellStyle name="Change" xfId="1703" xr:uid="{00000000-0005-0000-0000-00003E060000}"/>
    <cellStyle name="Changeable" xfId="1704" xr:uid="{00000000-0005-0000-0000-00003F060000}"/>
    <cellStyle name="Check Cell 2" xfId="1705" xr:uid="{00000000-0005-0000-0000-000040060000}"/>
    <cellStyle name="Check Cell 2 2" xfId="1706" xr:uid="{00000000-0005-0000-0000-000041060000}"/>
    <cellStyle name="Check Cell 3" xfId="1707" xr:uid="{00000000-0005-0000-0000-000042060000}"/>
    <cellStyle name="Check Cell 3 2" xfId="1708" xr:uid="{00000000-0005-0000-0000-000043060000}"/>
    <cellStyle name="Check Cell 4" xfId="1709" xr:uid="{00000000-0005-0000-0000-000044060000}"/>
    <cellStyle name="Check Cell 4 2" xfId="1710" xr:uid="{00000000-0005-0000-0000-000045060000}"/>
    <cellStyle name="Check Cell 5" xfId="1711" xr:uid="{00000000-0005-0000-0000-000046060000}"/>
    <cellStyle name="Check Cell 5 2" xfId="1712" xr:uid="{00000000-0005-0000-0000-000047060000}"/>
    <cellStyle name="clear" xfId="1713" xr:uid="{00000000-0005-0000-0000-000048060000}"/>
    <cellStyle name="clear purple comma" xfId="1714" xr:uid="{00000000-0005-0000-0000-000049060000}"/>
    <cellStyle name="CLEAR_Raw_financials" xfId="1715" xr:uid="{00000000-0005-0000-0000-00004A060000}"/>
    <cellStyle name="cnt title" xfId="1716" xr:uid="{00000000-0005-0000-0000-00004B060000}"/>
    <cellStyle name="Co. Names" xfId="235" xr:uid="{00000000-0005-0000-0000-00004C060000}"/>
    <cellStyle name="Co. Names - Bold" xfId="236" xr:uid="{00000000-0005-0000-0000-00004D060000}"/>
    <cellStyle name="Co. Names_Blend" xfId="237" xr:uid="{00000000-0005-0000-0000-00004E060000}"/>
    <cellStyle name="Col Head" xfId="238" xr:uid="{00000000-0005-0000-0000-00004F060000}"/>
    <cellStyle name="Col head bold" xfId="1717" xr:uid="{00000000-0005-0000-0000-000050060000}"/>
    <cellStyle name="Col head light" xfId="1718" xr:uid="{00000000-0005-0000-0000-000051060000}"/>
    <cellStyle name="COL HEADINGS" xfId="1719" xr:uid="{00000000-0005-0000-0000-000052060000}"/>
    <cellStyle name="COL HEADINGS 2" xfId="1720" xr:uid="{00000000-0005-0000-0000-000053060000}"/>
    <cellStyle name="COL HEADINGS 3" xfId="1721" xr:uid="{00000000-0005-0000-0000-000054060000}"/>
    <cellStyle name="COL HEADINGS 4" xfId="1722" xr:uid="{00000000-0005-0000-0000-000055060000}"/>
    <cellStyle name="Colhead_left" xfId="1723" xr:uid="{00000000-0005-0000-0000-000056060000}"/>
    <cellStyle name="color" xfId="1724" xr:uid="{00000000-0005-0000-0000-000057060000}"/>
    <cellStyle name="Column Head" xfId="1725" xr:uid="{00000000-0005-0000-0000-000058060000}"/>
    <cellStyle name="Column Headings" xfId="1726" xr:uid="{00000000-0005-0000-0000-000059060000}"/>
    <cellStyle name="ColumnHeadings" xfId="1727" xr:uid="{00000000-0005-0000-0000-00005A060000}"/>
    <cellStyle name="ColumnHeadings2" xfId="1728" xr:uid="{00000000-0005-0000-0000-00005B060000}"/>
    <cellStyle name="ColumnHeadings2 2" xfId="1729" xr:uid="{00000000-0005-0000-0000-00005C060000}"/>
    <cellStyle name="ColumnHeadings2 3" xfId="1730" xr:uid="{00000000-0005-0000-0000-00005D060000}"/>
    <cellStyle name="ColumnHeadings2 4" xfId="1731" xr:uid="{00000000-0005-0000-0000-00005E060000}"/>
    <cellStyle name="coma" xfId="1732" xr:uid="{00000000-0005-0000-0000-00005F060000}"/>
    <cellStyle name="Coma1" xfId="1733" xr:uid="{00000000-0005-0000-0000-000060060000}"/>
    <cellStyle name="comm" xfId="1734" xr:uid="{00000000-0005-0000-0000-000061060000}"/>
    <cellStyle name="Comma" xfId="317" builtinId="3"/>
    <cellStyle name="Comma  - Style1" xfId="1735" xr:uid="{00000000-0005-0000-0000-000063060000}"/>
    <cellStyle name="Comma  - Style2" xfId="1736" xr:uid="{00000000-0005-0000-0000-000064060000}"/>
    <cellStyle name="Comma  - Style3" xfId="1737" xr:uid="{00000000-0005-0000-0000-000065060000}"/>
    <cellStyle name="Comma  - Style4" xfId="1738" xr:uid="{00000000-0005-0000-0000-000066060000}"/>
    <cellStyle name="Comma  - Style5" xfId="1739" xr:uid="{00000000-0005-0000-0000-000067060000}"/>
    <cellStyle name="Comma  - Style6" xfId="1740" xr:uid="{00000000-0005-0000-0000-000068060000}"/>
    <cellStyle name="Comma  - Style7" xfId="1741" xr:uid="{00000000-0005-0000-0000-000069060000}"/>
    <cellStyle name="Comma  - Style8" xfId="1742" xr:uid="{00000000-0005-0000-0000-00006A060000}"/>
    <cellStyle name="comma (1)" xfId="1743" xr:uid="{00000000-0005-0000-0000-00006B060000}"/>
    <cellStyle name="Comma [1]" xfId="1744" xr:uid="{00000000-0005-0000-0000-00006C060000}"/>
    <cellStyle name="Comma [1] 2" xfId="1745" xr:uid="{00000000-0005-0000-0000-00006D060000}"/>
    <cellStyle name="Comma [2]" xfId="1746" xr:uid="{00000000-0005-0000-0000-00006E060000}"/>
    <cellStyle name="Comma [2] 2" xfId="1747" xr:uid="{00000000-0005-0000-0000-00006F060000}"/>
    <cellStyle name="Comma [3]" xfId="1748" xr:uid="{00000000-0005-0000-0000-000070060000}"/>
    <cellStyle name="Comma [3] 2" xfId="1749" xr:uid="{00000000-0005-0000-0000-000071060000}"/>
    <cellStyle name="Comma [4]" xfId="1750" xr:uid="{00000000-0005-0000-0000-000072060000}"/>
    <cellStyle name="Comma 0" xfId="1751" xr:uid="{00000000-0005-0000-0000-000073060000}"/>
    <cellStyle name="Comma 0*" xfId="1752" xr:uid="{00000000-0005-0000-0000-000074060000}"/>
    <cellStyle name="Comma 0_ACCC" xfId="1753" xr:uid="{00000000-0005-0000-0000-000075060000}"/>
    <cellStyle name="Comma 1" xfId="1754" xr:uid="{00000000-0005-0000-0000-000076060000}"/>
    <cellStyle name="Comma 1 Btons" xfId="1755" xr:uid="{00000000-0005-0000-0000-000077060000}"/>
    <cellStyle name="Comma 1 Tcf" xfId="1756" xr:uid="{00000000-0005-0000-0000-000078060000}"/>
    <cellStyle name="Comma 1_Book2" xfId="1757" xr:uid="{00000000-0005-0000-0000-000079060000}"/>
    <cellStyle name="Comma 10" xfId="1758" xr:uid="{00000000-0005-0000-0000-00007A060000}"/>
    <cellStyle name="Comma 10 2" xfId="1759" xr:uid="{00000000-0005-0000-0000-00007B060000}"/>
    <cellStyle name="Comma 11" xfId="1760" xr:uid="{00000000-0005-0000-0000-00007C060000}"/>
    <cellStyle name="Comma 11 2" xfId="1761" xr:uid="{00000000-0005-0000-0000-00007D060000}"/>
    <cellStyle name="Comma 12" xfId="1762" xr:uid="{00000000-0005-0000-0000-00007E060000}"/>
    <cellStyle name="Comma 12 2" xfId="1763" xr:uid="{00000000-0005-0000-0000-00007F060000}"/>
    <cellStyle name="Comma 13" xfId="1764" xr:uid="{00000000-0005-0000-0000-000080060000}"/>
    <cellStyle name="Comma 13 2" xfId="1765" xr:uid="{00000000-0005-0000-0000-000081060000}"/>
    <cellStyle name="Comma 14" xfId="1766" xr:uid="{00000000-0005-0000-0000-000082060000}"/>
    <cellStyle name="Comma 14 2" xfId="1767" xr:uid="{00000000-0005-0000-0000-000083060000}"/>
    <cellStyle name="Comma 15" xfId="1768" xr:uid="{00000000-0005-0000-0000-000084060000}"/>
    <cellStyle name="Comma 15 2" xfId="1769" xr:uid="{00000000-0005-0000-0000-000085060000}"/>
    <cellStyle name="Comma 16" xfId="1770" xr:uid="{00000000-0005-0000-0000-000086060000}"/>
    <cellStyle name="Comma 16 2" xfId="1771" xr:uid="{00000000-0005-0000-0000-000087060000}"/>
    <cellStyle name="Comma 17" xfId="1772" xr:uid="{00000000-0005-0000-0000-000088060000}"/>
    <cellStyle name="Comma 17 2" xfId="1773" xr:uid="{00000000-0005-0000-0000-000089060000}"/>
    <cellStyle name="Comma 18" xfId="1774" xr:uid="{00000000-0005-0000-0000-00008A060000}"/>
    <cellStyle name="Comma 18 2" xfId="1775" xr:uid="{00000000-0005-0000-0000-00008B060000}"/>
    <cellStyle name="Comma 19" xfId="1776" xr:uid="{00000000-0005-0000-0000-00008C060000}"/>
    <cellStyle name="Comma 19 2" xfId="1777" xr:uid="{00000000-0005-0000-0000-00008D060000}"/>
    <cellStyle name="Comma 2" xfId="1778" xr:uid="{00000000-0005-0000-0000-00008E060000}"/>
    <cellStyle name="Comma 2 2" xfId="1779" xr:uid="{00000000-0005-0000-0000-00008F060000}"/>
    <cellStyle name="Comma 2 3" xfId="1780" xr:uid="{00000000-0005-0000-0000-000090060000}"/>
    <cellStyle name="Comma 2*" xfId="1781" xr:uid="{00000000-0005-0000-0000-000091060000}"/>
    <cellStyle name="Comma 2_2. Operating Expenses" xfId="1782" xr:uid="{00000000-0005-0000-0000-000092060000}"/>
    <cellStyle name="Comma 20" xfId="1783" xr:uid="{00000000-0005-0000-0000-000093060000}"/>
    <cellStyle name="Comma 20 2" xfId="1784" xr:uid="{00000000-0005-0000-0000-000094060000}"/>
    <cellStyle name="Comma 21" xfId="1785" xr:uid="{00000000-0005-0000-0000-000095060000}"/>
    <cellStyle name="Comma 21 2" xfId="1786" xr:uid="{00000000-0005-0000-0000-000096060000}"/>
    <cellStyle name="Comma 22" xfId="1787" xr:uid="{00000000-0005-0000-0000-000097060000}"/>
    <cellStyle name="Comma 23" xfId="1788" xr:uid="{00000000-0005-0000-0000-000098060000}"/>
    <cellStyle name="Comma 24" xfId="1789" xr:uid="{00000000-0005-0000-0000-000099060000}"/>
    <cellStyle name="Comma 25" xfId="1790" xr:uid="{00000000-0005-0000-0000-00009A060000}"/>
    <cellStyle name="Comma 26" xfId="1791" xr:uid="{00000000-0005-0000-0000-00009B060000}"/>
    <cellStyle name="Comma 27" xfId="1792" xr:uid="{00000000-0005-0000-0000-00009C060000}"/>
    <cellStyle name="Comma 28" xfId="1793" xr:uid="{00000000-0005-0000-0000-00009D060000}"/>
    <cellStyle name="Comma 29" xfId="1794" xr:uid="{00000000-0005-0000-0000-00009E060000}"/>
    <cellStyle name="Comma 3" xfId="1795" xr:uid="{00000000-0005-0000-0000-00009F060000}"/>
    <cellStyle name="Comma 3 2" xfId="1796" xr:uid="{00000000-0005-0000-0000-0000A0060000}"/>
    <cellStyle name="Comma 3 3" xfId="1797" xr:uid="{00000000-0005-0000-0000-0000A1060000}"/>
    <cellStyle name="Comma 3 3 2" xfId="1798" xr:uid="{00000000-0005-0000-0000-0000A2060000}"/>
    <cellStyle name="Comma 3 3 2 2" xfId="1799" xr:uid="{00000000-0005-0000-0000-0000A3060000}"/>
    <cellStyle name="Comma 3 3 3" xfId="1800" xr:uid="{00000000-0005-0000-0000-0000A4060000}"/>
    <cellStyle name="Comma 3 3 3 2" xfId="1801" xr:uid="{00000000-0005-0000-0000-0000A5060000}"/>
    <cellStyle name="Comma 3 3 4" xfId="1802" xr:uid="{00000000-0005-0000-0000-0000A6060000}"/>
    <cellStyle name="Comma 3 4" xfId="1803" xr:uid="{00000000-0005-0000-0000-0000A7060000}"/>
    <cellStyle name="Comma 3 4 2" xfId="1804" xr:uid="{00000000-0005-0000-0000-0000A8060000}"/>
    <cellStyle name="Comma 3 5" xfId="1805" xr:uid="{00000000-0005-0000-0000-0000A9060000}"/>
    <cellStyle name="Comma 3 5 2" xfId="1806" xr:uid="{00000000-0005-0000-0000-0000AA060000}"/>
    <cellStyle name="Comma 3*" xfId="1807" xr:uid="{00000000-0005-0000-0000-0000AB060000}"/>
    <cellStyle name="Comma 30" xfId="1808" xr:uid="{00000000-0005-0000-0000-0000AC060000}"/>
    <cellStyle name="Comma 31" xfId="1809" xr:uid="{00000000-0005-0000-0000-0000AD060000}"/>
    <cellStyle name="Comma 32" xfId="1810" xr:uid="{00000000-0005-0000-0000-0000AE060000}"/>
    <cellStyle name="Comma 33" xfId="1811" xr:uid="{00000000-0005-0000-0000-0000AF060000}"/>
    <cellStyle name="Comma 34" xfId="1812" xr:uid="{00000000-0005-0000-0000-0000B0060000}"/>
    <cellStyle name="Comma 35" xfId="1813" xr:uid="{00000000-0005-0000-0000-0000B1060000}"/>
    <cellStyle name="Comma 36" xfId="1814" xr:uid="{00000000-0005-0000-0000-0000B2060000}"/>
    <cellStyle name="Comma 37" xfId="1815" xr:uid="{00000000-0005-0000-0000-0000B3060000}"/>
    <cellStyle name="Comma 38" xfId="1816" xr:uid="{00000000-0005-0000-0000-0000B4060000}"/>
    <cellStyle name="Comma 39" xfId="1817" xr:uid="{00000000-0005-0000-0000-0000B5060000}"/>
    <cellStyle name="Comma 4" xfId="1818" xr:uid="{00000000-0005-0000-0000-0000B6060000}"/>
    <cellStyle name="Comma 4 2" xfId="1819" xr:uid="{00000000-0005-0000-0000-0000B7060000}"/>
    <cellStyle name="Comma 40" xfId="1820" xr:uid="{00000000-0005-0000-0000-0000B8060000}"/>
    <cellStyle name="Comma 5" xfId="1821" xr:uid="{00000000-0005-0000-0000-0000B9060000}"/>
    <cellStyle name="Comma 5 2" xfId="1822" xr:uid="{00000000-0005-0000-0000-0000BA060000}"/>
    <cellStyle name="Comma 6" xfId="1823" xr:uid="{00000000-0005-0000-0000-0000BB060000}"/>
    <cellStyle name="Comma 6 2" xfId="1824" xr:uid="{00000000-0005-0000-0000-0000BC060000}"/>
    <cellStyle name="Comma 7" xfId="1825" xr:uid="{00000000-0005-0000-0000-0000BD060000}"/>
    <cellStyle name="Comma 7 2" xfId="1826" xr:uid="{00000000-0005-0000-0000-0000BE060000}"/>
    <cellStyle name="Comma 7 2 2" xfId="1827" xr:uid="{00000000-0005-0000-0000-0000BF060000}"/>
    <cellStyle name="Comma 7 2 2 2" xfId="1828" xr:uid="{00000000-0005-0000-0000-0000C0060000}"/>
    <cellStyle name="Comma 7 2 3" xfId="1829" xr:uid="{00000000-0005-0000-0000-0000C1060000}"/>
    <cellStyle name="Comma 7 2 3 2" xfId="1830" xr:uid="{00000000-0005-0000-0000-0000C2060000}"/>
    <cellStyle name="Comma 7 2 4" xfId="1831" xr:uid="{00000000-0005-0000-0000-0000C3060000}"/>
    <cellStyle name="Comma 7 3" xfId="1832" xr:uid="{00000000-0005-0000-0000-0000C4060000}"/>
    <cellStyle name="Comma 7 3 2" xfId="1833" xr:uid="{00000000-0005-0000-0000-0000C5060000}"/>
    <cellStyle name="Comma 7 4" xfId="1834" xr:uid="{00000000-0005-0000-0000-0000C6060000}"/>
    <cellStyle name="Comma 7 4 2" xfId="1835" xr:uid="{00000000-0005-0000-0000-0000C7060000}"/>
    <cellStyle name="Comma 7 5" xfId="1836" xr:uid="{00000000-0005-0000-0000-0000C8060000}"/>
    <cellStyle name="Comma 7 6" xfId="1837" xr:uid="{00000000-0005-0000-0000-0000C9060000}"/>
    <cellStyle name="Comma 8" xfId="1838" xr:uid="{00000000-0005-0000-0000-0000CA060000}"/>
    <cellStyle name="Comma 8 2" xfId="1839" xr:uid="{00000000-0005-0000-0000-0000CB060000}"/>
    <cellStyle name="Comma 9" xfId="1840" xr:uid="{00000000-0005-0000-0000-0000CC060000}"/>
    <cellStyle name="Comma 9 2" xfId="1841" xr:uid="{00000000-0005-0000-0000-0000CD060000}"/>
    <cellStyle name="Comma Cents" xfId="1842" xr:uid="{00000000-0005-0000-0000-0000CE060000}"/>
    <cellStyle name="Comma Cents 2" xfId="1843" xr:uid="{00000000-0005-0000-0000-0000CF060000}"/>
    <cellStyle name="Comma Comma" xfId="1844" xr:uid="{00000000-0005-0000-0000-0000D0060000}"/>
    <cellStyle name="Comma Comma [0]" xfId="1845" xr:uid="{00000000-0005-0000-0000-0000D1060000}"/>
    <cellStyle name="Comma Comma 10" xfId="1846" xr:uid="{00000000-0005-0000-0000-0000D2060000}"/>
    <cellStyle name="Comma Comma 10 2" xfId="1847" xr:uid="{00000000-0005-0000-0000-0000D3060000}"/>
    <cellStyle name="Comma Comma 10 3" xfId="1848" xr:uid="{00000000-0005-0000-0000-0000D4060000}"/>
    <cellStyle name="Comma Comma 10 4" xfId="1849" xr:uid="{00000000-0005-0000-0000-0000D5060000}"/>
    <cellStyle name="Comma Comma 11" xfId="1850" xr:uid="{00000000-0005-0000-0000-0000D6060000}"/>
    <cellStyle name="Comma Comma 11 2" xfId="1851" xr:uid="{00000000-0005-0000-0000-0000D7060000}"/>
    <cellStyle name="Comma Comma 11 3" xfId="1852" xr:uid="{00000000-0005-0000-0000-0000D8060000}"/>
    <cellStyle name="Comma Comma 11 4" xfId="1853" xr:uid="{00000000-0005-0000-0000-0000D9060000}"/>
    <cellStyle name="Comma Comma 12" xfId="1854" xr:uid="{00000000-0005-0000-0000-0000DA060000}"/>
    <cellStyle name="Comma Comma 12 2" xfId="1855" xr:uid="{00000000-0005-0000-0000-0000DB060000}"/>
    <cellStyle name="Comma Comma 12 3" xfId="1856" xr:uid="{00000000-0005-0000-0000-0000DC060000}"/>
    <cellStyle name="Comma Comma 12 4" xfId="1857" xr:uid="{00000000-0005-0000-0000-0000DD060000}"/>
    <cellStyle name="Comma Comma 13" xfId="1858" xr:uid="{00000000-0005-0000-0000-0000DE060000}"/>
    <cellStyle name="Comma Comma 13 2" xfId="1859" xr:uid="{00000000-0005-0000-0000-0000DF060000}"/>
    <cellStyle name="Comma Comma 13 3" xfId="1860" xr:uid="{00000000-0005-0000-0000-0000E0060000}"/>
    <cellStyle name="Comma Comma 13 4" xfId="1861" xr:uid="{00000000-0005-0000-0000-0000E1060000}"/>
    <cellStyle name="Comma Comma 14" xfId="1862" xr:uid="{00000000-0005-0000-0000-0000E2060000}"/>
    <cellStyle name="Comma Comma 14 2" xfId="1863" xr:uid="{00000000-0005-0000-0000-0000E3060000}"/>
    <cellStyle name="Comma Comma 14 3" xfId="1864" xr:uid="{00000000-0005-0000-0000-0000E4060000}"/>
    <cellStyle name="Comma Comma 14 4" xfId="1865" xr:uid="{00000000-0005-0000-0000-0000E5060000}"/>
    <cellStyle name="Comma Comma 15" xfId="1866" xr:uid="{00000000-0005-0000-0000-0000E6060000}"/>
    <cellStyle name="Comma Comma 15 2" xfId="1867" xr:uid="{00000000-0005-0000-0000-0000E7060000}"/>
    <cellStyle name="Comma Comma 15 3" xfId="1868" xr:uid="{00000000-0005-0000-0000-0000E8060000}"/>
    <cellStyle name="Comma Comma 15 4" xfId="1869" xr:uid="{00000000-0005-0000-0000-0000E9060000}"/>
    <cellStyle name="Comma Comma 16" xfId="1870" xr:uid="{00000000-0005-0000-0000-0000EA060000}"/>
    <cellStyle name="Comma Comma 16 2" xfId="1871" xr:uid="{00000000-0005-0000-0000-0000EB060000}"/>
    <cellStyle name="Comma Comma 16 3" xfId="1872" xr:uid="{00000000-0005-0000-0000-0000EC060000}"/>
    <cellStyle name="Comma Comma 16 4" xfId="1873" xr:uid="{00000000-0005-0000-0000-0000ED060000}"/>
    <cellStyle name="Comma Comma 17" xfId="1874" xr:uid="{00000000-0005-0000-0000-0000EE060000}"/>
    <cellStyle name="Comma Comma 17 2" xfId="1875" xr:uid="{00000000-0005-0000-0000-0000EF060000}"/>
    <cellStyle name="Comma Comma 17 3" xfId="1876" xr:uid="{00000000-0005-0000-0000-0000F0060000}"/>
    <cellStyle name="Comma Comma 17 4" xfId="1877" xr:uid="{00000000-0005-0000-0000-0000F1060000}"/>
    <cellStyle name="Comma Comma 18" xfId="1878" xr:uid="{00000000-0005-0000-0000-0000F2060000}"/>
    <cellStyle name="Comma Comma 19" xfId="1879" xr:uid="{00000000-0005-0000-0000-0000F3060000}"/>
    <cellStyle name="Comma Comma 2" xfId="1880" xr:uid="{00000000-0005-0000-0000-0000F4060000}"/>
    <cellStyle name="Comma Comma 2 2" xfId="1881" xr:uid="{00000000-0005-0000-0000-0000F5060000}"/>
    <cellStyle name="Comma Comma 2 3" xfId="1882" xr:uid="{00000000-0005-0000-0000-0000F6060000}"/>
    <cellStyle name="Comma Comma 2 4" xfId="1883" xr:uid="{00000000-0005-0000-0000-0000F7060000}"/>
    <cellStyle name="Comma Comma 20" xfId="1884" xr:uid="{00000000-0005-0000-0000-0000F8060000}"/>
    <cellStyle name="Comma Comma 21" xfId="1885" xr:uid="{00000000-0005-0000-0000-0000F9060000}"/>
    <cellStyle name="Comma Comma 22" xfId="1886" xr:uid="{00000000-0005-0000-0000-0000FA060000}"/>
    <cellStyle name="Comma Comma 3" xfId="1887" xr:uid="{00000000-0005-0000-0000-0000FB060000}"/>
    <cellStyle name="Comma Comma 3 2" xfId="1888" xr:uid="{00000000-0005-0000-0000-0000FC060000}"/>
    <cellStyle name="Comma Comma 3 3" xfId="1889" xr:uid="{00000000-0005-0000-0000-0000FD060000}"/>
    <cellStyle name="Comma Comma 3 4" xfId="1890" xr:uid="{00000000-0005-0000-0000-0000FE060000}"/>
    <cellStyle name="Comma Comma 4" xfId="1891" xr:uid="{00000000-0005-0000-0000-0000FF060000}"/>
    <cellStyle name="Comma Comma 4 2" xfId="1892" xr:uid="{00000000-0005-0000-0000-000000070000}"/>
    <cellStyle name="Comma Comma 4 3" xfId="1893" xr:uid="{00000000-0005-0000-0000-000001070000}"/>
    <cellStyle name="Comma Comma 4 4" xfId="1894" xr:uid="{00000000-0005-0000-0000-000002070000}"/>
    <cellStyle name="Comma Comma 5" xfId="1895" xr:uid="{00000000-0005-0000-0000-000003070000}"/>
    <cellStyle name="Comma Comma 5 2" xfId="1896" xr:uid="{00000000-0005-0000-0000-000004070000}"/>
    <cellStyle name="Comma Comma 5 3" xfId="1897" xr:uid="{00000000-0005-0000-0000-000005070000}"/>
    <cellStyle name="Comma Comma 5 4" xfId="1898" xr:uid="{00000000-0005-0000-0000-000006070000}"/>
    <cellStyle name="Comma Comma 6" xfId="1899" xr:uid="{00000000-0005-0000-0000-000007070000}"/>
    <cellStyle name="Comma Comma 6 2" xfId="1900" xr:uid="{00000000-0005-0000-0000-000008070000}"/>
    <cellStyle name="Comma Comma 6 3" xfId="1901" xr:uid="{00000000-0005-0000-0000-000009070000}"/>
    <cellStyle name="Comma Comma 6 4" xfId="1902" xr:uid="{00000000-0005-0000-0000-00000A070000}"/>
    <cellStyle name="Comma Comma 7" xfId="1903" xr:uid="{00000000-0005-0000-0000-00000B070000}"/>
    <cellStyle name="Comma Comma 7 2" xfId="1904" xr:uid="{00000000-0005-0000-0000-00000C070000}"/>
    <cellStyle name="Comma Comma 7 3" xfId="1905" xr:uid="{00000000-0005-0000-0000-00000D070000}"/>
    <cellStyle name="Comma Comma 7 4" xfId="1906" xr:uid="{00000000-0005-0000-0000-00000E070000}"/>
    <cellStyle name="Comma Comma 8" xfId="1907" xr:uid="{00000000-0005-0000-0000-00000F070000}"/>
    <cellStyle name="Comma Comma 8 2" xfId="1908" xr:uid="{00000000-0005-0000-0000-000010070000}"/>
    <cellStyle name="Comma Comma 8 3" xfId="1909" xr:uid="{00000000-0005-0000-0000-000011070000}"/>
    <cellStyle name="Comma Comma 8 4" xfId="1910" xr:uid="{00000000-0005-0000-0000-000012070000}"/>
    <cellStyle name="Comma Comma 9" xfId="1911" xr:uid="{00000000-0005-0000-0000-000013070000}"/>
    <cellStyle name="Comma Comma 9 2" xfId="1912" xr:uid="{00000000-0005-0000-0000-000014070000}"/>
    <cellStyle name="Comma Comma 9 3" xfId="1913" xr:uid="{00000000-0005-0000-0000-000015070000}"/>
    <cellStyle name="Comma Comma 9 4" xfId="1914" xr:uid="{00000000-0005-0000-0000-000016070000}"/>
    <cellStyle name="Comma Comma_Raw_financials" xfId="1915" xr:uid="{00000000-0005-0000-0000-000017070000}"/>
    <cellStyle name="Comma dash" xfId="1916" xr:uid="{00000000-0005-0000-0000-000018070000}"/>
    <cellStyle name="Comma Input" xfId="1917" xr:uid="{00000000-0005-0000-0000-000019070000}"/>
    <cellStyle name="Comma Input 2" xfId="1918" xr:uid="{00000000-0005-0000-0000-00001A070000}"/>
    <cellStyle name="Comma(0)" xfId="1919" xr:uid="{00000000-0005-0000-0000-00001B070000}"/>
    <cellStyle name="Comma(1)" xfId="1920" xr:uid="{00000000-0005-0000-0000-00001C070000}"/>
    <cellStyle name="comma(2)" xfId="1921" xr:uid="{00000000-0005-0000-0000-00001D070000}"/>
    <cellStyle name="Comma(3)" xfId="1922" xr:uid="{00000000-0005-0000-0000-00001E070000}"/>
    <cellStyle name="Comma(3) 2" xfId="1923" xr:uid="{00000000-0005-0000-0000-00001F070000}"/>
    <cellStyle name="Comma*" xfId="1924" xr:uid="{00000000-0005-0000-0000-000020070000}"/>
    <cellStyle name="Comma, 1 dec" xfId="1925" xr:uid="{00000000-0005-0000-0000-000021070000}"/>
    <cellStyle name="Comma0" xfId="239" xr:uid="{00000000-0005-0000-0000-000022070000}"/>
    <cellStyle name="Comma0 - Modelo1" xfId="1926" xr:uid="{00000000-0005-0000-0000-000023070000}"/>
    <cellStyle name="Comma0 - Style1" xfId="1927" xr:uid="{00000000-0005-0000-0000-000024070000}"/>
    <cellStyle name="Comma1 - Modelo2" xfId="1928" xr:uid="{00000000-0005-0000-0000-000025070000}"/>
    <cellStyle name="Comma1 - Style2" xfId="1929" xr:uid="{00000000-0005-0000-0000-000026070000}"/>
    <cellStyle name="Comma2" xfId="1930" xr:uid="{00000000-0005-0000-0000-000027070000}"/>
    <cellStyle name="comman" xfId="1931" xr:uid="{00000000-0005-0000-0000-000028070000}"/>
    <cellStyle name="Comma-Rounded" xfId="1932" xr:uid="{00000000-0005-0000-0000-000029070000}"/>
    <cellStyle name="commas" xfId="1933" xr:uid="{00000000-0005-0000-0000-00002A070000}"/>
    <cellStyle name="CommaU [0]" xfId="1934" xr:uid="{00000000-0005-0000-0000-00002B070000}"/>
    <cellStyle name="CommaU [1]" xfId="1935" xr:uid="{00000000-0005-0000-0000-00002C070000}"/>
    <cellStyle name="CommaU [2]" xfId="1936" xr:uid="{00000000-0005-0000-0000-00002D070000}"/>
    <cellStyle name="Comment" xfId="1937" xr:uid="{00000000-0005-0000-0000-00002E070000}"/>
    <cellStyle name="Company name" xfId="240" xr:uid="{00000000-0005-0000-0000-00002F070000}"/>
    <cellStyle name="CompanyName" xfId="1938" xr:uid="{00000000-0005-0000-0000-000030070000}"/>
    <cellStyle name="CompanyTitle" xfId="241" xr:uid="{00000000-0005-0000-0000-000031070000}"/>
    <cellStyle name="Control Check" xfId="1939" xr:uid="{00000000-0005-0000-0000-000032070000}"/>
    <cellStyle name="Copied" xfId="1940" xr:uid="{00000000-0005-0000-0000-000033070000}"/>
    <cellStyle name="Corpo" xfId="1941" xr:uid="{00000000-0005-0000-0000-000034070000}"/>
    <cellStyle name="Cover" xfId="1942" xr:uid="{00000000-0005-0000-0000-000035070000}"/>
    <cellStyle name="Cover Date" xfId="1943" xr:uid="{00000000-0005-0000-0000-000036070000}"/>
    <cellStyle name="Cover Subtitle" xfId="1944" xr:uid="{00000000-0005-0000-0000-000037070000}"/>
    <cellStyle name="Cover Title" xfId="1945" xr:uid="{00000000-0005-0000-0000-000038070000}"/>
    <cellStyle name="Cover_Raw_financials" xfId="1946" xr:uid="{00000000-0005-0000-0000-000039070000}"/>
    <cellStyle name="Coverage" xfId="1947" xr:uid="{00000000-0005-0000-0000-00003A070000}"/>
    <cellStyle name="Cur" xfId="1948" xr:uid="{00000000-0005-0000-0000-00003B070000}"/>
    <cellStyle name="Currency" xfId="335" builtinId="4"/>
    <cellStyle name="Currency $" xfId="1949" xr:uid="{00000000-0005-0000-0000-00003D070000}"/>
    <cellStyle name="Currency ($)" xfId="1950" xr:uid="{00000000-0005-0000-0000-00003E070000}"/>
    <cellStyle name="Currency (£)" xfId="1951" xr:uid="{00000000-0005-0000-0000-00003F070000}"/>
    <cellStyle name="Currency (1)" xfId="1952" xr:uid="{00000000-0005-0000-0000-000040070000}"/>
    <cellStyle name="Currency (2)" xfId="1953" xr:uid="{00000000-0005-0000-0000-000041070000}"/>
    <cellStyle name="Currency (3)" xfId="1954" xr:uid="{00000000-0005-0000-0000-000042070000}"/>
    <cellStyle name="Currency [1]" xfId="1955" xr:uid="{00000000-0005-0000-0000-000043070000}"/>
    <cellStyle name="Currency [1] 2" xfId="1956" xr:uid="{00000000-0005-0000-0000-000044070000}"/>
    <cellStyle name="Currency [2]" xfId="242" xr:uid="{00000000-0005-0000-0000-000045070000}"/>
    <cellStyle name="Currency [2] 2" xfId="1957" xr:uid="{00000000-0005-0000-0000-000046070000}"/>
    <cellStyle name="Currency [3]" xfId="1958" xr:uid="{00000000-0005-0000-0000-000047070000}"/>
    <cellStyle name="Currency [3] 2" xfId="1959" xr:uid="{00000000-0005-0000-0000-000048070000}"/>
    <cellStyle name="Currency [4]" xfId="1960" xr:uid="{00000000-0005-0000-0000-000049070000}"/>
    <cellStyle name="Currency 0" xfId="1961" xr:uid="{00000000-0005-0000-0000-00004A070000}"/>
    <cellStyle name="Currency 0 2" xfId="1962" xr:uid="{00000000-0005-0000-0000-00004B070000}"/>
    <cellStyle name="Currency 1" xfId="1963" xr:uid="{00000000-0005-0000-0000-00004C070000}"/>
    <cellStyle name="Currency 1 2" xfId="1964" xr:uid="{00000000-0005-0000-0000-00004D070000}"/>
    <cellStyle name="Currency 2" xfId="1965" xr:uid="{00000000-0005-0000-0000-00004E070000}"/>
    <cellStyle name="Currency 2 2" xfId="1966" xr:uid="{00000000-0005-0000-0000-00004F070000}"/>
    <cellStyle name="Currency 2 3" xfId="2437" xr:uid="{00000000-0005-0000-0000-000050070000}"/>
    <cellStyle name="Currency 2*" xfId="1967" xr:uid="{00000000-0005-0000-0000-000051070000}"/>
    <cellStyle name="Currency 2_ALL_valuation_v3" xfId="1968" xr:uid="{00000000-0005-0000-0000-000052070000}"/>
    <cellStyle name="Currency 3" xfId="1969" xr:uid="{00000000-0005-0000-0000-000053070000}"/>
    <cellStyle name="Currency 3*" xfId="1970" xr:uid="{00000000-0005-0000-0000-000054070000}"/>
    <cellStyle name="Currency 3_IBE_Financial Model_2008-05-19_v15_Research" xfId="1971" xr:uid="{00000000-0005-0000-0000-000055070000}"/>
    <cellStyle name="Currency 4" xfId="1972" xr:uid="{00000000-0005-0000-0000-000056070000}"/>
    <cellStyle name="Currency 5" xfId="1973" xr:uid="{00000000-0005-0000-0000-000057070000}"/>
    <cellStyle name="Currency 6" xfId="1974" xr:uid="{00000000-0005-0000-0000-000058070000}"/>
    <cellStyle name="Currency 7" xfId="1975" xr:uid="{00000000-0005-0000-0000-000059070000}"/>
    <cellStyle name="Currency 8" xfId="1976" xr:uid="{00000000-0005-0000-0000-00005A070000}"/>
    <cellStyle name="Currency 9" xfId="1977" xr:uid="{00000000-0005-0000-0000-00005B070000}"/>
    <cellStyle name="Currency Comma Comma" xfId="1978" xr:uid="{00000000-0005-0000-0000-00005C070000}"/>
    <cellStyle name="Currency Comma Comma 2" xfId="1979" xr:uid="{00000000-0005-0000-0000-00005D070000}"/>
    <cellStyle name="Currency Comma Comma 2 2" xfId="1980" xr:uid="{00000000-0005-0000-0000-00005E070000}"/>
    <cellStyle name="Currency Comma Comma 2 3" xfId="1981" xr:uid="{00000000-0005-0000-0000-00005F070000}"/>
    <cellStyle name="Currency Comma Comma 2 4" xfId="1982" xr:uid="{00000000-0005-0000-0000-000060070000}"/>
    <cellStyle name="Currency Comma Comma 3" xfId="1983" xr:uid="{00000000-0005-0000-0000-000061070000}"/>
    <cellStyle name="Currency Comma Comma 4" xfId="1984" xr:uid="{00000000-0005-0000-0000-000062070000}"/>
    <cellStyle name="Currency Comma Comma 5" xfId="1985" xr:uid="{00000000-0005-0000-0000-000063070000}"/>
    <cellStyle name="Currency Input" xfId="1986" xr:uid="{00000000-0005-0000-0000-000064070000}"/>
    <cellStyle name="Currency Input 2" xfId="1987" xr:uid="{00000000-0005-0000-0000-000065070000}"/>
    <cellStyle name="Currency Per Share" xfId="1988" xr:uid="{00000000-0005-0000-0000-000066070000}"/>
    <cellStyle name="currency(0)" xfId="1989" xr:uid="{00000000-0005-0000-0000-000067070000}"/>
    <cellStyle name="Currency(1)" xfId="1990" xr:uid="{00000000-0005-0000-0000-000068070000}"/>
    <cellStyle name="Currency(2)" xfId="1991" xr:uid="{00000000-0005-0000-0000-000069070000}"/>
    <cellStyle name="Currency(2) 2" xfId="1992" xr:uid="{00000000-0005-0000-0000-00006A070000}"/>
    <cellStyle name="Currency(2) 3" xfId="1993" xr:uid="{00000000-0005-0000-0000-00006B070000}"/>
    <cellStyle name="Currency(2) 4" xfId="1994" xr:uid="{00000000-0005-0000-0000-00006C070000}"/>
    <cellStyle name="Currency*" xfId="1995" xr:uid="{00000000-0005-0000-0000-00006D070000}"/>
    <cellStyle name="Currency0" xfId="243" xr:uid="{00000000-0005-0000-0000-00006E070000}"/>
    <cellStyle name="Currency0 2" xfId="1996" xr:uid="{00000000-0005-0000-0000-00006F070000}"/>
    <cellStyle name="Currency1" xfId="1997" xr:uid="{00000000-0005-0000-0000-000070070000}"/>
    <cellStyle name="Currency2" xfId="1998" xr:uid="{00000000-0005-0000-0000-000071070000}"/>
    <cellStyle name="Currency-Rounded" xfId="1999" xr:uid="{00000000-0005-0000-0000-000072070000}"/>
    <cellStyle name="Currsmall" xfId="2000" xr:uid="{00000000-0005-0000-0000-000073070000}"/>
    <cellStyle name="custom" xfId="2001" xr:uid="{00000000-0005-0000-0000-000074070000}"/>
    <cellStyle name="d" xfId="2002" xr:uid="{00000000-0005-0000-0000-000075070000}"/>
    <cellStyle name="d_Raw_financials" xfId="2003" xr:uid="{00000000-0005-0000-0000-000076070000}"/>
    <cellStyle name="d_Raw_financials_BRF Valuation Model" xfId="2004" xr:uid="{00000000-0005-0000-0000-000077070000}"/>
    <cellStyle name="d_yield" xfId="2005" xr:uid="{00000000-0005-0000-0000-000078070000}"/>
    <cellStyle name="DARK" xfId="2006" xr:uid="{00000000-0005-0000-0000-000079070000}"/>
    <cellStyle name="Dash" xfId="2007" xr:uid="{00000000-0005-0000-0000-00007A070000}"/>
    <cellStyle name="data" xfId="2008" xr:uid="{00000000-0005-0000-0000-00007B070000}"/>
    <cellStyle name="Data Link" xfId="2009" xr:uid="{00000000-0005-0000-0000-00007C070000}"/>
    <cellStyle name="data top 2" xfId="2010" xr:uid="{00000000-0005-0000-0000-00007D070000}"/>
    <cellStyle name="Data_0dp" xfId="2011" xr:uid="{00000000-0005-0000-0000-00007E070000}"/>
    <cellStyle name="DATASTYLE" xfId="2012" xr:uid="{00000000-0005-0000-0000-00007F070000}"/>
    <cellStyle name="date" xfId="244" xr:uid="{00000000-0005-0000-0000-000080070000}"/>
    <cellStyle name="Date [mmm-yy]" xfId="2013" xr:uid="{00000000-0005-0000-0000-000081070000}"/>
    <cellStyle name="Date [mmm-yy] 2" xfId="2014" xr:uid="{00000000-0005-0000-0000-000082070000}"/>
    <cellStyle name="Date + Time" xfId="2015" xr:uid="{00000000-0005-0000-0000-000083070000}"/>
    <cellStyle name="Date 10" xfId="2016" xr:uid="{00000000-0005-0000-0000-000084070000}"/>
    <cellStyle name="Date 11" xfId="2017" xr:uid="{00000000-0005-0000-0000-000085070000}"/>
    <cellStyle name="Date 12" xfId="2018" xr:uid="{00000000-0005-0000-0000-000086070000}"/>
    <cellStyle name="Date 13" xfId="2019" xr:uid="{00000000-0005-0000-0000-000087070000}"/>
    <cellStyle name="Date 14" xfId="2020" xr:uid="{00000000-0005-0000-0000-000088070000}"/>
    <cellStyle name="Date 15" xfId="2021" xr:uid="{00000000-0005-0000-0000-000089070000}"/>
    <cellStyle name="Date 16" xfId="2022" xr:uid="{00000000-0005-0000-0000-00008A070000}"/>
    <cellStyle name="Date 17" xfId="2023" xr:uid="{00000000-0005-0000-0000-00008B070000}"/>
    <cellStyle name="Date 2" xfId="2024" xr:uid="{00000000-0005-0000-0000-00008C070000}"/>
    <cellStyle name="Date 3" xfId="2025" xr:uid="{00000000-0005-0000-0000-00008D070000}"/>
    <cellStyle name="Date 4" xfId="2026" xr:uid="{00000000-0005-0000-0000-00008E070000}"/>
    <cellStyle name="Date 5" xfId="2027" xr:uid="{00000000-0005-0000-0000-00008F070000}"/>
    <cellStyle name="Date 6" xfId="2028" xr:uid="{00000000-0005-0000-0000-000090070000}"/>
    <cellStyle name="Date 7" xfId="2029" xr:uid="{00000000-0005-0000-0000-000091070000}"/>
    <cellStyle name="Date 8" xfId="2030" xr:uid="{00000000-0005-0000-0000-000092070000}"/>
    <cellStyle name="Date 9" xfId="2031" xr:uid="{00000000-0005-0000-0000-000093070000}"/>
    <cellStyle name="Date Aligned" xfId="2032" xr:uid="{00000000-0005-0000-0000-000094070000}"/>
    <cellStyle name="Date Aligned 2" xfId="2033" xr:uid="{00000000-0005-0000-0000-000095070000}"/>
    <cellStyle name="Date Aligned*" xfId="2034" xr:uid="{00000000-0005-0000-0000-000096070000}"/>
    <cellStyle name="Date Aligned_ALL_valuation_v3" xfId="2035" xr:uid="{00000000-0005-0000-0000-000097070000}"/>
    <cellStyle name="Date Line" xfId="2036" xr:uid="{00000000-0005-0000-0000-000098070000}"/>
    <cellStyle name="Date m/d/yy" xfId="2037" xr:uid="{00000000-0005-0000-0000-000099070000}"/>
    <cellStyle name="Date m/d/yy 2" xfId="2038" xr:uid="{00000000-0005-0000-0000-00009A070000}"/>
    <cellStyle name="Date, mmm-yy" xfId="2039" xr:uid="{00000000-0005-0000-0000-00009B070000}"/>
    <cellStyle name="Date_3YRPLAN3" xfId="2040" xr:uid="{00000000-0005-0000-0000-00009C070000}"/>
    <cellStyle name="Date1" xfId="2041" xr:uid="{00000000-0005-0000-0000-00009D070000}"/>
    <cellStyle name="Date2" xfId="2042" xr:uid="{00000000-0005-0000-0000-00009E070000}"/>
    <cellStyle name="Dates" xfId="2043" xr:uid="{00000000-0005-0000-0000-00009F070000}"/>
    <cellStyle name="Dates 2" xfId="2044" xr:uid="{00000000-0005-0000-0000-0000A0070000}"/>
    <cellStyle name="DateYear" xfId="2045" xr:uid="{00000000-0005-0000-0000-0000A1070000}"/>
    <cellStyle name="Datum" xfId="2046" xr:uid="{00000000-0005-0000-0000-0000A2070000}"/>
    <cellStyle name="days" xfId="2047" xr:uid="{00000000-0005-0000-0000-0000A3070000}"/>
    <cellStyle name="days 2" xfId="2048" xr:uid="{00000000-0005-0000-0000-0000A4070000}"/>
    <cellStyle name="DBTemplate" xfId="2049" xr:uid="{00000000-0005-0000-0000-0000A5070000}"/>
    <cellStyle name="Dec_0" xfId="2050" xr:uid="{00000000-0005-0000-0000-0000A6070000}"/>
    <cellStyle name="Decimal" xfId="2051" xr:uid="{00000000-0005-0000-0000-0000A7070000}"/>
    <cellStyle name="decimal 1" xfId="2052" xr:uid="{00000000-0005-0000-0000-0000A8070000}"/>
    <cellStyle name="Decimal 10" xfId="2053" xr:uid="{00000000-0005-0000-0000-0000A9070000}"/>
    <cellStyle name="Decimal 11" xfId="2054" xr:uid="{00000000-0005-0000-0000-0000AA070000}"/>
    <cellStyle name="Decimal 12" xfId="2055" xr:uid="{00000000-0005-0000-0000-0000AB070000}"/>
    <cellStyle name="Decimal 13" xfId="2056" xr:uid="{00000000-0005-0000-0000-0000AC070000}"/>
    <cellStyle name="Decimal 14" xfId="2057" xr:uid="{00000000-0005-0000-0000-0000AD070000}"/>
    <cellStyle name="Decimal 15" xfId="2058" xr:uid="{00000000-0005-0000-0000-0000AE070000}"/>
    <cellStyle name="Decimal 16" xfId="2059" xr:uid="{00000000-0005-0000-0000-0000AF070000}"/>
    <cellStyle name="Decimal 17" xfId="2060" xr:uid="{00000000-0005-0000-0000-0000B0070000}"/>
    <cellStyle name="Decimal 18" xfId="2061" xr:uid="{00000000-0005-0000-0000-0000B1070000}"/>
    <cellStyle name="decimal 2" xfId="2062" xr:uid="{00000000-0005-0000-0000-0000B2070000}"/>
    <cellStyle name="default" xfId="245" xr:uid="{00000000-0005-0000-0000-0000B3070000}"/>
    <cellStyle name="Derive" xfId="2063" xr:uid="{00000000-0005-0000-0000-0000B4070000}"/>
    <cellStyle name="Dollar" xfId="246" xr:uid="{00000000-0005-0000-0000-0000B5070000}"/>
    <cellStyle name="Dollars" xfId="2064" xr:uid="{00000000-0005-0000-0000-0000B6070000}"/>
    <cellStyle name="DollarWhole" xfId="2065" xr:uid="{00000000-0005-0000-0000-0000B7070000}"/>
    <cellStyle name="Dotted Line" xfId="2066" xr:uid="{00000000-0005-0000-0000-0000B8070000}"/>
    <cellStyle name="Dotted Line 2" xfId="2067" xr:uid="{00000000-0005-0000-0000-0000B9070000}"/>
    <cellStyle name="Duizenden" xfId="2068" xr:uid="{00000000-0005-0000-0000-0000BA070000}"/>
    <cellStyle name="E" xfId="2069" xr:uid="{00000000-0005-0000-0000-0000BB070000}"/>
    <cellStyle name="E 2" xfId="2070" xr:uid="{00000000-0005-0000-0000-0000BC070000}"/>
    <cellStyle name="E 3" xfId="2071" xr:uid="{00000000-0005-0000-0000-0000BD070000}"/>
    <cellStyle name="E 4" xfId="2072" xr:uid="{00000000-0005-0000-0000-0000BE070000}"/>
    <cellStyle name="emp" xfId="247" xr:uid="{00000000-0005-0000-0000-0000BF070000}"/>
    <cellStyle name="Entered" xfId="2073" xr:uid="{00000000-0005-0000-0000-0000C0070000}"/>
    <cellStyle name="Entries" xfId="2074" xr:uid="{00000000-0005-0000-0000-0000C1070000}"/>
    <cellStyle name="Entry" xfId="2075" xr:uid="{00000000-0005-0000-0000-0000C2070000}"/>
    <cellStyle name="EPS" xfId="2076" xr:uid="{00000000-0005-0000-0000-0000C3070000}"/>
    <cellStyle name="eps$" xfId="2077" xr:uid="{00000000-0005-0000-0000-0000C4070000}"/>
    <cellStyle name="eps$A" xfId="2078" xr:uid="{00000000-0005-0000-0000-0000C5070000}"/>
    <cellStyle name="eps$E" xfId="2079" xr:uid="{00000000-0005-0000-0000-0000C6070000}"/>
    <cellStyle name="eps$E 2" xfId="2080" xr:uid="{00000000-0005-0000-0000-0000C7070000}"/>
    <cellStyle name="eps_AOL Model Master" xfId="2081" xr:uid="{00000000-0005-0000-0000-0000C8070000}"/>
    <cellStyle name="epsA" xfId="2082" xr:uid="{00000000-0005-0000-0000-0000C9070000}"/>
    <cellStyle name="epsA 2" xfId="2083" xr:uid="{00000000-0005-0000-0000-0000CA070000}"/>
    <cellStyle name="EPSActual" xfId="2084" xr:uid="{00000000-0005-0000-0000-0000CB070000}"/>
    <cellStyle name="EPSActual 2" xfId="2085" xr:uid="{00000000-0005-0000-0000-0000CC070000}"/>
    <cellStyle name="epsE" xfId="2086" xr:uid="{00000000-0005-0000-0000-0000CD070000}"/>
    <cellStyle name="epsE 2" xfId="2087" xr:uid="{00000000-0005-0000-0000-0000CE070000}"/>
    <cellStyle name="EPSEstimate" xfId="2088" xr:uid="{00000000-0005-0000-0000-0000CF070000}"/>
    <cellStyle name="Euro" xfId="2089" xr:uid="{00000000-0005-0000-0000-0000D0070000}"/>
    <cellStyle name="Euro 2" xfId="2090" xr:uid="{00000000-0005-0000-0000-0000D1070000}"/>
    <cellStyle name="ExchRate" xfId="2091" xr:uid="{00000000-0005-0000-0000-0000D2070000}"/>
    <cellStyle name="External File Cells" xfId="248" xr:uid="{00000000-0005-0000-0000-0000D3070000}"/>
    <cellStyle name="FF" xfId="2092" xr:uid="{00000000-0005-0000-0000-0000D4070000}"/>
    <cellStyle name="FF 2" xfId="2093" xr:uid="{00000000-0005-0000-0000-0000D5070000}"/>
    <cellStyle name="Financial" xfId="2094" xr:uid="{00000000-0005-0000-0000-0000D6070000}"/>
    <cellStyle name="Fit" xfId="249" xr:uid="{00000000-0005-0000-0000-0000D7070000}"/>
    <cellStyle name="Fixed" xfId="250" xr:uid="{00000000-0005-0000-0000-0000D8070000}"/>
    <cellStyle name="Footer SBILogo1" xfId="2095" xr:uid="{00000000-0005-0000-0000-0000D9070000}"/>
    <cellStyle name="Footer SBILogo2" xfId="2096" xr:uid="{00000000-0005-0000-0000-0000DA070000}"/>
    <cellStyle name="Footnote" xfId="2097" xr:uid="{00000000-0005-0000-0000-0000DB070000}"/>
    <cellStyle name="Footnote Reference" xfId="2098" xr:uid="{00000000-0005-0000-0000-0000DC070000}"/>
    <cellStyle name="Footnote_ACCC" xfId="2099" xr:uid="{00000000-0005-0000-0000-0000DD070000}"/>
    <cellStyle name="Footnotes" xfId="251" xr:uid="{00000000-0005-0000-0000-0000DE070000}"/>
    <cellStyle name="Forecast Cells" xfId="252" xr:uid="{00000000-0005-0000-0000-0000DF070000}"/>
    <cellStyle name="fy_eps$" xfId="2100" xr:uid="{00000000-0005-0000-0000-0000E0070000}"/>
    <cellStyle name="g_rate" xfId="2101" xr:uid="{00000000-0005-0000-0000-0000E1070000}"/>
    <cellStyle name="g_rate_AOL_Model_Master" xfId="2102" xr:uid="{00000000-0005-0000-0000-0000E2070000}"/>
    <cellStyle name="G1_1999 figures" xfId="253" xr:uid="{00000000-0005-0000-0000-0000E3070000}"/>
    <cellStyle name="General" xfId="2103" xr:uid="{00000000-0005-0000-0000-0000E4070000}"/>
    <cellStyle name="Grey" xfId="2104" xr:uid="{00000000-0005-0000-0000-0000E5070000}"/>
    <cellStyle name="GrowthRate" xfId="2105" xr:uid="{00000000-0005-0000-0000-0000E6070000}"/>
    <cellStyle name="GrowthSeq" xfId="2106" xr:uid="{00000000-0005-0000-0000-0000E7070000}"/>
    <cellStyle name="H_1998_col_head" xfId="254" xr:uid="{00000000-0005-0000-0000-0000E8070000}"/>
    <cellStyle name="H_1998_col_head_AGU_model--JF" xfId="2107" xr:uid="{00000000-0005-0000-0000-0000E9070000}"/>
    <cellStyle name="H_1998_col_head_BHI" xfId="2108" xr:uid="{00000000-0005-0000-0000-0000EA070000}"/>
    <cellStyle name="H_1998_col_head_BHI_working7" xfId="2109" xr:uid="{00000000-0005-0000-0000-0000EB070000}"/>
    <cellStyle name="H_1998_col_head_BJS" xfId="2110" xr:uid="{00000000-0005-0000-0000-0000EC070000}"/>
    <cellStyle name="H_1998_col_head_bjs-working9" xfId="2111" xr:uid="{00000000-0005-0000-0000-0000ED070000}"/>
    <cellStyle name="H_1998_col_head_DOW clr model" xfId="2112" xr:uid="{00000000-0005-0000-0000-0000EE070000}"/>
    <cellStyle name="H_1998_col_head_EVA" xfId="2113" xr:uid="{00000000-0005-0000-0000-0000EF070000}"/>
    <cellStyle name="H_1998_col_head_HAL" xfId="2114" xr:uid="{00000000-0005-0000-0000-0000F0070000}"/>
    <cellStyle name="H_1998_col_head_HAL - 7" xfId="2115" xr:uid="{00000000-0005-0000-0000-0000F1070000}"/>
    <cellStyle name="H_1998_col_head_HALY_working13" xfId="2116" xr:uid="{00000000-0005-0000-0000-0000F2070000}"/>
    <cellStyle name="H_1998_col_head_IS" xfId="2117" xr:uid="{00000000-0005-0000-0000-0000F3070000}"/>
    <cellStyle name="H_1998_col_head_IS - Rptd" xfId="2118" xr:uid="{00000000-0005-0000-0000-0000F4070000}"/>
    <cellStyle name="H_1998_col_head_IS - Rptd_1" xfId="2119" xr:uid="{00000000-0005-0000-0000-0000F5070000}"/>
    <cellStyle name="H_1998_col_head_SII" xfId="2120" xr:uid="{00000000-0005-0000-0000-0000F6070000}"/>
    <cellStyle name="H_1998_col_head_SII-Post 3Q05 v4" xfId="2121" xr:uid="{00000000-0005-0000-0000-0000F7070000}"/>
    <cellStyle name="H_1998_col_head_SLB" xfId="2122" xr:uid="{00000000-0005-0000-0000-0000F8070000}"/>
    <cellStyle name="H_1998_col_head_SLB-working7" xfId="2123" xr:uid="{00000000-0005-0000-0000-0000F9070000}"/>
    <cellStyle name="H_1999_col_head" xfId="255" xr:uid="{00000000-0005-0000-0000-0000FA070000}"/>
    <cellStyle name="H1_1998 figures" xfId="256" xr:uid="{00000000-0005-0000-0000-0000FB070000}"/>
    <cellStyle name="hard no." xfId="2124" xr:uid="{00000000-0005-0000-0000-0000FC070000}"/>
    <cellStyle name="Hard Percent" xfId="2125" xr:uid="{00000000-0005-0000-0000-0000FD070000}"/>
    <cellStyle name="HardNo" xfId="2126" xr:uid="{00000000-0005-0000-0000-0000FE070000}"/>
    <cellStyle name="header" xfId="2127" xr:uid="{00000000-0005-0000-0000-0000FF070000}"/>
    <cellStyle name="Header Draft Stamp" xfId="2128" xr:uid="{00000000-0005-0000-0000-000000080000}"/>
    <cellStyle name="Header_ACCC" xfId="2129" xr:uid="{00000000-0005-0000-0000-000001080000}"/>
    <cellStyle name="Header1" xfId="2130" xr:uid="{00000000-0005-0000-0000-000002080000}"/>
    <cellStyle name="Header2" xfId="2131" xr:uid="{00000000-0005-0000-0000-000003080000}"/>
    <cellStyle name="Heading" xfId="257" xr:uid="{00000000-0005-0000-0000-000004080000}"/>
    <cellStyle name="Heading 1 Above" xfId="2132" xr:uid="{00000000-0005-0000-0000-000005080000}"/>
    <cellStyle name="Heading 1+" xfId="2133" xr:uid="{00000000-0005-0000-0000-000006080000}"/>
    <cellStyle name="Heading 2 Below" xfId="2134" xr:uid="{00000000-0005-0000-0000-000007080000}"/>
    <cellStyle name="Heading 2+" xfId="2135" xr:uid="{00000000-0005-0000-0000-000008080000}"/>
    <cellStyle name="Heading 3+" xfId="2136" xr:uid="{00000000-0005-0000-0000-000009080000}"/>
    <cellStyle name="Heading1" xfId="258" xr:uid="{00000000-0005-0000-0000-00000A080000}"/>
    <cellStyle name="heading2" xfId="2137" xr:uid="{00000000-0005-0000-0000-00000B080000}"/>
    <cellStyle name="heading2 2" xfId="2138" xr:uid="{00000000-0005-0000-0000-00000C080000}"/>
    <cellStyle name="heading2 3" xfId="2139" xr:uid="{00000000-0005-0000-0000-00000D080000}"/>
    <cellStyle name="heading2 4" xfId="2140" xr:uid="{00000000-0005-0000-0000-00000E080000}"/>
    <cellStyle name="HEADINGS" xfId="2141" xr:uid="{00000000-0005-0000-0000-00000F080000}"/>
    <cellStyle name="HEADINGS 2" xfId="2142" xr:uid="{00000000-0005-0000-0000-000010080000}"/>
    <cellStyle name="HEADINGS 3" xfId="2143" xr:uid="{00000000-0005-0000-0000-000011080000}"/>
    <cellStyle name="HEADINGS 4" xfId="2144" xr:uid="{00000000-0005-0000-0000-000012080000}"/>
    <cellStyle name="HEADINGSTOP" xfId="2145" xr:uid="{00000000-0005-0000-0000-000013080000}"/>
    <cellStyle name="Helv 9 ctr wrap" xfId="2146" xr:uid="{00000000-0005-0000-0000-000014080000}"/>
    <cellStyle name="Helv 9 ctr wrap 2" xfId="2147" xr:uid="{00000000-0005-0000-0000-000015080000}"/>
    <cellStyle name="Helv 9 ctr wrap 3" xfId="2148" xr:uid="{00000000-0005-0000-0000-000016080000}"/>
    <cellStyle name="Helv 9 ctr wrap 4" xfId="2149" xr:uid="{00000000-0005-0000-0000-000017080000}"/>
    <cellStyle name="Helv 9 lft wrap" xfId="2150" xr:uid="{00000000-0005-0000-0000-000018080000}"/>
    <cellStyle name="Hyperlink 2" xfId="2151" xr:uid="{00000000-0005-0000-0000-000019080000}"/>
    <cellStyle name="IncomeStatement" xfId="2152" xr:uid="{00000000-0005-0000-0000-00001A080000}"/>
    <cellStyle name="Info_Main" xfId="2153" xr:uid="{00000000-0005-0000-0000-00001B080000}"/>
    <cellStyle name="Input [yellow]" xfId="2154" xr:uid="{00000000-0005-0000-0000-00001C080000}"/>
    <cellStyle name="Input Cells" xfId="259" xr:uid="{00000000-0005-0000-0000-00001D080000}"/>
    <cellStyle name="Input Currency" xfId="2155" xr:uid="{00000000-0005-0000-0000-00001E080000}"/>
    <cellStyle name="Input Currency 2" xfId="2156" xr:uid="{00000000-0005-0000-0000-00001F080000}"/>
    <cellStyle name="Input Currency 2 2" xfId="2157" xr:uid="{00000000-0005-0000-0000-000020080000}"/>
    <cellStyle name="Input Currency_BHI" xfId="2158" xr:uid="{00000000-0005-0000-0000-000021080000}"/>
    <cellStyle name="Input Multiple" xfId="2159" xr:uid="{00000000-0005-0000-0000-000022080000}"/>
    <cellStyle name="Input Percent" xfId="2160" xr:uid="{00000000-0005-0000-0000-000023080000}"/>
    <cellStyle name="InputCurrency" xfId="2161" xr:uid="{00000000-0005-0000-0000-000024080000}"/>
    <cellStyle name="InputCurrency2" xfId="2162" xr:uid="{00000000-0005-0000-0000-000025080000}"/>
    <cellStyle name="InputDateDMth" xfId="2163" xr:uid="{00000000-0005-0000-0000-000026080000}"/>
    <cellStyle name="InputDateNorm" xfId="2164" xr:uid="{00000000-0005-0000-0000-000027080000}"/>
    <cellStyle name="InputMultiple1" xfId="2165" xr:uid="{00000000-0005-0000-0000-000028080000}"/>
    <cellStyle name="InputPercent1" xfId="2166" xr:uid="{00000000-0005-0000-0000-000029080000}"/>
    <cellStyle name="InputUlineNumeric" xfId="2167" xr:uid="{00000000-0005-0000-0000-00002A080000}"/>
    <cellStyle name="InputUlineNumeric 2" xfId="2168" xr:uid="{00000000-0005-0000-0000-00002B080000}"/>
    <cellStyle name="InputUlineNumeric 3" xfId="2169" xr:uid="{00000000-0005-0000-0000-00002C080000}"/>
    <cellStyle name="InputUlineNumeric 4" xfId="2170" xr:uid="{00000000-0005-0000-0000-00002D080000}"/>
    <cellStyle name="Italics" xfId="2171" xr:uid="{00000000-0005-0000-0000-00002E080000}"/>
    <cellStyle name="Item Descriptions" xfId="260" xr:uid="{00000000-0005-0000-0000-00002F080000}"/>
    <cellStyle name="Jason" xfId="2172" xr:uid="{00000000-0005-0000-0000-000030080000}"/>
    <cellStyle name="lead" xfId="2173" xr:uid="{00000000-0005-0000-0000-000031080000}"/>
    <cellStyle name="Line" xfId="261" xr:uid="{00000000-0005-0000-0000-000032080000}"/>
    <cellStyle name="LTGR" xfId="2174" xr:uid="{00000000-0005-0000-0000-000033080000}"/>
    <cellStyle name="m" xfId="2175" xr:uid="{00000000-0005-0000-0000-000034080000}"/>
    <cellStyle name="m$" xfId="2176" xr:uid="{00000000-0005-0000-0000-000035080000}"/>
    <cellStyle name="m_AOL_Model_Master" xfId="2177" xr:uid="{00000000-0005-0000-0000-000036080000}"/>
    <cellStyle name="m_AOL_Model_Master 2" xfId="2178" xr:uid="{00000000-0005-0000-0000-000037080000}"/>
    <cellStyle name="Mainhead" xfId="262" xr:uid="{00000000-0005-0000-0000-000038080000}"/>
    <cellStyle name="Major item" xfId="2179" xr:uid="{00000000-0005-0000-0000-000039080000}"/>
    <cellStyle name="Margin" xfId="2180" xr:uid="{00000000-0005-0000-0000-00003A080000}"/>
    <cellStyle name="Margins" xfId="2181" xr:uid="{00000000-0005-0000-0000-00003B080000}"/>
    <cellStyle name="Merrill" xfId="263" xr:uid="{00000000-0005-0000-0000-00003C080000}"/>
    <cellStyle name="Migliaia (0)_Bourse" xfId="2182" xr:uid="{00000000-0005-0000-0000-00003D080000}"/>
    <cellStyle name="Migliaia_Bourse" xfId="2183" xr:uid="{00000000-0005-0000-0000-00003E080000}"/>
    <cellStyle name="Millares [0]_pldt" xfId="2184" xr:uid="{00000000-0005-0000-0000-00003F080000}"/>
    <cellStyle name="Millares_pldt" xfId="2185" xr:uid="{00000000-0005-0000-0000-000040080000}"/>
    <cellStyle name="Mix" xfId="264" xr:uid="{00000000-0005-0000-0000-000041080000}"/>
    <cellStyle name="mm" xfId="2186" xr:uid="{00000000-0005-0000-0000-000042080000}"/>
    <cellStyle name="Moneda [0]_pldt" xfId="2187" xr:uid="{00000000-0005-0000-0000-000043080000}"/>
    <cellStyle name="Moneda_pldt" xfId="2188" xr:uid="{00000000-0005-0000-0000-000044080000}"/>
    <cellStyle name="Monitor" xfId="265" xr:uid="{00000000-0005-0000-0000-000045080000}"/>
    <cellStyle name="muiltiple" xfId="2189" xr:uid="{00000000-0005-0000-0000-000046080000}"/>
    <cellStyle name="Multiple" xfId="266" xr:uid="{00000000-0005-0000-0000-000047080000}"/>
    <cellStyle name="Multiple 2" xfId="2190" xr:uid="{00000000-0005-0000-0000-000048080000}"/>
    <cellStyle name="Multiple1" xfId="2191" xr:uid="{00000000-0005-0000-0000-000049080000}"/>
    <cellStyle name="MultipleBelow" xfId="2192" xr:uid="{00000000-0005-0000-0000-00004A080000}"/>
    <cellStyle name="no dec" xfId="2193" xr:uid="{00000000-0005-0000-0000-00004B080000}"/>
    <cellStyle name="Normal" xfId="0" builtinId="0"/>
    <cellStyle name="Normal - Style1" xfId="267" xr:uid="{00000000-0005-0000-0000-00004D080000}"/>
    <cellStyle name="Normal - Style1 2" xfId="2436" xr:uid="{00000000-0005-0000-0000-00004E080000}"/>
    <cellStyle name="Normal 10" xfId="2194" xr:uid="{00000000-0005-0000-0000-00004F080000}"/>
    <cellStyle name="Normal 10 2" xfId="2195" xr:uid="{00000000-0005-0000-0000-000050080000}"/>
    <cellStyle name="Normal 10 3" xfId="2196" xr:uid="{00000000-0005-0000-0000-000051080000}"/>
    <cellStyle name="Normal 11" xfId="2197" xr:uid="{00000000-0005-0000-0000-000052080000}"/>
    <cellStyle name="Normal 12" xfId="2198" xr:uid="{00000000-0005-0000-0000-000053080000}"/>
    <cellStyle name="Normal 12 2 3" xfId="2199" xr:uid="{00000000-0005-0000-0000-000054080000}"/>
    <cellStyle name="Normal 13" xfId="2200" xr:uid="{00000000-0005-0000-0000-000055080000}"/>
    <cellStyle name="Normal 14" xfId="2201" xr:uid="{00000000-0005-0000-0000-000056080000}"/>
    <cellStyle name="Normal 15" xfId="2202" xr:uid="{00000000-0005-0000-0000-000057080000}"/>
    <cellStyle name="Normal 16" xfId="2203" xr:uid="{00000000-0005-0000-0000-000058080000}"/>
    <cellStyle name="Normal 17" xfId="2204" xr:uid="{00000000-0005-0000-0000-000059080000}"/>
    <cellStyle name="Normal 18" xfId="2205" xr:uid="{00000000-0005-0000-0000-00005A080000}"/>
    <cellStyle name="Normal 19" xfId="2206" xr:uid="{00000000-0005-0000-0000-00005B080000}"/>
    <cellStyle name="Normal 2" xfId="2" xr:uid="{00000000-0005-0000-0000-00005C080000}"/>
    <cellStyle name="Normal 2 2" xfId="2207" xr:uid="{00000000-0005-0000-0000-00005D080000}"/>
    <cellStyle name="Normal 2 3" xfId="2208" xr:uid="{00000000-0005-0000-0000-00005E080000}"/>
    <cellStyle name="Normal 2 4" xfId="2209" xr:uid="{00000000-0005-0000-0000-00005F080000}"/>
    <cellStyle name="Normal 2 5" xfId="2210" xr:uid="{00000000-0005-0000-0000-000060080000}"/>
    <cellStyle name="Normal 20" xfId="2211" xr:uid="{00000000-0005-0000-0000-000061080000}"/>
    <cellStyle name="Normal 21" xfId="2212" xr:uid="{00000000-0005-0000-0000-000062080000}"/>
    <cellStyle name="Normal 22" xfId="2213" xr:uid="{00000000-0005-0000-0000-000063080000}"/>
    <cellStyle name="Normal 22 3" xfId="2214" xr:uid="{00000000-0005-0000-0000-000064080000}"/>
    <cellStyle name="Normal 23" xfId="2215" xr:uid="{00000000-0005-0000-0000-000065080000}"/>
    <cellStyle name="Normal 24" xfId="2216" xr:uid="{00000000-0005-0000-0000-000066080000}"/>
    <cellStyle name="Normal 25" xfId="2217" xr:uid="{00000000-0005-0000-0000-000067080000}"/>
    <cellStyle name="Normal 26" xfId="2218" xr:uid="{00000000-0005-0000-0000-000068080000}"/>
    <cellStyle name="Normal 27" xfId="2219" xr:uid="{00000000-0005-0000-0000-000069080000}"/>
    <cellStyle name="Normal 28" xfId="2220" xr:uid="{00000000-0005-0000-0000-00006A080000}"/>
    <cellStyle name="Normal 29" xfId="2221" xr:uid="{00000000-0005-0000-0000-00006B080000}"/>
    <cellStyle name="Normal 3" xfId="268" xr:uid="{00000000-0005-0000-0000-00006C080000}"/>
    <cellStyle name="Normal 3 2" xfId="318" xr:uid="{00000000-0005-0000-0000-00006D080000}"/>
    <cellStyle name="Normal 3 2 2" xfId="319" xr:uid="{00000000-0005-0000-0000-00006E080000}"/>
    <cellStyle name="Normal 3 2 2 2" xfId="320" xr:uid="{00000000-0005-0000-0000-00006F080000}"/>
    <cellStyle name="Normal 3 2 3" xfId="321" xr:uid="{00000000-0005-0000-0000-000070080000}"/>
    <cellStyle name="Normal 3 3" xfId="322" xr:uid="{00000000-0005-0000-0000-000071080000}"/>
    <cellStyle name="Normal 3 3 2" xfId="323" xr:uid="{00000000-0005-0000-0000-000072080000}"/>
    <cellStyle name="Normal 3 4" xfId="324" xr:uid="{00000000-0005-0000-0000-000073080000}"/>
    <cellStyle name="Normal 3 5" xfId="2222" xr:uid="{00000000-0005-0000-0000-000074080000}"/>
    <cellStyle name="Normal 30" xfId="2223" xr:uid="{00000000-0005-0000-0000-000075080000}"/>
    <cellStyle name="Normal 31" xfId="2224" xr:uid="{00000000-0005-0000-0000-000076080000}"/>
    <cellStyle name="Normal 32" xfId="2225" xr:uid="{00000000-0005-0000-0000-000077080000}"/>
    <cellStyle name="Normal 33" xfId="2226" xr:uid="{00000000-0005-0000-0000-000078080000}"/>
    <cellStyle name="Normal 34" xfId="2227" xr:uid="{00000000-0005-0000-0000-000079080000}"/>
    <cellStyle name="Normal 35" xfId="2228" xr:uid="{00000000-0005-0000-0000-00007A080000}"/>
    <cellStyle name="Normal 36" xfId="2229" xr:uid="{00000000-0005-0000-0000-00007B080000}"/>
    <cellStyle name="Normal 37" xfId="2230" xr:uid="{00000000-0005-0000-0000-00007C080000}"/>
    <cellStyle name="Normal 38" xfId="2231" xr:uid="{00000000-0005-0000-0000-00007D080000}"/>
    <cellStyle name="Normal 39" xfId="2232" xr:uid="{00000000-0005-0000-0000-00007E080000}"/>
    <cellStyle name="Normal 4" xfId="325" xr:uid="{00000000-0005-0000-0000-00007F080000}"/>
    <cellStyle name="Normal 4 2" xfId="326" xr:uid="{00000000-0005-0000-0000-000080080000}"/>
    <cellStyle name="Normal 4 2 2" xfId="327" xr:uid="{00000000-0005-0000-0000-000081080000}"/>
    <cellStyle name="Normal 4 3" xfId="328" xr:uid="{00000000-0005-0000-0000-000082080000}"/>
    <cellStyle name="Normal 40" xfId="2233" xr:uid="{00000000-0005-0000-0000-000083080000}"/>
    <cellStyle name="Normal 41" xfId="2234" xr:uid="{00000000-0005-0000-0000-000084080000}"/>
    <cellStyle name="Normal 42" xfId="2235" xr:uid="{00000000-0005-0000-0000-000085080000}"/>
    <cellStyle name="Normal 43" xfId="2236" xr:uid="{00000000-0005-0000-0000-000086080000}"/>
    <cellStyle name="Normal 44" xfId="2237" xr:uid="{00000000-0005-0000-0000-000087080000}"/>
    <cellStyle name="Normal 5" xfId="329" xr:uid="{00000000-0005-0000-0000-000088080000}"/>
    <cellStyle name="Normal 5 2" xfId="330" xr:uid="{00000000-0005-0000-0000-000089080000}"/>
    <cellStyle name="Normal 6" xfId="331" xr:uid="{00000000-0005-0000-0000-00008A080000}"/>
    <cellStyle name="Normal 6 2" xfId="2238" xr:uid="{00000000-0005-0000-0000-00008B080000}"/>
    <cellStyle name="Normal 6 3" xfId="2239" xr:uid="{00000000-0005-0000-0000-00008C080000}"/>
    <cellStyle name="Normal 7" xfId="332" xr:uid="{00000000-0005-0000-0000-00008D080000}"/>
    <cellStyle name="Normal 7 2" xfId="2240" xr:uid="{00000000-0005-0000-0000-00008E080000}"/>
    <cellStyle name="Normal 7 2 2" xfId="2241" xr:uid="{00000000-0005-0000-0000-00008F080000}"/>
    <cellStyle name="Normal 7 3" xfId="2242" xr:uid="{00000000-0005-0000-0000-000090080000}"/>
    <cellStyle name="Normal 7 4" xfId="2243" xr:uid="{00000000-0005-0000-0000-000091080000}"/>
    <cellStyle name="Normal 8" xfId="336" xr:uid="{00000000-0005-0000-0000-000092080000}"/>
    <cellStyle name="Normal 8 2" xfId="2244" xr:uid="{00000000-0005-0000-0000-000093080000}"/>
    <cellStyle name="Normal 8 2 2" xfId="2434" xr:uid="{00000000-0005-0000-0000-000094080000}"/>
    <cellStyle name="Normal 8 3" xfId="2245" xr:uid="{00000000-0005-0000-0000-000095080000}"/>
    <cellStyle name="Normal 9" xfId="2246" xr:uid="{00000000-0005-0000-0000-000096080000}"/>
    <cellStyle name="Normal 92" xfId="2247" xr:uid="{00000000-0005-0000-0000-000097080000}"/>
    <cellStyle name="Normal Cells" xfId="269" xr:uid="{00000000-0005-0000-0000-000098080000}"/>
    <cellStyle name="Normal2" xfId="2248" xr:uid="{00000000-0005-0000-0000-00009B080000}"/>
    <cellStyle name="Normal2 2" xfId="2249" xr:uid="{00000000-0005-0000-0000-00009C080000}"/>
    <cellStyle name="Normale_Bourse" xfId="2250" xr:uid="{00000000-0005-0000-0000-00009D080000}"/>
    <cellStyle name="NormalGB" xfId="2251" xr:uid="{00000000-0005-0000-0000-00009E080000}"/>
    <cellStyle name="Number" xfId="270" xr:uid="{00000000-0005-0000-0000-00009F080000}"/>
    <cellStyle name="number2" xfId="2252" xr:uid="{00000000-0005-0000-0000-0000A0080000}"/>
    <cellStyle name="Numbers" xfId="271" xr:uid="{00000000-0005-0000-0000-0000A1080000}"/>
    <cellStyle name="Numbers - Bold" xfId="272" xr:uid="{00000000-0005-0000-0000-0000A2080000}"/>
    <cellStyle name="Numbers - Bold - Italic" xfId="273" xr:uid="{00000000-0005-0000-0000-0000A3080000}"/>
    <cellStyle name="Numbers - Bold_Blend" xfId="274" xr:uid="{00000000-0005-0000-0000-0000A4080000}"/>
    <cellStyle name="Numbers - Large" xfId="275" xr:uid="{00000000-0005-0000-0000-0000A5080000}"/>
    <cellStyle name="Numbers_Comps" xfId="276" xr:uid="{00000000-0005-0000-0000-0000A6080000}"/>
    <cellStyle name="OCT 97" xfId="2253" xr:uid="{00000000-0005-0000-0000-0000A7080000}"/>
    <cellStyle name="Original L1" xfId="2254" xr:uid="{00000000-0005-0000-0000-0000A8080000}"/>
    <cellStyle name="Original L2" xfId="2255" xr:uid="{00000000-0005-0000-0000-0000A9080000}"/>
    <cellStyle name="Original L3" xfId="2256" xr:uid="{00000000-0005-0000-0000-0000AA080000}"/>
    <cellStyle name="Original Space" xfId="2257" xr:uid="{00000000-0005-0000-0000-0000AB080000}"/>
    <cellStyle name="OSW_ColumnLabels" xfId="277" xr:uid="{00000000-0005-0000-0000-0000AC080000}"/>
    <cellStyle name="OUTPUT AMOUNTS" xfId="2258" xr:uid="{00000000-0005-0000-0000-0000AD080000}"/>
    <cellStyle name="OUTPUT COLUMN HEADINGS" xfId="2259" xr:uid="{00000000-0005-0000-0000-0000AE080000}"/>
    <cellStyle name="OUTPUT LINE ITEMS" xfId="2260" xr:uid="{00000000-0005-0000-0000-0000AF080000}"/>
    <cellStyle name="OUTPUT REPORT HEADING" xfId="2261" xr:uid="{00000000-0005-0000-0000-0000B0080000}"/>
    <cellStyle name="OUTPUT REPORT TITLE" xfId="2262" xr:uid="{00000000-0005-0000-0000-0000B1080000}"/>
    <cellStyle name="P/E" xfId="2263" xr:uid="{00000000-0005-0000-0000-0000B2080000}"/>
    <cellStyle name="Page" xfId="278" xr:uid="{00000000-0005-0000-0000-0000B3080000}"/>
    <cellStyle name="Page header" xfId="279" xr:uid="{00000000-0005-0000-0000-0000B4080000}"/>
    <cellStyle name="Page Number" xfId="2264" xr:uid="{00000000-0005-0000-0000-0000B5080000}"/>
    <cellStyle name="Palatino" xfId="2265" xr:uid="{00000000-0005-0000-0000-0000B6080000}"/>
    <cellStyle name="pe" xfId="2266" xr:uid="{00000000-0005-0000-0000-0000B7080000}"/>
    <cellStyle name="PE Multiple" xfId="2267" xr:uid="{00000000-0005-0000-0000-0000B8080000}"/>
    <cellStyle name="PE/LTGR" xfId="2268" xr:uid="{00000000-0005-0000-0000-0000B9080000}"/>
    <cellStyle name="PEG" xfId="2269" xr:uid="{00000000-0005-0000-0000-0000BA080000}"/>
    <cellStyle name="Per aandeel" xfId="2270" xr:uid="{00000000-0005-0000-0000-0000BB080000}"/>
    <cellStyle name="per.style" xfId="2271" xr:uid="{00000000-0005-0000-0000-0000BC080000}"/>
    <cellStyle name="Percent" xfId="1" builtinId="5"/>
    <cellStyle name="Percent [1]" xfId="2272" xr:uid="{00000000-0005-0000-0000-0000BE080000}"/>
    <cellStyle name="Percent [2]" xfId="2273" xr:uid="{00000000-0005-0000-0000-0000BF080000}"/>
    <cellStyle name="Percent 10" xfId="2274" xr:uid="{00000000-0005-0000-0000-0000C0080000}"/>
    <cellStyle name="Percent 10 2" xfId="2275" xr:uid="{00000000-0005-0000-0000-0000C1080000}"/>
    <cellStyle name="Percent 11" xfId="2276" xr:uid="{00000000-0005-0000-0000-0000C2080000}"/>
    <cellStyle name="Percent 12" xfId="2277" xr:uid="{00000000-0005-0000-0000-0000C3080000}"/>
    <cellStyle name="Percent 13" xfId="2278" xr:uid="{00000000-0005-0000-0000-0000C4080000}"/>
    <cellStyle name="Percent 14" xfId="2279" xr:uid="{00000000-0005-0000-0000-0000C5080000}"/>
    <cellStyle name="Percent 15" xfId="2280" xr:uid="{00000000-0005-0000-0000-0000C6080000}"/>
    <cellStyle name="Percent 16" xfId="2281" xr:uid="{00000000-0005-0000-0000-0000C7080000}"/>
    <cellStyle name="Percent 17" xfId="2282" xr:uid="{00000000-0005-0000-0000-0000C8080000}"/>
    <cellStyle name="Percent 18" xfId="2283" xr:uid="{00000000-0005-0000-0000-0000C9080000}"/>
    <cellStyle name="Percent 19" xfId="2284" xr:uid="{00000000-0005-0000-0000-0000CA080000}"/>
    <cellStyle name="Percent 2" xfId="333" xr:uid="{00000000-0005-0000-0000-0000CB080000}"/>
    <cellStyle name="Percent 2 2" xfId="2285" xr:uid="{00000000-0005-0000-0000-0000CC080000}"/>
    <cellStyle name="Percent 2 3" xfId="2286" xr:uid="{00000000-0005-0000-0000-0000CD080000}"/>
    <cellStyle name="Percent 20" xfId="2287" xr:uid="{00000000-0005-0000-0000-0000CE080000}"/>
    <cellStyle name="Percent 21" xfId="2288" xr:uid="{00000000-0005-0000-0000-0000CF080000}"/>
    <cellStyle name="Percent 22" xfId="2289" xr:uid="{00000000-0005-0000-0000-0000D0080000}"/>
    <cellStyle name="Percent 23" xfId="2290" xr:uid="{00000000-0005-0000-0000-0000D1080000}"/>
    <cellStyle name="Percent 24" xfId="2291" xr:uid="{00000000-0005-0000-0000-0000D2080000}"/>
    <cellStyle name="Percent 25" xfId="2292" xr:uid="{00000000-0005-0000-0000-0000D3080000}"/>
    <cellStyle name="Percent 26" xfId="2293" xr:uid="{00000000-0005-0000-0000-0000D4080000}"/>
    <cellStyle name="Percent 27" xfId="2294" xr:uid="{00000000-0005-0000-0000-0000D5080000}"/>
    <cellStyle name="Percent 28" xfId="2295" xr:uid="{00000000-0005-0000-0000-0000D6080000}"/>
    <cellStyle name="Percent 29" xfId="2296" xr:uid="{00000000-0005-0000-0000-0000D7080000}"/>
    <cellStyle name="Percent 3" xfId="334" xr:uid="{00000000-0005-0000-0000-0000D8080000}"/>
    <cellStyle name="Percent 3 2" xfId="2297" xr:uid="{00000000-0005-0000-0000-0000D9080000}"/>
    <cellStyle name="Percent 30" xfId="2298" xr:uid="{00000000-0005-0000-0000-0000DA080000}"/>
    <cellStyle name="Percent 31" xfId="2299" xr:uid="{00000000-0005-0000-0000-0000DB080000}"/>
    <cellStyle name="Percent 32" xfId="2300" xr:uid="{00000000-0005-0000-0000-0000DC080000}"/>
    <cellStyle name="Percent 33" xfId="2301" xr:uid="{00000000-0005-0000-0000-0000DD080000}"/>
    <cellStyle name="Percent 34" xfId="2302" xr:uid="{00000000-0005-0000-0000-0000DE080000}"/>
    <cellStyle name="Percent 35" xfId="2303" xr:uid="{00000000-0005-0000-0000-0000DF080000}"/>
    <cellStyle name="Percent 36" xfId="2304" xr:uid="{00000000-0005-0000-0000-0000E0080000}"/>
    <cellStyle name="Percent 37" xfId="2305" xr:uid="{00000000-0005-0000-0000-0000E1080000}"/>
    <cellStyle name="Percent 38" xfId="2306" xr:uid="{00000000-0005-0000-0000-0000E2080000}"/>
    <cellStyle name="Percent 39" xfId="2307" xr:uid="{00000000-0005-0000-0000-0000E3080000}"/>
    <cellStyle name="Percent 4" xfId="2308" xr:uid="{00000000-0005-0000-0000-0000E4080000}"/>
    <cellStyle name="Percent 4 2" xfId="2309" xr:uid="{00000000-0005-0000-0000-0000E5080000}"/>
    <cellStyle name="Percent 40" xfId="2310" xr:uid="{00000000-0005-0000-0000-0000E6080000}"/>
    <cellStyle name="Percent 42" xfId="2435" xr:uid="{00000000-0005-0000-0000-0000E7080000}"/>
    <cellStyle name="Percent 5" xfId="2311" xr:uid="{00000000-0005-0000-0000-0000E8080000}"/>
    <cellStyle name="Percent 6" xfId="2312" xr:uid="{00000000-0005-0000-0000-0000E9080000}"/>
    <cellStyle name="Percent 7" xfId="2313" xr:uid="{00000000-0005-0000-0000-0000EA080000}"/>
    <cellStyle name="Percent 8" xfId="2314" xr:uid="{00000000-0005-0000-0000-0000EB080000}"/>
    <cellStyle name="Percent 9" xfId="2315" xr:uid="{00000000-0005-0000-0000-0000EC080000}"/>
    <cellStyle name="Percent(1)" xfId="2316" xr:uid="{00000000-0005-0000-0000-0000ED080000}"/>
    <cellStyle name="Percent(1) 2" xfId="2317" xr:uid="{00000000-0005-0000-0000-0000EE080000}"/>
    <cellStyle name="Percent(1) 3" xfId="2318" xr:uid="{00000000-0005-0000-0000-0000EF080000}"/>
    <cellStyle name="Percent(1) 4" xfId="2319" xr:uid="{00000000-0005-0000-0000-0000F0080000}"/>
    <cellStyle name="Percent(1) 5" xfId="2320" xr:uid="{00000000-0005-0000-0000-0000F1080000}"/>
    <cellStyle name="Percent(3)" xfId="2321" xr:uid="{00000000-0005-0000-0000-0000F2080000}"/>
    <cellStyle name="Percent(3) 2" xfId="2322" xr:uid="{00000000-0005-0000-0000-0000F3080000}"/>
    <cellStyle name="Percent1" xfId="2323" xr:uid="{00000000-0005-0000-0000-0000F4080000}"/>
    <cellStyle name="percent3" xfId="2324" xr:uid="{00000000-0005-0000-0000-0000F5080000}"/>
    <cellStyle name="percent3 2" xfId="2325" xr:uid="{00000000-0005-0000-0000-0000F6080000}"/>
    <cellStyle name="Percentage" xfId="280" xr:uid="{00000000-0005-0000-0000-0000F7080000}"/>
    <cellStyle name="PercentPresentation" xfId="2326" xr:uid="{00000000-0005-0000-0000-0000F8080000}"/>
    <cellStyle name="PerShare" xfId="2327" xr:uid="{00000000-0005-0000-0000-0000F9080000}"/>
    <cellStyle name="POPS" xfId="2328" xr:uid="{00000000-0005-0000-0000-0000FA080000}"/>
    <cellStyle name="Porcentagem 2" xfId="2329" xr:uid="{00000000-0005-0000-0000-0000FB080000}"/>
    <cellStyle name="pound" xfId="2330" xr:uid="{00000000-0005-0000-0000-0000FC080000}"/>
    <cellStyle name="Presentation" xfId="2331" xr:uid="{00000000-0005-0000-0000-0000FD080000}"/>
    <cellStyle name="PresentationZero" xfId="2332" xr:uid="{00000000-0005-0000-0000-0000FE080000}"/>
    <cellStyle name="Price" xfId="281" xr:uid="{00000000-0005-0000-0000-0000FF080000}"/>
    <cellStyle name="Procenten" xfId="2333" xr:uid="{00000000-0005-0000-0000-000000090000}"/>
    <cellStyle name="Procenten estimate" xfId="2334" xr:uid="{00000000-0005-0000-0000-000001090000}"/>
    <cellStyle name="Procenten_EMI" xfId="2335" xr:uid="{00000000-0005-0000-0000-000002090000}"/>
    <cellStyle name="prot" xfId="282" xr:uid="{00000000-0005-0000-0000-000003090000}"/>
    <cellStyle name="Punto" xfId="283" xr:uid="{00000000-0005-0000-0000-000004090000}"/>
    <cellStyle name="q" xfId="2336" xr:uid="{00000000-0005-0000-0000-000005090000}"/>
    <cellStyle name="QEPS-h" xfId="2337" xr:uid="{00000000-0005-0000-0000-000006090000}"/>
    <cellStyle name="QEPS-H1" xfId="2338" xr:uid="{00000000-0005-0000-0000-000007090000}"/>
    <cellStyle name="QEPS-H1 2" xfId="2339" xr:uid="{00000000-0005-0000-0000-000008090000}"/>
    <cellStyle name="QEPS-H1 3" xfId="2340" xr:uid="{00000000-0005-0000-0000-000009090000}"/>
    <cellStyle name="QEPS-H1 4" xfId="2341" xr:uid="{00000000-0005-0000-0000-00000A090000}"/>
    <cellStyle name="qRange" xfId="2342" xr:uid="{00000000-0005-0000-0000-00000B090000}"/>
    <cellStyle name="r" xfId="284" xr:uid="{00000000-0005-0000-0000-00000C090000}"/>
    <cellStyle name="range" xfId="2343" xr:uid="{00000000-0005-0000-0000-00000D090000}"/>
    <cellStyle name="regstoresfromspecstores" xfId="2344" xr:uid="{00000000-0005-0000-0000-00000E090000}"/>
    <cellStyle name="Report" xfId="2345" xr:uid="{00000000-0005-0000-0000-00000F090000}"/>
    <cellStyle name="results" xfId="2346" xr:uid="{00000000-0005-0000-0000-000010090000}"/>
    <cellStyle name="Reuters Cells" xfId="285" xr:uid="{00000000-0005-0000-0000-000011090000}"/>
    <cellStyle name="Reuters Cells 2" xfId="2347" xr:uid="{00000000-0005-0000-0000-000012090000}"/>
    <cellStyle name="Reuters Cells 3" xfId="2348" xr:uid="{00000000-0005-0000-0000-000013090000}"/>
    <cellStyle name="Reuters Cells 4" xfId="2349" xr:uid="{00000000-0005-0000-0000-000014090000}"/>
    <cellStyle name="RevList" xfId="2350" xr:uid="{00000000-0005-0000-0000-000015090000}"/>
    <cellStyle name="s" xfId="286" xr:uid="{00000000-0005-0000-0000-000016090000}"/>
    <cellStyle name="s_AGU_model--JF" xfId="2351" xr:uid="{00000000-0005-0000-0000-000017090000}"/>
    <cellStyle name="s_DOW clr model" xfId="2352" xr:uid="{00000000-0005-0000-0000-000018090000}"/>
    <cellStyle name="Salomon Logo" xfId="2353" xr:uid="{00000000-0005-0000-0000-000019090000}"/>
    <cellStyle name="SAPBEXstdData" xfId="2354" xr:uid="{00000000-0005-0000-0000-00001A090000}"/>
    <cellStyle name="Shade" xfId="2355" xr:uid="{00000000-0005-0000-0000-00001B090000}"/>
    <cellStyle name="ShadedCells_Database" xfId="287" xr:uid="{00000000-0005-0000-0000-00001C090000}"/>
    <cellStyle name="SHADEDSTORES" xfId="2356" xr:uid="{00000000-0005-0000-0000-00001D090000}"/>
    <cellStyle name="Shading" xfId="2357" xr:uid="{00000000-0005-0000-0000-00001E090000}"/>
    <cellStyle name="Share" xfId="2358" xr:uid="{00000000-0005-0000-0000-00001F090000}"/>
    <cellStyle name="Share 2" xfId="2359" xr:uid="{00000000-0005-0000-0000-000020090000}"/>
    <cellStyle name="Share 3" xfId="2360" xr:uid="{00000000-0005-0000-0000-000021090000}"/>
    <cellStyle name="Share 4" xfId="2361" xr:uid="{00000000-0005-0000-0000-000022090000}"/>
    <cellStyle name="Shares" xfId="2362" xr:uid="{00000000-0005-0000-0000-000023090000}"/>
    <cellStyle name="Sheet Title" xfId="288" xr:uid="{00000000-0005-0000-0000-000024090000}"/>
    <cellStyle name="ShOut" xfId="289" xr:uid="{00000000-0005-0000-0000-000025090000}"/>
    <cellStyle name="Source" xfId="2363" xr:uid="{00000000-0005-0000-0000-000026090000}"/>
    <cellStyle name="Space" xfId="2364" xr:uid="{00000000-0005-0000-0000-000027090000}"/>
    <cellStyle name="specstores" xfId="2365" xr:uid="{00000000-0005-0000-0000-000028090000}"/>
    <cellStyle name="SS1000" xfId="2366" xr:uid="{00000000-0005-0000-0000-000029090000}"/>
    <cellStyle name="Standard_BLUE" xfId="2367" xr:uid="{00000000-0005-0000-0000-00002A090000}"/>
    <cellStyle name="Stock price" xfId="2368" xr:uid="{00000000-0005-0000-0000-00002B090000}"/>
    <cellStyle name="Style 1" xfId="290" xr:uid="{00000000-0005-0000-0000-00002C090000}"/>
    <cellStyle name="Style 2" xfId="291" xr:uid="{00000000-0005-0000-0000-00002D090000}"/>
    <cellStyle name="Style 24" xfId="2369" xr:uid="{00000000-0005-0000-0000-00002E090000}"/>
    <cellStyle name="Style 26" xfId="2370" xr:uid="{00000000-0005-0000-0000-00002F090000}"/>
    <cellStyle name="Style 27" xfId="2371" xr:uid="{00000000-0005-0000-0000-000030090000}"/>
    <cellStyle name="Style 3" xfId="292" xr:uid="{00000000-0005-0000-0000-000031090000}"/>
    <cellStyle name="Style D green" xfId="293" xr:uid="{00000000-0005-0000-0000-000032090000}"/>
    <cellStyle name="Style E" xfId="294" xr:uid="{00000000-0005-0000-0000-000033090000}"/>
    <cellStyle name="Style H" xfId="295" xr:uid="{00000000-0005-0000-0000-000034090000}"/>
    <cellStyle name="Sub total" xfId="296" xr:uid="{00000000-0005-0000-0000-000035090000}"/>
    <cellStyle name="Subtotal" xfId="2372" xr:uid="{00000000-0005-0000-0000-000036090000}"/>
    <cellStyle name="Sum" xfId="297" xr:uid="{00000000-0005-0000-0000-000037090000}"/>
    <cellStyle name="Swiss" xfId="298" xr:uid="{00000000-0005-0000-0000-000038090000}"/>
    <cellStyle name="Swiss 2" xfId="2373" xr:uid="{00000000-0005-0000-0000-000039090000}"/>
    <cellStyle name="Swiss 3" xfId="2374" xr:uid="{00000000-0005-0000-0000-00003A090000}"/>
    <cellStyle name="Synopsis" xfId="2375" xr:uid="{00000000-0005-0000-0000-00003B090000}"/>
    <cellStyle name="t" xfId="299" xr:uid="{00000000-0005-0000-0000-00003C090000}"/>
    <cellStyle name="Table end" xfId="300" xr:uid="{00000000-0005-0000-0000-00003D090000}"/>
    <cellStyle name="Table head" xfId="301" xr:uid="{00000000-0005-0000-0000-00003E090000}"/>
    <cellStyle name="Table head 2" xfId="2376" xr:uid="{00000000-0005-0000-0000-00003F090000}"/>
    <cellStyle name="Table head 3" xfId="2377" xr:uid="{00000000-0005-0000-0000-000040090000}"/>
    <cellStyle name="Table head 4" xfId="2378" xr:uid="{00000000-0005-0000-0000-000041090000}"/>
    <cellStyle name="Table Head Aligned" xfId="2379" xr:uid="{00000000-0005-0000-0000-000042090000}"/>
    <cellStyle name="Table Head Aligned 2" xfId="2380" xr:uid="{00000000-0005-0000-0000-000043090000}"/>
    <cellStyle name="Table Head Aligned 3" xfId="2381" xr:uid="{00000000-0005-0000-0000-000044090000}"/>
    <cellStyle name="Table Head Aligned 4" xfId="2382" xr:uid="{00000000-0005-0000-0000-000045090000}"/>
    <cellStyle name="Table Head Aligned 5" xfId="2383" xr:uid="{00000000-0005-0000-0000-000046090000}"/>
    <cellStyle name="Table Head Blue" xfId="2384" xr:uid="{00000000-0005-0000-0000-000047090000}"/>
    <cellStyle name="Table Head Green" xfId="2385" xr:uid="{00000000-0005-0000-0000-000048090000}"/>
    <cellStyle name="Table Head Green 2" xfId="2386" xr:uid="{00000000-0005-0000-0000-000049090000}"/>
    <cellStyle name="Table Head Green 3" xfId="2387" xr:uid="{00000000-0005-0000-0000-00004A090000}"/>
    <cellStyle name="Table Head Green 4" xfId="2388" xr:uid="{00000000-0005-0000-0000-00004B090000}"/>
    <cellStyle name="Table Head_4. Debt Schedule" xfId="2389" xr:uid="{00000000-0005-0000-0000-00004C090000}"/>
    <cellStyle name="Table Source" xfId="2390" xr:uid="{00000000-0005-0000-0000-00004D090000}"/>
    <cellStyle name="Table Text" xfId="2391" xr:uid="{00000000-0005-0000-0000-00004E090000}"/>
    <cellStyle name="table text bold" xfId="302" xr:uid="{00000000-0005-0000-0000-00004F090000}"/>
    <cellStyle name="table text bold green" xfId="303" xr:uid="{00000000-0005-0000-0000-000050090000}"/>
    <cellStyle name="table text bold_AGU_model--JF" xfId="2392" xr:uid="{00000000-0005-0000-0000-000051090000}"/>
    <cellStyle name="table text light" xfId="304" xr:uid="{00000000-0005-0000-0000-000052090000}"/>
    <cellStyle name="Table Title" xfId="305" xr:uid="{00000000-0005-0000-0000-000053090000}"/>
    <cellStyle name="Table Units" xfId="306" xr:uid="{00000000-0005-0000-0000-000054090000}"/>
    <cellStyle name="Table_Title" xfId="2393" xr:uid="{00000000-0005-0000-0000-000055090000}"/>
    <cellStyle name="TableBody" xfId="2394" xr:uid="{00000000-0005-0000-0000-000056090000}"/>
    <cellStyle name="TableBodyR" xfId="2395" xr:uid="{00000000-0005-0000-0000-000057090000}"/>
    <cellStyle name="TableColHeads" xfId="2396" xr:uid="{00000000-0005-0000-0000-000058090000}"/>
    <cellStyle name="tcn" xfId="2397" xr:uid="{00000000-0005-0000-0000-000059090000}"/>
    <cellStyle name="Text" xfId="2398" xr:uid="{00000000-0005-0000-0000-00005A090000}"/>
    <cellStyle name="Text 1" xfId="2399" xr:uid="{00000000-0005-0000-0000-00005B090000}"/>
    <cellStyle name="Text 2" xfId="2400" xr:uid="{00000000-0005-0000-0000-00005C090000}"/>
    <cellStyle name="Text Head" xfId="2401" xr:uid="{00000000-0005-0000-0000-00005D090000}"/>
    <cellStyle name="Text Head 1" xfId="2402" xr:uid="{00000000-0005-0000-0000-00005E090000}"/>
    <cellStyle name="Text Head 2" xfId="2403" xr:uid="{00000000-0005-0000-0000-00005F090000}"/>
    <cellStyle name="Text Head_BHI" xfId="2404" xr:uid="{00000000-0005-0000-0000-000060090000}"/>
    <cellStyle name="Text Indent 1" xfId="2405" xr:uid="{00000000-0005-0000-0000-000061090000}"/>
    <cellStyle name="Text Indent 2" xfId="2406" xr:uid="{00000000-0005-0000-0000-000062090000}"/>
    <cellStyle name="Time" xfId="307" xr:uid="{00000000-0005-0000-0000-000063090000}"/>
    <cellStyle name="Title - PROJECT" xfId="308" xr:uid="{00000000-0005-0000-0000-000064090000}"/>
    <cellStyle name="Title - Underline" xfId="309" xr:uid="{00000000-0005-0000-0000-000065090000}"/>
    <cellStyle name="Title1" xfId="310" xr:uid="{00000000-0005-0000-0000-000066090000}"/>
    <cellStyle name="Title2" xfId="311" xr:uid="{00000000-0005-0000-0000-000067090000}"/>
    <cellStyle name="TitleII" xfId="2407" xr:uid="{00000000-0005-0000-0000-000068090000}"/>
    <cellStyle name="Titles" xfId="2408" xr:uid="{00000000-0005-0000-0000-000069090000}"/>
    <cellStyle name="Titles - Col. Headings" xfId="312" xr:uid="{00000000-0005-0000-0000-00006A090000}"/>
    <cellStyle name="Titles - Other" xfId="313" xr:uid="{00000000-0005-0000-0000-00006B090000}"/>
    <cellStyle name="tn" xfId="2409" xr:uid="{00000000-0005-0000-0000-00006C090000}"/>
    <cellStyle name="TOC 1" xfId="2410" xr:uid="{00000000-0005-0000-0000-00006D090000}"/>
    <cellStyle name="TOC 2" xfId="2411" xr:uid="{00000000-0005-0000-0000-00006E090000}"/>
    <cellStyle name="Total Currency" xfId="2412" xr:uid="{00000000-0005-0000-0000-00006F090000}"/>
    <cellStyle name="Total Normal" xfId="2413" xr:uid="{00000000-0005-0000-0000-000070090000}"/>
    <cellStyle name="TotalCurrency" xfId="2414" xr:uid="{00000000-0005-0000-0000-000071090000}"/>
    <cellStyle name="TR 8" xfId="2415" xr:uid="{00000000-0005-0000-0000-000072090000}"/>
    <cellStyle name="TR 8B" xfId="2416" xr:uid="{00000000-0005-0000-0000-000073090000}"/>
    <cellStyle name="underline" xfId="2417" xr:uid="{00000000-0005-0000-0000-000074090000}"/>
    <cellStyle name="undernum" xfId="2418" xr:uid="{00000000-0005-0000-0000-000075090000}"/>
    <cellStyle name="unm" xfId="314" xr:uid="{00000000-0005-0000-0000-000076090000}"/>
    <cellStyle name="Use_1dp" xfId="2419" xr:uid="{00000000-0005-0000-0000-000077090000}"/>
    <cellStyle name="UseB_1dp" xfId="2420" xr:uid="{00000000-0005-0000-0000-000078090000}"/>
    <cellStyle name="Validation" xfId="2421" xr:uid="{00000000-0005-0000-0000-000079090000}"/>
    <cellStyle name="Valuta (0)_Bourse" xfId="2422" xr:uid="{00000000-0005-0000-0000-00007A090000}"/>
    <cellStyle name="Valuta_Bourse" xfId="2423" xr:uid="{00000000-0005-0000-0000-00007B090000}"/>
    <cellStyle name="WhiteCells" xfId="2424" xr:uid="{00000000-0005-0000-0000-00007C090000}"/>
    <cellStyle name="WholeNumber" xfId="2425" xr:uid="{00000000-0005-0000-0000-00007D090000}"/>
    <cellStyle name="wild guess" xfId="2426" xr:uid="{00000000-0005-0000-0000-00007E090000}"/>
    <cellStyle name="Wildguess" xfId="2427" xr:uid="{00000000-0005-0000-0000-00007F090000}"/>
    <cellStyle name="x" xfId="2428" xr:uid="{00000000-0005-0000-0000-000080090000}"/>
    <cellStyle name="Year" xfId="315" xr:uid="{00000000-0005-0000-0000-000081090000}"/>
    <cellStyle name="Year Estimate" xfId="2429" xr:uid="{00000000-0005-0000-0000-000082090000}"/>
    <cellStyle name="year_BHI" xfId="2430" xr:uid="{00000000-0005-0000-0000-000083090000}"/>
    <cellStyle name="Years" xfId="316" xr:uid="{00000000-0005-0000-0000-000084090000}"/>
    <cellStyle name="years 2" xfId="2431" xr:uid="{00000000-0005-0000-0000-000085090000}"/>
    <cellStyle name="yen" xfId="2432" xr:uid="{00000000-0005-0000-0000-000086090000}"/>
    <cellStyle name="常规_全进度数据" xfId="2433" xr:uid="{00000000-0005-0000-0000-0000870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E76AA"/>
      <rgbColor rgb="00CFD6E6"/>
      <rgbColor rgb="009EADCC"/>
      <rgbColor rgb="00EFF1F6"/>
      <rgbColor rgb="00BFC8DD"/>
      <rgbColor rgb="008E9FC4"/>
      <rgbColor rgb="00DFE4EE"/>
      <rgbColor rgb="00AEBAD5"/>
      <rgbColor rgb="00000000"/>
      <rgbColor rgb="00AAAAAA"/>
      <rgbColor rgb="00444444"/>
      <rgbColor rgb="00CCCCCC"/>
      <rgbColor rgb="00888888"/>
      <rgbColor rgb="00666666"/>
      <rgbColor rgb="00EEEEEE"/>
      <rgbColor rgb="00222222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  <color rgb="FFFF99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</xdr:colOff>
      <xdr:row>1</xdr:row>
      <xdr:rowOff>89646</xdr:rowOff>
    </xdr:from>
    <xdr:to>
      <xdr:col>2</xdr:col>
      <xdr:colOff>17840</xdr:colOff>
      <xdr:row>7</xdr:row>
      <xdr:rowOff>112058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biLevel thresh="75000"/>
        </a:blip>
        <a:srcRect b="9562"/>
        <a:stretch/>
      </xdr:blipFill>
      <xdr:spPr>
        <a:xfrm>
          <a:off x="211231" y="280146"/>
          <a:ext cx="1711609" cy="154641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B9691-AE14-4CE3-AEDA-29FB9C3B2B3D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rly.chasen@gs.com" TargetMode="External"/><Relationship Id="rId1" Type="http://schemas.openxmlformats.org/officeDocument/2006/relationships/hyperlink" Target="mailto:mentesnot.adamu@gs.com" TargetMode="Externa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autoPageBreaks="0"/>
  </sheetPr>
  <dimension ref="B1:L26"/>
  <sheetViews>
    <sheetView showGridLines="0" tabSelected="1" zoomScale="85" zoomScaleNormal="85" workbookViewId="0">
      <pane ySplit="8" topLeftCell="A9" activePane="bottomLeft" state="frozen"/>
      <selection activeCell="CQ557" sqref="CQ557"/>
      <selection pane="bottomLeft"/>
    </sheetView>
  </sheetViews>
  <sheetFormatPr defaultColWidth="9.140625" defaultRowHeight="15" customHeight="1"/>
  <cols>
    <col min="1" max="1" width="2.7109375" style="92" customWidth="1"/>
    <col min="2" max="2" width="25.5703125" style="92" customWidth="1"/>
    <col min="3" max="16384" width="9.140625" style="92"/>
  </cols>
  <sheetData>
    <row r="1" spans="2:12" ht="12.75" customHeight="1">
      <c r="C1" s="93"/>
    </row>
    <row r="2" spans="2:12" s="96" customFormat="1" ht="15" customHeight="1"/>
    <row r="3" spans="2:12" s="97" customFormat="1" ht="45" customHeight="1">
      <c r="F3" s="103" t="s">
        <v>273</v>
      </c>
      <c r="G3" s="98"/>
      <c r="H3" s="98"/>
      <c r="I3" s="98"/>
      <c r="J3" s="98"/>
      <c r="K3" s="98"/>
      <c r="L3" s="98"/>
    </row>
    <row r="4" spans="2:12" s="97" customFormat="1" ht="15" customHeight="1">
      <c r="F4" s="102" t="s">
        <v>272</v>
      </c>
      <c r="G4" s="98"/>
      <c r="H4" s="98"/>
      <c r="I4" s="98"/>
      <c r="J4" s="98"/>
      <c r="K4" s="98"/>
      <c r="L4" s="98"/>
    </row>
    <row r="5" spans="2:12" s="97" customFormat="1" ht="15" customHeight="1">
      <c r="F5" s="99"/>
    </row>
    <row r="6" spans="2:12" s="97" customFormat="1" ht="15" customHeight="1"/>
    <row r="7" spans="2:12" s="97" customFormat="1" ht="15" customHeight="1"/>
    <row r="8" spans="2:12" s="100" customFormat="1" ht="15" customHeight="1"/>
    <row r="9" spans="2:12" ht="15" customHeight="1">
      <c r="B9" s="94" t="s">
        <v>271</v>
      </c>
    </row>
    <row r="11" spans="2:12" ht="15" customHeight="1">
      <c r="B11" s="625" t="s">
        <v>435</v>
      </c>
    </row>
    <row r="12" spans="2:12" ht="15" customHeight="1">
      <c r="B12" s="95"/>
      <c r="E12" s="95"/>
    </row>
    <row r="13" spans="2:12" ht="15" customHeight="1">
      <c r="B13" s="101" t="s">
        <v>318</v>
      </c>
    </row>
    <row r="14" spans="2:12" ht="15" customHeight="1">
      <c r="B14" s="95" t="s">
        <v>430</v>
      </c>
      <c r="C14" s="95"/>
    </row>
    <row r="15" spans="2:12" ht="15" customHeight="1">
      <c r="B15" s="95" t="s">
        <v>329</v>
      </c>
    </row>
    <row r="16" spans="2:12" ht="15" customHeight="1">
      <c r="B16" s="95" t="s">
        <v>270</v>
      </c>
      <c r="E16" s="95"/>
    </row>
    <row r="17" spans="2:6" ht="15" customHeight="1">
      <c r="E17" s="357"/>
      <c r="F17" s="95"/>
    </row>
    <row r="18" spans="2:6" ht="15" customHeight="1">
      <c r="B18" s="209" t="s">
        <v>354</v>
      </c>
    </row>
    <row r="19" spans="2:6" ht="15" customHeight="1">
      <c r="B19" s="178" t="s">
        <v>349</v>
      </c>
    </row>
    <row r="20" spans="2:6" ht="15" customHeight="1">
      <c r="B20" s="178" t="s">
        <v>355</v>
      </c>
    </row>
    <row r="21" spans="2:6" ht="15" customHeight="1">
      <c r="B21" s="178" t="s">
        <v>356</v>
      </c>
    </row>
    <row r="22" spans="2:6" ht="15" customHeight="1">
      <c r="B22" s="210"/>
    </row>
    <row r="23" spans="2:6" ht="15" customHeight="1">
      <c r="B23" s="209" t="s">
        <v>431</v>
      </c>
    </row>
    <row r="24" spans="2:6" ht="15" customHeight="1">
      <c r="B24" s="178" t="s">
        <v>349</v>
      </c>
    </row>
    <row r="25" spans="2:6" ht="15" customHeight="1">
      <c r="B25" s="178" t="s">
        <v>432</v>
      </c>
    </row>
    <row r="26" spans="2:6" ht="15" customHeight="1">
      <c r="B26" s="178" t="s">
        <v>433</v>
      </c>
    </row>
  </sheetData>
  <hyperlinks>
    <hyperlink ref="B21" r:id="rId1" xr:uid="{548262A2-F084-440A-ADA6-387DB3E810DB}"/>
    <hyperlink ref="B26" r:id="rId2" xr:uid="{BE014AA3-A211-4198-B996-7F97876DE270}"/>
  </hyperlinks>
  <pageMargins left="0.7" right="0.7" top="0.75" bottom="0.75" header="0.3" footer="0.3"/>
  <pageSetup orientation="portrait" r:id="rId3"/>
  <customProperties>
    <customPr name="Qube.Worksheet.Visibility" r:id="rId4"/>
  </customPropertie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ER454"/>
  <sheetViews>
    <sheetView showGridLines="0" zoomScale="85" zoomScaleNormal="85" workbookViewId="0">
      <pane xSplit="2" ySplit="6" topLeftCell="CE7" activePane="bottomRight" state="frozen"/>
      <selection activeCell="CQ557" sqref="CQ557"/>
      <selection pane="topRight" activeCell="CQ557" sqref="CQ557"/>
      <selection pane="bottomLeft" activeCell="CQ557" sqref="CQ557"/>
      <selection pane="bottomRight"/>
    </sheetView>
  </sheetViews>
  <sheetFormatPr defaultColWidth="9.140625" defaultRowHeight="12" customHeight="1" outlineLevelRow="1" outlineLevelCol="1"/>
  <cols>
    <col min="1" max="1" width="2.7109375" style="10" customWidth="1"/>
    <col min="2" max="2" width="34.42578125" style="10" customWidth="1"/>
    <col min="3" max="15" width="9.85546875" style="10" hidden="1" customWidth="1" outlineLevel="1"/>
    <col min="16" max="16" width="9.85546875" style="10" hidden="1" customWidth="1" outlineLevel="1" collapsed="1"/>
    <col min="17" max="17" width="9.85546875" style="10" customWidth="1" collapsed="1"/>
    <col min="18" max="21" width="9.85546875" style="10" hidden="1" customWidth="1" outlineLevel="1"/>
    <col min="22" max="22" width="9.85546875" style="10" customWidth="1" collapsed="1"/>
    <col min="23" max="26" width="9.85546875" style="10" hidden="1" customWidth="1" outlineLevel="1"/>
    <col min="27" max="27" width="9.85546875" style="10" customWidth="1" collapsed="1"/>
    <col min="28" max="32" width="9.85546875" style="10" hidden="1" customWidth="1" outlineLevel="1"/>
    <col min="33" max="33" width="9.85546875" style="10" customWidth="1" collapsed="1"/>
    <col min="34" max="37" width="9.85546875" style="10" hidden="1" customWidth="1" outlineLevel="1"/>
    <col min="38" max="38" width="9.85546875" style="10" customWidth="1" collapsed="1"/>
    <col min="39" max="42" width="9.85546875" style="10" hidden="1" customWidth="1" outlineLevel="1"/>
    <col min="43" max="43" width="9.85546875" style="10" customWidth="1" collapsed="1"/>
    <col min="44" max="47" width="9.85546875" style="10" hidden="1" customWidth="1" outlineLevel="1"/>
    <col min="48" max="48" width="9.85546875" style="10" customWidth="1" collapsed="1"/>
    <col min="49" max="52" width="9.85546875" style="10" hidden="1" customWidth="1" outlineLevel="1"/>
    <col min="53" max="53" width="9.85546875" style="10" customWidth="1" collapsed="1"/>
    <col min="54" max="57" width="9.85546875" style="10" hidden="1" customWidth="1" outlineLevel="1"/>
    <col min="58" max="58" width="9.85546875" style="10" customWidth="1" collapsed="1"/>
    <col min="59" max="62" width="9.85546875" style="10" hidden="1" customWidth="1" outlineLevel="1"/>
    <col min="63" max="63" width="9.85546875" style="10" customWidth="1" collapsed="1"/>
    <col min="64" max="67" width="9.85546875" style="10" hidden="1" customWidth="1" outlineLevel="1"/>
    <col min="68" max="68" width="9.85546875" style="10" customWidth="1" collapsed="1"/>
    <col min="69" max="72" width="9.85546875" style="10" hidden="1" customWidth="1" outlineLevel="1"/>
    <col min="73" max="73" width="9.85546875" style="10" customWidth="1" collapsed="1"/>
    <col min="74" max="77" width="9.85546875" style="10" hidden="1" customWidth="1" outlineLevel="1"/>
    <col min="78" max="78" width="9.85546875" style="10" customWidth="1" collapsed="1"/>
    <col min="79" max="82" width="9.85546875" style="10" hidden="1" customWidth="1" outlineLevel="1"/>
    <col min="83" max="83" width="9.85546875" style="10" customWidth="1" collapsed="1"/>
    <col min="84" max="87" width="9.85546875" style="10" hidden="1" customWidth="1" outlineLevel="1"/>
    <col min="88" max="88" width="9.85546875" style="10" customWidth="1" collapsed="1"/>
    <col min="89" max="92" width="9.85546875" style="10" hidden="1" customWidth="1" outlineLevel="1"/>
    <col min="93" max="93" width="9.85546875" style="10" customWidth="1" collapsed="1"/>
    <col min="94" max="97" width="9.85546875" style="10" customWidth="1" outlineLevel="1"/>
    <col min="98" max="98" width="9.85546875" style="10" customWidth="1"/>
    <col min="99" max="102" width="9.85546875" style="10" customWidth="1" outlineLevel="1"/>
    <col min="103" max="103" width="9.85546875" style="10" customWidth="1"/>
    <col min="104" max="107" width="9.85546875" style="10" customWidth="1" outlineLevel="1"/>
    <col min="108" max="108" width="9.85546875" style="10" customWidth="1"/>
    <col min="109" max="112" width="9.85546875" style="10" customWidth="1" outlineLevel="1"/>
    <col min="113" max="113" width="9.85546875" style="10" customWidth="1"/>
    <col min="114" max="114" width="9.140625" style="5"/>
    <col min="115" max="116" width="10.42578125" style="5" bestFit="1" customWidth="1"/>
    <col min="117" max="120" width="9.140625" style="5"/>
    <col min="121" max="121" width="15.5703125" style="5" customWidth="1"/>
    <col min="122" max="122" width="11.140625" style="5" customWidth="1"/>
    <col min="123" max="123" width="12" style="5" customWidth="1"/>
    <col min="124" max="124" width="12.140625" style="5" customWidth="1"/>
    <col min="125" max="131" width="9.140625" style="5"/>
    <col min="132" max="132" width="10.5703125" style="5" bestFit="1" customWidth="1"/>
    <col min="133" max="16384" width="9.140625" style="5"/>
  </cols>
  <sheetData>
    <row r="1" spans="1:121" ht="12.75" customHeight="1">
      <c r="A1" s="320"/>
      <c r="B1" s="66" t="s">
        <v>75</v>
      </c>
      <c r="C1" s="66"/>
      <c r="D1" s="66"/>
      <c r="E1" s="66"/>
      <c r="F1" s="66"/>
      <c r="G1" s="66"/>
      <c r="H1" s="66"/>
      <c r="I1" s="66"/>
      <c r="J1" s="66"/>
      <c r="K1" s="67"/>
      <c r="L1" s="67"/>
      <c r="M1" s="67"/>
      <c r="N1" s="67"/>
      <c r="O1" s="67"/>
      <c r="P1" s="68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8"/>
      <c r="AR1" s="68"/>
      <c r="AS1" s="68"/>
      <c r="AT1" s="68"/>
      <c r="AU1" s="68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70"/>
      <c r="BL1" s="67"/>
      <c r="BM1" s="204"/>
      <c r="BN1" s="204"/>
      <c r="BO1" s="67"/>
      <c r="BP1" s="70"/>
      <c r="BQ1" s="67"/>
      <c r="BR1" s="67"/>
      <c r="BS1" s="67"/>
      <c r="BT1" s="67"/>
      <c r="BU1" s="70"/>
      <c r="BV1" s="67"/>
      <c r="BW1" s="67"/>
      <c r="BX1" s="67"/>
      <c r="BY1" s="67"/>
      <c r="BZ1" s="70"/>
      <c r="CA1" s="67"/>
      <c r="CB1" s="67"/>
      <c r="CC1" s="67"/>
      <c r="CD1" s="67"/>
      <c r="CE1" s="70"/>
      <c r="CF1" s="67"/>
      <c r="CG1" s="67"/>
      <c r="CH1" s="67"/>
      <c r="CI1" s="67"/>
      <c r="CJ1" s="70"/>
      <c r="CK1" s="67"/>
      <c r="CL1" s="67"/>
      <c r="CM1" s="67"/>
      <c r="CN1" s="67"/>
      <c r="CO1" s="70"/>
      <c r="CP1" s="67"/>
      <c r="CQ1" s="67"/>
      <c r="CR1" s="67"/>
      <c r="CS1" s="67"/>
      <c r="CT1" s="70"/>
      <c r="CU1" s="67"/>
      <c r="CV1" s="67"/>
      <c r="CW1" s="67"/>
      <c r="CX1" s="67"/>
      <c r="CY1" s="70"/>
      <c r="CZ1" s="67"/>
      <c r="DA1" s="67"/>
      <c r="DB1" s="67"/>
      <c r="DC1" s="67"/>
      <c r="DD1" s="70"/>
      <c r="DE1" s="67"/>
      <c r="DF1" s="67"/>
      <c r="DG1" s="67"/>
      <c r="DH1" s="67"/>
      <c r="DI1" s="70"/>
    </row>
    <row r="2" spans="1:121" ht="12" customHeight="1">
      <c r="B2" s="67" t="s">
        <v>229</v>
      </c>
      <c r="C2" s="69"/>
      <c r="D2" s="69"/>
      <c r="E2" s="69"/>
      <c r="F2" s="69"/>
      <c r="G2" s="69"/>
      <c r="H2" s="69"/>
      <c r="I2" s="69"/>
      <c r="J2" s="69"/>
      <c r="K2" s="67"/>
      <c r="L2" s="67"/>
      <c r="M2" s="67"/>
      <c r="N2" s="67"/>
      <c r="O2" s="67"/>
      <c r="P2" s="68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70"/>
      <c r="BB2" s="105"/>
      <c r="BC2" s="106"/>
      <c r="BD2" s="106"/>
      <c r="BE2" s="175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6"/>
      <c r="CN2" s="176"/>
      <c r="CO2" s="176"/>
      <c r="CP2" s="176"/>
      <c r="CQ2" s="176"/>
      <c r="CR2" s="176"/>
      <c r="CS2" s="176"/>
      <c r="CT2" s="176"/>
      <c r="CU2" s="176"/>
      <c r="CV2" s="176"/>
      <c r="CW2" s="176"/>
      <c r="CX2" s="176"/>
      <c r="CY2" s="176"/>
      <c r="CZ2" s="176"/>
      <c r="DA2" s="176"/>
      <c r="DB2" s="176"/>
      <c r="DC2" s="176"/>
      <c r="DD2" s="176"/>
      <c r="DE2" s="176"/>
      <c r="DF2" s="176"/>
      <c r="DG2" s="176"/>
      <c r="DH2" s="176"/>
      <c r="DI2" s="176"/>
    </row>
    <row r="3" spans="1:121" ht="12" customHeight="1">
      <c r="B3" s="67" t="s">
        <v>78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7"/>
      <c r="AM3" s="67"/>
      <c r="AN3" s="67"/>
      <c r="AO3" s="67"/>
      <c r="AP3" s="67"/>
      <c r="AQ3" s="68"/>
      <c r="AR3" s="68"/>
      <c r="AS3" s="68"/>
      <c r="AT3" s="68"/>
      <c r="AU3" s="68"/>
      <c r="AV3" s="67"/>
      <c r="AW3" s="67"/>
      <c r="AX3" s="67"/>
      <c r="AY3" s="67"/>
      <c r="AZ3" s="67"/>
      <c r="BA3" s="67"/>
      <c r="BB3" s="68"/>
      <c r="BC3" s="68"/>
      <c r="BD3" s="68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  <c r="DI3" s="181"/>
    </row>
    <row r="4" spans="1:121" ht="12" customHeight="1"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195"/>
      <c r="P4" s="195"/>
      <c r="Q4" s="195"/>
      <c r="R4" s="71"/>
      <c r="S4" s="71"/>
      <c r="T4" s="71"/>
      <c r="U4" s="71"/>
      <c r="V4" s="195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  <c r="CY4" s="71"/>
      <c r="CZ4" s="71"/>
      <c r="DA4" s="71"/>
      <c r="DB4" s="71"/>
      <c r="DC4" s="71"/>
      <c r="DD4" s="71"/>
      <c r="DE4" s="71"/>
      <c r="DF4" s="71"/>
      <c r="DG4" s="71"/>
      <c r="DH4" s="71"/>
      <c r="DI4" s="71"/>
    </row>
    <row r="5" spans="1:121" ht="12" customHeight="1">
      <c r="A5" s="8"/>
      <c r="B5" s="264"/>
      <c r="C5" s="34">
        <v>35216</v>
      </c>
      <c r="D5" s="34">
        <v>35581</v>
      </c>
      <c r="E5" s="34">
        <v>35946</v>
      </c>
      <c r="F5" s="34">
        <v>36311</v>
      </c>
      <c r="G5" s="34">
        <v>36677</v>
      </c>
      <c r="H5" s="34">
        <v>37042</v>
      </c>
      <c r="I5" s="34">
        <v>37407</v>
      </c>
      <c r="J5" s="34">
        <v>37772</v>
      </c>
      <c r="K5" s="34">
        <v>38138</v>
      </c>
      <c r="L5" s="34">
        <v>38503</v>
      </c>
      <c r="M5" s="34">
        <v>38868</v>
      </c>
      <c r="N5" s="34">
        <v>39233</v>
      </c>
      <c r="O5" s="34">
        <v>39599</v>
      </c>
      <c r="P5" s="34">
        <v>39964</v>
      </c>
      <c r="Q5" s="34">
        <v>40329</v>
      </c>
      <c r="R5" s="35">
        <v>40421</v>
      </c>
      <c r="S5" s="35">
        <v>40512</v>
      </c>
      <c r="T5" s="35">
        <v>40602</v>
      </c>
      <c r="U5" s="35">
        <v>40694</v>
      </c>
      <c r="V5" s="34">
        <v>40694</v>
      </c>
      <c r="W5" s="35">
        <v>40786</v>
      </c>
      <c r="X5" s="35">
        <v>40877</v>
      </c>
      <c r="Y5" s="35">
        <v>40968</v>
      </c>
      <c r="Z5" s="35">
        <v>41060</v>
      </c>
      <c r="AA5" s="34">
        <v>41060</v>
      </c>
      <c r="AB5" s="34">
        <v>41060</v>
      </c>
      <c r="AC5" s="35">
        <v>41152</v>
      </c>
      <c r="AD5" s="35">
        <v>41243</v>
      </c>
      <c r="AE5" s="35">
        <v>41333</v>
      </c>
      <c r="AF5" s="35">
        <v>41425</v>
      </c>
      <c r="AG5" s="34">
        <v>41425</v>
      </c>
      <c r="AH5" s="35">
        <v>41517</v>
      </c>
      <c r="AI5" s="35">
        <v>41608</v>
      </c>
      <c r="AJ5" s="35">
        <v>41698</v>
      </c>
      <c r="AK5" s="35">
        <v>41790</v>
      </c>
      <c r="AL5" s="34">
        <v>41790</v>
      </c>
      <c r="AM5" s="35">
        <v>41882</v>
      </c>
      <c r="AN5" s="35">
        <v>41973</v>
      </c>
      <c r="AO5" s="35">
        <v>42063</v>
      </c>
      <c r="AP5" s="35">
        <v>42155</v>
      </c>
      <c r="AQ5" s="34">
        <v>42155</v>
      </c>
      <c r="AR5" s="35">
        <v>42247</v>
      </c>
      <c r="AS5" s="35">
        <v>42338</v>
      </c>
      <c r="AT5" s="35">
        <v>42429</v>
      </c>
      <c r="AU5" s="35">
        <v>42521</v>
      </c>
      <c r="AV5" s="34">
        <v>42521</v>
      </c>
      <c r="AW5" s="35">
        <v>42613</v>
      </c>
      <c r="AX5" s="35">
        <v>42704</v>
      </c>
      <c r="AY5" s="35">
        <v>42794</v>
      </c>
      <c r="AZ5" s="35">
        <v>42886</v>
      </c>
      <c r="BA5" s="34">
        <v>42886</v>
      </c>
      <c r="BB5" s="35">
        <v>42978</v>
      </c>
      <c r="BC5" s="35">
        <v>43069</v>
      </c>
      <c r="BD5" s="35">
        <v>43159</v>
      </c>
      <c r="BE5" s="35">
        <v>43251</v>
      </c>
      <c r="BF5" s="34">
        <v>43251</v>
      </c>
      <c r="BG5" s="35">
        <v>43343</v>
      </c>
      <c r="BH5" s="35">
        <v>43434</v>
      </c>
      <c r="BI5" s="35">
        <v>43524</v>
      </c>
      <c r="BJ5" s="35">
        <v>43616</v>
      </c>
      <c r="BK5" s="34">
        <v>43616</v>
      </c>
      <c r="BL5" s="35">
        <v>43708</v>
      </c>
      <c r="BM5" s="35">
        <v>43799</v>
      </c>
      <c r="BN5" s="35">
        <v>43890</v>
      </c>
      <c r="BO5" s="35">
        <v>43982</v>
      </c>
      <c r="BP5" s="34">
        <v>43982</v>
      </c>
      <c r="BQ5" s="35">
        <v>44074</v>
      </c>
      <c r="BR5" s="35">
        <v>44165</v>
      </c>
      <c r="BS5" s="35">
        <v>44255</v>
      </c>
      <c r="BT5" s="35">
        <v>44347</v>
      </c>
      <c r="BU5" s="34">
        <v>44347</v>
      </c>
      <c r="BV5" s="35">
        <v>44439</v>
      </c>
      <c r="BW5" s="35">
        <v>44530</v>
      </c>
      <c r="BX5" s="35">
        <v>44620</v>
      </c>
      <c r="BY5" s="35">
        <v>44712</v>
      </c>
      <c r="BZ5" s="34">
        <v>44712</v>
      </c>
      <c r="CA5" s="35">
        <v>44804</v>
      </c>
      <c r="CB5" s="35">
        <v>44895</v>
      </c>
      <c r="CC5" s="35">
        <v>44985</v>
      </c>
      <c r="CD5" s="35">
        <v>45077</v>
      </c>
      <c r="CE5" s="34">
        <v>45077</v>
      </c>
      <c r="CF5" s="35">
        <v>45169</v>
      </c>
      <c r="CG5" s="35">
        <v>45260</v>
      </c>
      <c r="CH5" s="35">
        <v>45350</v>
      </c>
      <c r="CI5" s="35">
        <v>45443</v>
      </c>
      <c r="CJ5" s="34">
        <v>45443</v>
      </c>
      <c r="CK5" s="35">
        <v>45535</v>
      </c>
      <c r="CL5" s="35">
        <v>45626</v>
      </c>
      <c r="CM5" s="35">
        <v>45716</v>
      </c>
      <c r="CN5" s="35">
        <v>45808</v>
      </c>
      <c r="CO5" s="34">
        <v>45808</v>
      </c>
      <c r="CP5" s="35">
        <v>45900</v>
      </c>
      <c r="CQ5" s="35">
        <v>45991</v>
      </c>
      <c r="CR5" s="35">
        <v>46081</v>
      </c>
      <c r="CS5" s="35">
        <v>46173</v>
      </c>
      <c r="CT5" s="34">
        <v>46173</v>
      </c>
      <c r="CU5" s="35">
        <v>46265</v>
      </c>
      <c r="CV5" s="35">
        <v>46356</v>
      </c>
      <c r="CW5" s="35">
        <v>46446</v>
      </c>
      <c r="CX5" s="35">
        <v>46538</v>
      </c>
      <c r="CY5" s="34">
        <v>46538</v>
      </c>
      <c r="CZ5" s="35">
        <v>46630</v>
      </c>
      <c r="DA5" s="35">
        <v>46721</v>
      </c>
      <c r="DB5" s="35">
        <v>46811</v>
      </c>
      <c r="DC5" s="35">
        <v>46904</v>
      </c>
      <c r="DD5" s="34">
        <v>46904</v>
      </c>
      <c r="DE5" s="35">
        <f>DD5+91</f>
        <v>46995</v>
      </c>
      <c r="DF5" s="35">
        <f t="shared" ref="DF5:DH5" si="0">DE5+91</f>
        <v>47086</v>
      </c>
      <c r="DG5" s="35">
        <f t="shared" si="0"/>
        <v>47177</v>
      </c>
      <c r="DH5" s="35">
        <f t="shared" si="0"/>
        <v>47268</v>
      </c>
      <c r="DI5" s="34">
        <v>46904</v>
      </c>
    </row>
    <row r="6" spans="1:121" ht="12" customHeight="1">
      <c r="A6" s="8"/>
      <c r="B6" s="295"/>
      <c r="C6" s="296">
        <v>1996</v>
      </c>
      <c r="D6" s="296">
        <v>1997</v>
      </c>
      <c r="E6" s="296">
        <v>1998</v>
      </c>
      <c r="F6" s="296">
        <v>1999</v>
      </c>
      <c r="G6" s="296">
        <v>2000</v>
      </c>
      <c r="H6" s="296">
        <v>2001</v>
      </c>
      <c r="I6" s="296">
        <v>2002</v>
      </c>
      <c r="J6" s="296">
        <v>2003</v>
      </c>
      <c r="K6" s="296">
        <v>2004</v>
      </c>
      <c r="L6" s="296">
        <v>2005</v>
      </c>
      <c r="M6" s="296">
        <v>2006</v>
      </c>
      <c r="N6" s="296">
        <v>2007</v>
      </c>
      <c r="O6" s="296">
        <v>2008</v>
      </c>
      <c r="P6" s="296">
        <v>2009</v>
      </c>
      <c r="Q6" s="296">
        <v>2010</v>
      </c>
      <c r="R6" s="297" t="s">
        <v>204</v>
      </c>
      <c r="S6" s="297" t="s">
        <v>205</v>
      </c>
      <c r="T6" s="297" t="s">
        <v>206</v>
      </c>
      <c r="U6" s="297" t="s">
        <v>207</v>
      </c>
      <c r="V6" s="296">
        <v>2011</v>
      </c>
      <c r="W6" s="297" t="s">
        <v>204</v>
      </c>
      <c r="X6" s="297" t="s">
        <v>205</v>
      </c>
      <c r="Y6" s="297" t="s">
        <v>206</v>
      </c>
      <c r="Z6" s="297" t="s">
        <v>207</v>
      </c>
      <c r="AA6" s="296">
        <v>2012</v>
      </c>
      <c r="AB6" s="296" t="s">
        <v>116</v>
      </c>
      <c r="AC6" s="297" t="s">
        <v>204</v>
      </c>
      <c r="AD6" s="297" t="s">
        <v>205</v>
      </c>
      <c r="AE6" s="297" t="s">
        <v>206</v>
      </c>
      <c r="AF6" s="297" t="s">
        <v>207</v>
      </c>
      <c r="AG6" s="296">
        <v>2013</v>
      </c>
      <c r="AH6" s="297" t="s">
        <v>204</v>
      </c>
      <c r="AI6" s="297" t="s">
        <v>205</v>
      </c>
      <c r="AJ6" s="297" t="s">
        <v>206</v>
      </c>
      <c r="AK6" s="297" t="s">
        <v>207</v>
      </c>
      <c r="AL6" s="296">
        <v>2014</v>
      </c>
      <c r="AM6" s="297" t="s">
        <v>204</v>
      </c>
      <c r="AN6" s="297" t="s">
        <v>205</v>
      </c>
      <c r="AO6" s="297" t="s">
        <v>206</v>
      </c>
      <c r="AP6" s="297" t="s">
        <v>207</v>
      </c>
      <c r="AQ6" s="296">
        <v>2015</v>
      </c>
      <c r="AR6" s="297" t="s">
        <v>204</v>
      </c>
      <c r="AS6" s="297" t="s">
        <v>205</v>
      </c>
      <c r="AT6" s="297" t="s">
        <v>206</v>
      </c>
      <c r="AU6" s="297" t="s">
        <v>207</v>
      </c>
      <c r="AV6" s="296">
        <v>2016</v>
      </c>
      <c r="AW6" s="297" t="s">
        <v>204</v>
      </c>
      <c r="AX6" s="297" t="s">
        <v>205</v>
      </c>
      <c r="AY6" s="297" t="s">
        <v>206</v>
      </c>
      <c r="AZ6" s="297" t="s">
        <v>207</v>
      </c>
      <c r="BA6" s="296">
        <v>2017</v>
      </c>
      <c r="BB6" s="297" t="s">
        <v>204</v>
      </c>
      <c r="BC6" s="297" t="s">
        <v>205</v>
      </c>
      <c r="BD6" s="297" t="s">
        <v>206</v>
      </c>
      <c r="BE6" s="297" t="s">
        <v>207</v>
      </c>
      <c r="BF6" s="296">
        <v>2018</v>
      </c>
      <c r="BG6" s="297" t="s">
        <v>204</v>
      </c>
      <c r="BH6" s="297" t="s">
        <v>205</v>
      </c>
      <c r="BI6" s="297" t="s">
        <v>206</v>
      </c>
      <c r="BJ6" s="297" t="s">
        <v>207</v>
      </c>
      <c r="BK6" s="296">
        <v>2019</v>
      </c>
      <c r="BL6" s="297" t="s">
        <v>204</v>
      </c>
      <c r="BM6" s="297" t="s">
        <v>205</v>
      </c>
      <c r="BN6" s="297" t="s">
        <v>206</v>
      </c>
      <c r="BO6" s="297" t="s">
        <v>207</v>
      </c>
      <c r="BP6" s="296">
        <v>2020</v>
      </c>
      <c r="BQ6" s="297" t="s">
        <v>204</v>
      </c>
      <c r="BR6" s="297" t="s">
        <v>205</v>
      </c>
      <c r="BS6" s="297" t="s">
        <v>206</v>
      </c>
      <c r="BT6" s="297" t="s">
        <v>207</v>
      </c>
      <c r="BU6" s="296">
        <v>2021</v>
      </c>
      <c r="BV6" s="297" t="s">
        <v>204</v>
      </c>
      <c r="BW6" s="297" t="s">
        <v>205</v>
      </c>
      <c r="BX6" s="297" t="s">
        <v>206</v>
      </c>
      <c r="BY6" s="297" t="s">
        <v>207</v>
      </c>
      <c r="BZ6" s="296">
        <v>2022</v>
      </c>
      <c r="CA6" s="297" t="s">
        <v>204</v>
      </c>
      <c r="CB6" s="297" t="s">
        <v>205</v>
      </c>
      <c r="CC6" s="297" t="s">
        <v>206</v>
      </c>
      <c r="CD6" s="297" t="s">
        <v>207</v>
      </c>
      <c r="CE6" s="296">
        <v>2023</v>
      </c>
      <c r="CF6" s="297" t="s">
        <v>204</v>
      </c>
      <c r="CG6" s="297" t="s">
        <v>205</v>
      </c>
      <c r="CH6" s="297" t="s">
        <v>206</v>
      </c>
      <c r="CI6" s="297" t="s">
        <v>207</v>
      </c>
      <c r="CJ6" s="296">
        <v>2024</v>
      </c>
      <c r="CK6" s="297" t="s">
        <v>204</v>
      </c>
      <c r="CL6" s="297" t="s">
        <v>205</v>
      </c>
      <c r="CM6" s="297" t="s">
        <v>206</v>
      </c>
      <c r="CN6" s="297" t="s">
        <v>207</v>
      </c>
      <c r="CO6" s="296">
        <v>2025</v>
      </c>
      <c r="CP6" s="297" t="s">
        <v>204</v>
      </c>
      <c r="CQ6" s="297" t="s">
        <v>205</v>
      </c>
      <c r="CR6" s="297" t="s">
        <v>206</v>
      </c>
      <c r="CS6" s="297" t="s">
        <v>207</v>
      </c>
      <c r="CT6" s="296">
        <v>2026</v>
      </c>
      <c r="CU6" s="297" t="s">
        <v>204</v>
      </c>
      <c r="CV6" s="297" t="s">
        <v>227</v>
      </c>
      <c r="CW6" s="297" t="s">
        <v>224</v>
      </c>
      <c r="CX6" s="297" t="s">
        <v>225</v>
      </c>
      <c r="CY6" s="296" t="s">
        <v>293</v>
      </c>
      <c r="CZ6" s="297" t="s">
        <v>226</v>
      </c>
      <c r="DA6" s="297" t="s">
        <v>227</v>
      </c>
      <c r="DB6" s="297" t="s">
        <v>224</v>
      </c>
      <c r="DC6" s="297" t="s">
        <v>225</v>
      </c>
      <c r="DD6" s="296" t="s">
        <v>294</v>
      </c>
      <c r="DE6" s="297" t="s">
        <v>226</v>
      </c>
      <c r="DF6" s="297" t="s">
        <v>227</v>
      </c>
      <c r="DG6" s="297" t="s">
        <v>224</v>
      </c>
      <c r="DH6" s="297" t="s">
        <v>225</v>
      </c>
      <c r="DI6" s="296" t="s">
        <v>327</v>
      </c>
    </row>
    <row r="7" spans="1:121" ht="12" customHeight="1">
      <c r="A7" s="5"/>
      <c r="B7" s="78" t="s">
        <v>228</v>
      </c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14"/>
      <c r="CW7" s="214"/>
      <c r="CX7" s="214"/>
      <c r="CY7" s="299"/>
      <c r="CZ7" s="214"/>
      <c r="DA7" s="214"/>
      <c r="DB7" s="214"/>
      <c r="DC7" s="214"/>
      <c r="DD7" s="299"/>
      <c r="DE7" s="214"/>
      <c r="DF7" s="214"/>
      <c r="DG7" s="214"/>
      <c r="DH7" s="214"/>
      <c r="DI7" s="299"/>
    </row>
    <row r="8" spans="1:121" ht="12" customHeight="1">
      <c r="A8" s="5"/>
      <c r="B8" s="73" t="s">
        <v>13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183"/>
      <c r="DQ8" s="180"/>
    </row>
    <row r="9" spans="1:121" s="7" customFormat="1" ht="12" customHeight="1">
      <c r="A9" s="239"/>
      <c r="B9" s="20" t="s">
        <v>87</v>
      </c>
      <c r="C9" s="358">
        <v>3615.0619999999999</v>
      </c>
      <c r="D9" s="359">
        <v>5201.6239999999998</v>
      </c>
      <c r="E9" s="358">
        <v>5139.4120000000003</v>
      </c>
      <c r="F9" s="359">
        <v>4750.7109999999993</v>
      </c>
      <c r="G9" s="358">
        <v>4732.0730000000003</v>
      </c>
      <c r="H9" s="359">
        <v>4819</v>
      </c>
      <c r="I9" s="358">
        <v>4669.6000000000004</v>
      </c>
      <c r="J9" s="359">
        <v>4658.5</v>
      </c>
      <c r="K9" s="358">
        <v>4786.2999999999993</v>
      </c>
      <c r="L9" s="359">
        <v>5129.2999999999993</v>
      </c>
      <c r="M9" s="358">
        <v>5722.5</v>
      </c>
      <c r="N9" s="359">
        <v>6107.0999999999995</v>
      </c>
      <c r="O9" s="359">
        <v>6414.5</v>
      </c>
      <c r="P9" s="39">
        <f>P31</f>
        <v>6778.3</v>
      </c>
      <c r="Q9" s="40">
        <f>Q31</f>
        <v>6696</v>
      </c>
      <c r="R9" s="39">
        <f>+'3. Segment Analysis'!R9</f>
        <v>1903</v>
      </c>
      <c r="S9" s="39">
        <f>+'3. Segment Analysis'!S9</f>
        <v>1701</v>
      </c>
      <c r="T9" s="39">
        <f>+'3. Segment Analysis'!T9</f>
        <v>1836</v>
      </c>
      <c r="U9" s="39">
        <f>+'3. Segment Analysis'!U9</f>
        <v>2139</v>
      </c>
      <c r="V9" s="40">
        <f>+'3. Segment Analysis'!V9</f>
        <v>7579</v>
      </c>
      <c r="W9" s="39">
        <f>+'3. Segment Analysis'!W9</f>
        <v>2200</v>
      </c>
      <c r="X9" s="39">
        <f>+'3. Segment Analysis'!X9</f>
        <v>2066</v>
      </c>
      <c r="Y9" s="39">
        <f>+'3. Segment Analysis'!Y9</f>
        <v>2149</v>
      </c>
      <c r="Z9" s="39">
        <f>+'3. Segment Analysis'!Z9</f>
        <v>2424</v>
      </c>
      <c r="AA9" s="40">
        <f>+'3. Segment Analysis'!AA9</f>
        <v>8839</v>
      </c>
      <c r="AB9" s="36">
        <f>AA9</f>
        <v>8839</v>
      </c>
      <c r="AC9" s="39">
        <f>+'3. Segment Analysis'!AC9</f>
        <v>2866</v>
      </c>
      <c r="AD9" s="39">
        <f>+'3. Segment Analysis'!AD9</f>
        <v>2564</v>
      </c>
      <c r="AE9" s="39">
        <f>+'3. Segment Analysis'!AE9</f>
        <v>2737</v>
      </c>
      <c r="AF9" s="39">
        <f>+'3. Segment Analysis'!AF9</f>
        <v>2991</v>
      </c>
      <c r="AG9" s="40">
        <f>+'3. Segment Analysis'!AG9</f>
        <v>11158</v>
      </c>
      <c r="AH9" s="39">
        <f>+'3. Segment Analysis'!AH9</f>
        <v>3135</v>
      </c>
      <c r="AI9" s="39">
        <f>+'3. Segment Analysis'!AI9</f>
        <v>2801</v>
      </c>
      <c r="AJ9" s="39">
        <f>+'3. Segment Analysis'!AJ9</f>
        <v>3069</v>
      </c>
      <c r="AK9" s="39">
        <f>+'3. Segment Analysis'!AK9</f>
        <v>3294</v>
      </c>
      <c r="AL9" s="40">
        <f>+'3. Segment Analysis'!AL9</f>
        <v>12299</v>
      </c>
      <c r="AM9" s="43">
        <f>+'3. Segment Analysis'!AM9</f>
        <v>3513</v>
      </c>
      <c r="AN9" s="43">
        <f>+'3. Segment Analysis'!AN9</f>
        <v>3241</v>
      </c>
      <c r="AO9" s="43">
        <f>+'3. Segment Analysis'!AO9</f>
        <v>3254</v>
      </c>
      <c r="AP9" s="43">
        <f>+'3. Segment Analysis'!AP9</f>
        <v>3732</v>
      </c>
      <c r="AQ9" s="40">
        <f>+'3. Segment Analysis'!AQ9</f>
        <v>13740</v>
      </c>
      <c r="AR9" s="43">
        <f>+'3. Segment Analysis'!AR9</f>
        <v>3799</v>
      </c>
      <c r="AS9" s="43">
        <f>+'3. Segment Analysis'!AS9</f>
        <v>3547</v>
      </c>
      <c r="AT9" s="43">
        <f>+'3. Segment Analysis'!AT9</f>
        <v>3683</v>
      </c>
      <c r="AU9" s="43">
        <f>+'3. Segment Analysis'!AU9</f>
        <v>3735</v>
      </c>
      <c r="AV9" s="36">
        <f>+'3. Segment Analysis'!AV9</f>
        <v>14764</v>
      </c>
      <c r="AW9" s="43">
        <f>+'3. Segment Analysis'!AW9</f>
        <v>4031</v>
      </c>
      <c r="AX9" s="43">
        <f>+'3. Segment Analysis'!AX9</f>
        <v>3650</v>
      </c>
      <c r="AY9" s="43">
        <f>+'3. Segment Analysis'!AY9</f>
        <v>3782</v>
      </c>
      <c r="AZ9" s="43">
        <f>+'3. Segment Analysis'!AZ9</f>
        <v>3753</v>
      </c>
      <c r="BA9" s="36">
        <f>+'3. Segment Analysis'!BA9</f>
        <v>15216</v>
      </c>
      <c r="BB9" s="43">
        <f>+'3. Segment Analysis'!BB9</f>
        <v>3924</v>
      </c>
      <c r="BC9" s="43">
        <f>+'3. Segment Analysis'!BC9</f>
        <v>3485</v>
      </c>
      <c r="BD9" s="43">
        <f>+'3. Segment Analysis'!BD9</f>
        <v>3571</v>
      </c>
      <c r="BE9" s="43">
        <f>+'3. Segment Analysis'!BE9</f>
        <v>3875</v>
      </c>
      <c r="BF9" s="36">
        <f>+'3. Segment Analysis'!BF9</f>
        <v>14855</v>
      </c>
      <c r="BG9" s="43">
        <f>+'3. Segment Analysis'!BG9</f>
        <v>4145</v>
      </c>
      <c r="BH9" s="43">
        <f>+'3. Segment Analysis'!BH9</f>
        <v>3782</v>
      </c>
      <c r="BI9" s="43">
        <f>+'3. Segment Analysis'!BI9</f>
        <v>3810</v>
      </c>
      <c r="BJ9" s="43">
        <f>+'3. Segment Analysis'!BJ9</f>
        <v>4165</v>
      </c>
      <c r="BK9" s="36">
        <f>+'3. Segment Analysis'!BK9</f>
        <v>15902</v>
      </c>
      <c r="BL9" s="43">
        <f>+'3. Segment Analysis'!BL9</f>
        <v>4293</v>
      </c>
      <c r="BM9" s="43">
        <f>+'3. Segment Analysis'!BM9</f>
        <v>3982</v>
      </c>
      <c r="BN9" s="43">
        <f>+'3. Segment Analysis'!BN9</f>
        <v>3979</v>
      </c>
      <c r="BO9" s="43">
        <f>+'3. Segment Analysis'!BO9</f>
        <v>2230</v>
      </c>
      <c r="BP9" s="36">
        <f>+'3. Segment Analysis'!BP9</f>
        <v>14484</v>
      </c>
      <c r="BQ9" s="43">
        <f>+'3. Segment Analysis'!BQ9</f>
        <v>4225</v>
      </c>
      <c r="BR9" s="43">
        <f>+'3. Segment Analysis'!BR9</f>
        <v>4006</v>
      </c>
      <c r="BS9" s="43">
        <f>+'3. Segment Analysis'!BS9</f>
        <v>3564</v>
      </c>
      <c r="BT9" s="43">
        <f>+'3. Segment Analysis'!BT9</f>
        <v>5384</v>
      </c>
      <c r="BU9" s="36">
        <f>+'3. Segment Analysis'!BU9</f>
        <v>17179</v>
      </c>
      <c r="BV9" s="43">
        <f>+'3. Segment Analysis'!BV9</f>
        <v>4879</v>
      </c>
      <c r="BW9" s="43">
        <f>+'3. Segment Analysis'!BW9</f>
        <v>4477</v>
      </c>
      <c r="BX9" s="43">
        <f>+'3. Segment Analysis'!BX9</f>
        <v>3882</v>
      </c>
      <c r="BY9" s="43">
        <f>+'3. Segment Analysis'!BY9</f>
        <v>5115</v>
      </c>
      <c r="BZ9" s="36">
        <f>+'3. Segment Analysis'!BZ9</f>
        <v>18353</v>
      </c>
      <c r="CA9" s="43">
        <f>+'3. Segment Analysis'!CA9</f>
        <v>5510</v>
      </c>
      <c r="CB9" s="43">
        <f>+'3. Segment Analysis'!CB9</f>
        <v>5830</v>
      </c>
      <c r="CC9" s="43">
        <f>+'3. Segment Analysis'!CC9</f>
        <v>4913</v>
      </c>
      <c r="CD9" s="43">
        <f>+'3. Segment Analysis'!CD9</f>
        <v>5355</v>
      </c>
      <c r="CE9" s="36">
        <f>+'3. Segment Analysis'!CE9</f>
        <v>21608</v>
      </c>
      <c r="CF9" s="43">
        <f>+'3. Segment Analysis'!CF9</f>
        <v>5423</v>
      </c>
      <c r="CG9" s="43">
        <f>+'3. Segment Analysis'!CG9</f>
        <v>5625</v>
      </c>
      <c r="CH9" s="43">
        <f>+'3. Segment Analysis'!CH9</f>
        <v>5070</v>
      </c>
      <c r="CI9" s="43">
        <f>+'3. Segment Analysis'!CI9</f>
        <v>5278</v>
      </c>
      <c r="CJ9" s="36">
        <f>+'3. Segment Analysis'!CJ9</f>
        <v>21396</v>
      </c>
      <c r="CK9" s="43">
        <f>+'3. Segment Analysis'!CK9</f>
        <v>4826</v>
      </c>
      <c r="CL9" s="43">
        <f>+'3. Segment Analysis'!CL9</f>
        <v>5179</v>
      </c>
      <c r="CM9" s="43">
        <f>+'3. Segment Analysis'!CM9</f>
        <v>4864</v>
      </c>
      <c r="CN9" s="43">
        <f>+'3. Segment Analysis'!CN9</f>
        <v>4703</v>
      </c>
      <c r="CO9" s="36">
        <f>+'3. Segment Analysis'!CO9</f>
        <v>19572</v>
      </c>
      <c r="CP9" s="43">
        <f>+'3. Segment Analysis'!CP9</f>
        <v>5020</v>
      </c>
      <c r="CQ9" s="43">
        <f>+'3. Segment Analysis'!CQ9</f>
        <v>5633</v>
      </c>
      <c r="CR9" s="43">
        <f>+'3. Segment Analysis'!CR9</f>
        <v>5026</v>
      </c>
      <c r="CS9" s="43">
        <f>+'3. Segment Analysis'!CS9</f>
        <v>4832</v>
      </c>
      <c r="CT9" s="36">
        <f>+'3. Segment Analysis'!CT9</f>
        <v>20511</v>
      </c>
      <c r="CU9" s="43">
        <f>+'3. Segment Analysis'!CU9</f>
        <v>5127</v>
      </c>
      <c r="CV9" s="43">
        <f>+'3. Segment Analysis'!CV9</f>
        <v>5050.9340099999999</v>
      </c>
      <c r="CW9" s="43">
        <f>+'3. Segment Analysis'!CW9</f>
        <v>4799.0825999999988</v>
      </c>
      <c r="CX9" s="43">
        <f>+'3. Segment Analysis'!CX9</f>
        <v>4509.502919999999</v>
      </c>
      <c r="CY9" s="36">
        <f>+'3. Segment Analysis'!CY9</f>
        <v>19486.519529999998</v>
      </c>
      <c r="CZ9" s="43">
        <f>+'3. Segment Analysis'!CZ9</f>
        <v>4775.4098099999992</v>
      </c>
      <c r="DA9" s="43">
        <f>+'3. Segment Analysis'!DA9</f>
        <v>4837.1291288999982</v>
      </c>
      <c r="DB9" s="43">
        <f>+'3. Segment Analysis'!DB9</f>
        <v>4671.5671419999981</v>
      </c>
      <c r="DC9" s="43">
        <f>+'3. Segment Analysis'!DC9</f>
        <v>4389.3339395999983</v>
      </c>
      <c r="DD9" s="36">
        <f>+'3. Segment Analysis'!DD9</f>
        <v>18673.440020499995</v>
      </c>
      <c r="DE9" s="43">
        <f>+'3. Segment Analysis'!DE9</f>
        <v>4775.4098099999992</v>
      </c>
      <c r="DF9" s="43">
        <f>+'3. Segment Analysis'!DF9</f>
        <v>4837.1291288999982</v>
      </c>
      <c r="DG9" s="43">
        <f>+'3. Segment Analysis'!DG9</f>
        <v>4671.5671419999981</v>
      </c>
      <c r="DH9" s="43">
        <f>+'3. Segment Analysis'!DH9</f>
        <v>4389.3339395999983</v>
      </c>
      <c r="DI9" s="36">
        <f>+'3. Segment Analysis'!DI9</f>
        <v>18673.440020499995</v>
      </c>
      <c r="DQ9" s="292"/>
    </row>
    <row r="10" spans="1:121" s="7" customFormat="1" ht="12" customHeight="1">
      <c r="A10" s="239"/>
      <c r="B10" s="20" t="s">
        <v>156</v>
      </c>
      <c r="C10" s="360" t="s">
        <v>1</v>
      </c>
      <c r="D10" s="361" t="s">
        <v>1</v>
      </c>
      <c r="E10" s="360" t="s">
        <v>1</v>
      </c>
      <c r="F10" s="361" t="s">
        <v>1</v>
      </c>
      <c r="G10" s="360" t="s">
        <v>1</v>
      </c>
      <c r="H10" s="361" t="s">
        <v>1</v>
      </c>
      <c r="I10" s="360" t="s">
        <v>1</v>
      </c>
      <c r="J10" s="361" t="s">
        <v>1</v>
      </c>
      <c r="K10" s="360" t="s">
        <v>1</v>
      </c>
      <c r="L10" s="361" t="s">
        <v>1</v>
      </c>
      <c r="M10" s="360" t="s">
        <v>1</v>
      </c>
      <c r="N10" s="361" t="s">
        <v>1</v>
      </c>
      <c r="O10" s="361" t="s">
        <v>1</v>
      </c>
      <c r="P10" s="39">
        <f>P32+P33</f>
        <v>5512.2999999999993</v>
      </c>
      <c r="Q10" s="40">
        <f>Q32+Q33</f>
        <v>5041.8999999999996</v>
      </c>
      <c r="R10" s="39">
        <f>+'3. Segment Analysis'!R10</f>
        <v>1335</v>
      </c>
      <c r="S10" s="39">
        <f>+'3. Segment Analysis'!S10</f>
        <v>1077</v>
      </c>
      <c r="T10" s="39">
        <f>+'3. Segment Analysis'!T10</f>
        <v>1175</v>
      </c>
      <c r="U10" s="39">
        <f>+'3. Segment Analysis'!U10</f>
        <v>1311</v>
      </c>
      <c r="V10" s="40">
        <f>+'3. Segment Analysis'!V10</f>
        <v>4898</v>
      </c>
      <c r="W10" s="39">
        <f>+'3. Segment Analysis'!W10</f>
        <v>1562</v>
      </c>
      <c r="X10" s="39">
        <f>+'3. Segment Analysis'!X10</f>
        <v>1176</v>
      </c>
      <c r="Y10" s="39">
        <f>+'3. Segment Analysis'!Y10</f>
        <v>1237</v>
      </c>
      <c r="Z10" s="39">
        <f>+'3. Segment Analysis'!Z10</f>
        <v>1369</v>
      </c>
      <c r="AA10" s="40">
        <f>+'3. Segment Analysis'!AA10</f>
        <v>5344</v>
      </c>
      <c r="AB10" s="36">
        <f>AA10</f>
        <v>5344</v>
      </c>
      <c r="AC10" s="39">
        <f>+'3. Segment Analysis'!AC10</f>
        <v>1503</v>
      </c>
      <c r="AD10" s="39">
        <f>+'3. Segment Analysis'!AD10</f>
        <v>1160</v>
      </c>
      <c r="AE10" s="39">
        <f>+'3. Segment Analysis'!AE10</f>
        <v>1360</v>
      </c>
      <c r="AF10" s="39">
        <f>+'3. Segment Analysis'!AF10</f>
        <v>1399</v>
      </c>
      <c r="AG10" s="40">
        <f>+'3. Segment Analysis'!AG10</f>
        <v>5422</v>
      </c>
      <c r="AH10" s="39">
        <f>+'3. Segment Analysis'!AH10</f>
        <v>1667</v>
      </c>
      <c r="AI10" s="39">
        <f>+'3. Segment Analysis'!AI10</f>
        <v>1369</v>
      </c>
      <c r="AJ10" s="39">
        <f>+'3. Segment Analysis'!AJ10</f>
        <v>1648</v>
      </c>
      <c r="AK10" s="39">
        <f>+'3. Segment Analysis'!AK10</f>
        <v>1682</v>
      </c>
      <c r="AL10" s="40">
        <f>+'3. Segment Analysis'!AL10</f>
        <v>6366</v>
      </c>
      <c r="AM10" s="43">
        <f>+'3. Segment Analysis'!AM10</f>
        <v>2106</v>
      </c>
      <c r="AN10" s="43">
        <f>+'3. Segment Analysis'!AN10</f>
        <v>1658</v>
      </c>
      <c r="AO10" s="43">
        <f>+'3. Segment Analysis'!AO10</f>
        <v>1735</v>
      </c>
      <c r="AP10" s="43">
        <f>+'3. Segment Analysis'!AP10</f>
        <v>1627</v>
      </c>
      <c r="AQ10" s="359">
        <f>+'3. Segment Analysis'!AQ10</f>
        <v>7126</v>
      </c>
      <c r="AR10" s="43">
        <f>+'3. Segment Analysis'!AR10</f>
        <v>2104</v>
      </c>
      <c r="AS10" s="43">
        <f>+'3. Segment Analysis'!AS10</f>
        <v>1707</v>
      </c>
      <c r="AT10" s="43">
        <f>+'3. Segment Analysis'!AT10</f>
        <v>1853</v>
      </c>
      <c r="AU10" s="43">
        <f>+'3. Segment Analysis'!AU10</f>
        <v>1904</v>
      </c>
      <c r="AV10" s="36">
        <f>+'3. Segment Analysis'!AV10</f>
        <v>7568</v>
      </c>
      <c r="AW10" s="43">
        <f>+'3. Segment Analysis'!AW10</f>
        <v>2262</v>
      </c>
      <c r="AX10" s="43">
        <f>+'3. Segment Analysis'!AX10</f>
        <v>1792</v>
      </c>
      <c r="AY10" s="43">
        <f>+'3. Segment Analysis'!AY10</f>
        <v>1925</v>
      </c>
      <c r="AZ10" s="43">
        <f>+'3. Segment Analysis'!AZ10</f>
        <v>1991</v>
      </c>
      <c r="BA10" s="36">
        <f>+'3. Segment Analysis'!BA10</f>
        <v>7970</v>
      </c>
      <c r="BB10" s="43">
        <f>+'3. Segment Analysis'!BB10</f>
        <v>2344</v>
      </c>
      <c r="BC10" s="43">
        <f>+'3. Segment Analysis'!BC10</f>
        <v>2133</v>
      </c>
      <c r="BD10" s="43">
        <f>+'3. Segment Analysis'!BD10</f>
        <v>2299</v>
      </c>
      <c r="BE10" s="43">
        <f>+'3. Segment Analysis'!BE10</f>
        <v>2466</v>
      </c>
      <c r="BF10" s="36">
        <f>+'3. Segment Analysis'!BF10</f>
        <v>9242</v>
      </c>
      <c r="BG10" s="43">
        <f>+'3. Segment Analysis'!BG10</f>
        <v>2607</v>
      </c>
      <c r="BH10" s="43">
        <f>+'3. Segment Analysis'!BH10</f>
        <v>2313</v>
      </c>
      <c r="BI10" s="43">
        <f>+'3. Segment Analysis'!BI10</f>
        <v>2435</v>
      </c>
      <c r="BJ10" s="43">
        <f>+'3. Segment Analysis'!BJ10</f>
        <v>2457</v>
      </c>
      <c r="BK10" s="36">
        <f>+'3. Segment Analysis'!BK10</f>
        <v>9812</v>
      </c>
      <c r="BL10" s="43">
        <f>+'3. Segment Analysis'!BL10</f>
        <v>2773</v>
      </c>
      <c r="BM10" s="43">
        <f>+'3. Segment Analysis'!BM10</f>
        <v>2537</v>
      </c>
      <c r="BN10" s="43">
        <f>+'3. Segment Analysis'!BN10</f>
        <v>2709</v>
      </c>
      <c r="BO10" s="43">
        <f>+'3. Segment Analysis'!BO10</f>
        <v>1328</v>
      </c>
      <c r="BP10" s="36">
        <f>+'3. Segment Analysis'!BP10</f>
        <v>9347</v>
      </c>
      <c r="BQ10" s="43">
        <f>+'3. Segment Analysis'!BQ10</f>
        <v>2910</v>
      </c>
      <c r="BR10" s="43">
        <f>+'3. Segment Analysis'!BR10</f>
        <v>2958</v>
      </c>
      <c r="BS10" s="43">
        <f>+'3. Segment Analysis'!BS10</f>
        <v>2609</v>
      </c>
      <c r="BT10" s="43">
        <f>+'3. Segment Analysis'!BT10</f>
        <v>2979</v>
      </c>
      <c r="BU10" s="36">
        <f>+'3. Segment Analysis'!BU10</f>
        <v>11456</v>
      </c>
      <c r="BV10" s="43">
        <f>+'3. Segment Analysis'!BV10</f>
        <v>3307</v>
      </c>
      <c r="BW10" s="43">
        <f>+'3. Segment Analysis'!BW10</f>
        <v>3142</v>
      </c>
      <c r="BX10" s="43">
        <f>+'3. Segment Analysis'!BX10</f>
        <v>2779</v>
      </c>
      <c r="BY10" s="43">
        <f>+'3. Segment Analysis'!BY10</f>
        <v>3251</v>
      </c>
      <c r="BZ10" s="36">
        <f>+'3. Segment Analysis'!BZ10</f>
        <v>12479</v>
      </c>
      <c r="CA10" s="43">
        <f>+'3. Segment Analysis'!CA10</f>
        <v>3333</v>
      </c>
      <c r="CB10" s="43">
        <f>+'3. Segment Analysis'!CB10</f>
        <v>3489</v>
      </c>
      <c r="CC10" s="43">
        <f>+'3. Segment Analysis'!CC10</f>
        <v>3246</v>
      </c>
      <c r="CD10" s="43">
        <f>+'3. Segment Analysis'!CD10</f>
        <v>3350</v>
      </c>
      <c r="CE10" s="36">
        <f>+'3. Segment Analysis'!CE10</f>
        <v>13418</v>
      </c>
      <c r="CF10" s="43">
        <f>+'3. Segment Analysis'!CF10</f>
        <v>3610</v>
      </c>
      <c r="CG10" s="43">
        <f>+'3. Segment Analysis'!CG10</f>
        <v>3567</v>
      </c>
      <c r="CH10" s="43">
        <f>+'3. Segment Analysis'!CH10</f>
        <v>3138</v>
      </c>
      <c r="CI10" s="43">
        <f>+'3. Segment Analysis'!CI10</f>
        <v>3292</v>
      </c>
      <c r="CJ10" s="36">
        <f>+'3. Segment Analysis'!CJ10</f>
        <v>13607</v>
      </c>
      <c r="CK10" s="43">
        <f>+'3. Segment Analysis'!CK10</f>
        <v>3143</v>
      </c>
      <c r="CL10" s="43">
        <f>+'3. Segment Analysis'!CL10</f>
        <v>3303</v>
      </c>
      <c r="CM10" s="43">
        <f>+'3. Segment Analysis'!CM10</f>
        <v>2811</v>
      </c>
      <c r="CN10" s="43">
        <f>+'3. Segment Analysis'!CN10</f>
        <v>3000</v>
      </c>
      <c r="CO10" s="36">
        <f>+'3. Segment Analysis'!CO10</f>
        <v>12257</v>
      </c>
      <c r="CP10" s="43">
        <f>+'3. Segment Analysis'!CP10</f>
        <v>3331</v>
      </c>
      <c r="CQ10" s="43">
        <f>+'3. Segment Analysis'!CQ10</f>
        <v>3392</v>
      </c>
      <c r="CR10" s="43">
        <f>+'3. Segment Analysis'!CR10</f>
        <v>2874</v>
      </c>
      <c r="CS10" s="43">
        <f>+'3. Segment Analysis'!CS10</f>
        <v>2975</v>
      </c>
      <c r="CT10" s="36">
        <f>+'3. Segment Analysis'!CT10</f>
        <v>12572</v>
      </c>
      <c r="CU10" s="43">
        <f>+'3. Segment Analysis'!CU10</f>
        <v>3176</v>
      </c>
      <c r="CV10" s="43">
        <f>+'3. Segment Analysis'!CV10</f>
        <v>2888.6763600000004</v>
      </c>
      <c r="CW10" s="43">
        <f>+'3. Segment Analysis'!CW10</f>
        <v>2687.4199200000003</v>
      </c>
      <c r="CX10" s="43">
        <f>+'3. Segment Analysis'!CX10</f>
        <v>2732.7585599999998</v>
      </c>
      <c r="CY10" s="36">
        <f>+'3. Segment Analysis'!CY10</f>
        <v>11484.854840000002</v>
      </c>
      <c r="CZ10" s="43">
        <f>+'3. Segment Analysis'!CZ10</f>
        <v>2958.4672</v>
      </c>
      <c r="DA10" s="43">
        <f>+'3. Segment Analysis'!DA10</f>
        <v>2795.5104216000004</v>
      </c>
      <c r="DB10" s="43">
        <f>+'3. Segment Analysis'!DB10</f>
        <v>2616.9429404000007</v>
      </c>
      <c r="DC10" s="43">
        <f>+'3. Segment Analysis'!DC10</f>
        <v>2661.4652759999994</v>
      </c>
      <c r="DD10" s="36">
        <f>+'3. Segment Analysis'!DD10</f>
        <v>11032.385838</v>
      </c>
      <c r="DE10" s="43">
        <f>+'3. Segment Analysis'!DE10</f>
        <v>2958.4672</v>
      </c>
      <c r="DF10" s="43">
        <f>+'3. Segment Analysis'!DF10</f>
        <v>2795.5104216000004</v>
      </c>
      <c r="DG10" s="43">
        <f>+'3. Segment Analysis'!DG10</f>
        <v>2643.1123698040005</v>
      </c>
      <c r="DH10" s="43">
        <f>+'3. Segment Analysis'!DH10</f>
        <v>2688.0799287600003</v>
      </c>
      <c r="DI10" s="36">
        <f>+'3. Segment Analysis'!DI10</f>
        <v>11085.169920164002</v>
      </c>
      <c r="DQ10" s="292"/>
    </row>
    <row r="11" spans="1:121" s="7" customFormat="1" ht="12" customHeight="1">
      <c r="A11" s="239"/>
      <c r="B11" s="20" t="s">
        <v>99</v>
      </c>
      <c r="C11" s="360" t="s">
        <v>1</v>
      </c>
      <c r="D11" s="361" t="s">
        <v>1</v>
      </c>
      <c r="E11" s="360" t="s">
        <v>1</v>
      </c>
      <c r="F11" s="361" t="s">
        <v>1</v>
      </c>
      <c r="G11" s="360" t="s">
        <v>1</v>
      </c>
      <c r="H11" s="361" t="s">
        <v>1</v>
      </c>
      <c r="I11" s="360" t="s">
        <v>1</v>
      </c>
      <c r="J11" s="361" t="s">
        <v>1</v>
      </c>
      <c r="K11" s="360" t="s">
        <v>1</v>
      </c>
      <c r="L11" s="361" t="s">
        <v>1</v>
      </c>
      <c r="M11" s="360" t="s">
        <v>1</v>
      </c>
      <c r="N11" s="359">
        <f>O11/1.5</f>
        <v>902.66666666666663</v>
      </c>
      <c r="O11" s="359">
        <v>1354</v>
      </c>
      <c r="P11" s="39">
        <f>P34</f>
        <v>1743.3</v>
      </c>
      <c r="Q11" s="40">
        <f>Q34</f>
        <v>1741.8000000000002</v>
      </c>
      <c r="R11" s="39">
        <f>+'3. Segment Analysis'!R11</f>
        <v>460</v>
      </c>
      <c r="S11" s="39">
        <f>+'3. Segment Analysis'!S11</f>
        <v>482</v>
      </c>
      <c r="T11" s="39">
        <f>+'3. Segment Analysis'!T11</f>
        <v>554</v>
      </c>
      <c r="U11" s="39">
        <f>+'3. Segment Analysis'!U11</f>
        <v>564</v>
      </c>
      <c r="V11" s="40">
        <f>+'3. Segment Analysis'!V11</f>
        <v>2060</v>
      </c>
      <c r="W11" s="39">
        <f>+'3. Segment Analysis'!W11</f>
        <v>528</v>
      </c>
      <c r="X11" s="39">
        <f>+'3. Segment Analysis'!X11</f>
        <v>650</v>
      </c>
      <c r="Y11" s="39">
        <f>+'3. Segment Analysis'!Y11</f>
        <v>694</v>
      </c>
      <c r="Z11" s="39">
        <f>+'3. Segment Analysis'!Z11</f>
        <v>667</v>
      </c>
      <c r="AA11" s="40">
        <f>+'3. Segment Analysis'!AA11</f>
        <v>2539</v>
      </c>
      <c r="AB11" s="36">
        <f>AA11</f>
        <v>2539</v>
      </c>
      <c r="AC11" s="39">
        <f>+'3. Segment Analysis'!AC11</f>
        <v>577</v>
      </c>
      <c r="AD11" s="39">
        <f>+'3. Segment Analysis'!AD11</f>
        <v>582</v>
      </c>
      <c r="AE11" s="39">
        <f>+'3. Segment Analysis'!AE11</f>
        <v>641</v>
      </c>
      <c r="AF11" s="39">
        <f>+'3. Segment Analysis'!AF11</f>
        <v>678</v>
      </c>
      <c r="AG11" s="40">
        <f>+'3. Segment Analysis'!AG11</f>
        <v>2478</v>
      </c>
      <c r="AH11" s="39">
        <f>+'3. Segment Analysis'!AH11</f>
        <v>574</v>
      </c>
      <c r="AI11" s="39">
        <f>+'3. Segment Analysis'!AI11</f>
        <v>629</v>
      </c>
      <c r="AJ11" s="39">
        <f>+'3. Segment Analysis'!AJ11</f>
        <v>697</v>
      </c>
      <c r="AK11" s="39">
        <f>+'3. Segment Analysis'!AK11</f>
        <v>702</v>
      </c>
      <c r="AL11" s="40">
        <f>+'3. Segment Analysis'!AL11</f>
        <v>2602</v>
      </c>
      <c r="AM11" s="43">
        <f>+'3. Segment Analysis'!AM11</f>
        <v>679</v>
      </c>
      <c r="AN11" s="43">
        <f>+'3. Segment Analysis'!AN11</f>
        <v>758</v>
      </c>
      <c r="AO11" s="43">
        <f>+'3. Segment Analysis'!AO11</f>
        <v>801</v>
      </c>
      <c r="AP11" s="43">
        <f>+'3. Segment Analysis'!AP11</f>
        <v>829</v>
      </c>
      <c r="AQ11" s="40">
        <f>+'3. Segment Analysis'!AQ11</f>
        <v>3067</v>
      </c>
      <c r="AR11" s="43">
        <f>+'3. Segment Analysis'!AR11</f>
        <v>886</v>
      </c>
      <c r="AS11" s="43">
        <f>+'3. Segment Analysis'!AS11</f>
        <v>938</v>
      </c>
      <c r="AT11" s="43">
        <f>+'3. Segment Analysis'!AT11</f>
        <v>982</v>
      </c>
      <c r="AU11" s="43">
        <f>+'3. Segment Analysis'!AU11</f>
        <v>979</v>
      </c>
      <c r="AV11" s="36">
        <f>+'3. Segment Analysis'!AV11</f>
        <v>3785</v>
      </c>
      <c r="AW11" s="43">
        <f>+'3. Segment Analysis'!AW11</f>
        <v>1020</v>
      </c>
      <c r="AX11" s="43">
        <f>+'3. Segment Analysis'!AX11</f>
        <v>1055</v>
      </c>
      <c r="AY11" s="43">
        <f>+'3. Segment Analysis'!AY11</f>
        <v>1075</v>
      </c>
      <c r="AZ11" s="43">
        <f>+'3. Segment Analysis'!AZ11</f>
        <v>1087</v>
      </c>
      <c r="BA11" s="36">
        <f>+'3. Segment Analysis'!BA11</f>
        <v>4237</v>
      </c>
      <c r="BB11" s="43">
        <f>+'3. Segment Analysis'!BB11</f>
        <v>1108</v>
      </c>
      <c r="BC11" s="43">
        <f>+'3. Segment Analysis'!BC11</f>
        <v>1222</v>
      </c>
      <c r="BD11" s="43">
        <f>+'3. Segment Analysis'!BD11</f>
        <v>1336</v>
      </c>
      <c r="BE11" s="43">
        <f>+'3. Segment Analysis'!BE11</f>
        <v>1468</v>
      </c>
      <c r="BF11" s="36">
        <f>+'3. Segment Analysis'!BF11</f>
        <v>5134</v>
      </c>
      <c r="BG11" s="43">
        <f>+'3. Segment Analysis'!BG11</f>
        <v>1379</v>
      </c>
      <c r="BH11" s="43">
        <f>+'3. Segment Analysis'!BH11</f>
        <v>1544</v>
      </c>
      <c r="BI11" s="43">
        <f>+'3. Segment Analysis'!BI11</f>
        <v>1588</v>
      </c>
      <c r="BJ11" s="43">
        <f>+'3. Segment Analysis'!BJ11</f>
        <v>1697</v>
      </c>
      <c r="BK11" s="36">
        <f>+'3. Segment Analysis'!BK11</f>
        <v>6208</v>
      </c>
      <c r="BL11" s="43">
        <f>+'3. Segment Analysis'!BL11</f>
        <v>1679</v>
      </c>
      <c r="BM11" s="43">
        <f>+'3. Segment Analysis'!BM11</f>
        <v>1847</v>
      </c>
      <c r="BN11" s="43">
        <f>+'3. Segment Analysis'!BN11</f>
        <v>1506</v>
      </c>
      <c r="BO11" s="43">
        <f>+'3. Segment Analysis'!BO11</f>
        <v>1647</v>
      </c>
      <c r="BP11" s="36">
        <f>+'3. Segment Analysis'!BP11</f>
        <v>6679</v>
      </c>
      <c r="BQ11" s="43">
        <f>+'3. Segment Analysis'!BQ11</f>
        <v>1780</v>
      </c>
      <c r="BR11" s="43">
        <f>+'3. Segment Analysis'!BR11</f>
        <v>2298</v>
      </c>
      <c r="BS11" s="43">
        <f>+'3. Segment Analysis'!BS11</f>
        <v>2279</v>
      </c>
      <c r="BT11" s="43">
        <f>+'3. Segment Analysis'!BT11</f>
        <v>1933</v>
      </c>
      <c r="BU11" s="36">
        <f>+'3. Segment Analysis'!BU11</f>
        <v>8290</v>
      </c>
      <c r="BV11" s="43">
        <f>+'3. Segment Analysis'!BV11</f>
        <v>1982</v>
      </c>
      <c r="BW11" s="43">
        <f>+'3. Segment Analysis'!BW11</f>
        <v>1844</v>
      </c>
      <c r="BX11" s="43">
        <f>+'3. Segment Analysis'!BX11</f>
        <v>2160</v>
      </c>
      <c r="BY11" s="43">
        <f>+'3. Segment Analysis'!BY11</f>
        <v>1561</v>
      </c>
      <c r="BZ11" s="36">
        <f>+'3. Segment Analysis'!BZ11</f>
        <v>7547</v>
      </c>
      <c r="CA11" s="43">
        <f>+'3. Segment Analysis'!CA11</f>
        <v>1656</v>
      </c>
      <c r="CB11" s="43">
        <f>+'3. Segment Analysis'!CB11</f>
        <v>1788</v>
      </c>
      <c r="CC11" s="43">
        <f>+'3. Segment Analysis'!CC11</f>
        <v>1994</v>
      </c>
      <c r="CD11" s="43">
        <f>+'3. Segment Analysis'!CD11</f>
        <v>1810</v>
      </c>
      <c r="CE11" s="36">
        <f>+'3. Segment Analysis'!CE11</f>
        <v>7248</v>
      </c>
      <c r="CF11" s="43">
        <f>+'3. Segment Analysis'!CF11</f>
        <v>1735</v>
      </c>
      <c r="CG11" s="43">
        <f>+'3. Segment Analysis'!CG11</f>
        <v>1863</v>
      </c>
      <c r="CH11" s="43">
        <f>+'3. Segment Analysis'!CH11</f>
        <v>2084</v>
      </c>
      <c r="CI11" s="43">
        <f>+'3. Segment Analysis'!CI11</f>
        <v>1863</v>
      </c>
      <c r="CJ11" s="36">
        <f>+'3. Segment Analysis'!CJ11</f>
        <v>7545</v>
      </c>
      <c r="CK11" s="43">
        <f>+'3. Segment Analysis'!CK11</f>
        <v>1666</v>
      </c>
      <c r="CL11" s="43">
        <f>+'3. Segment Analysis'!CL11</f>
        <v>1711</v>
      </c>
      <c r="CM11" s="43">
        <f>+'3. Segment Analysis'!CM11</f>
        <v>1733</v>
      </c>
      <c r="CN11" s="43">
        <f>+'3. Segment Analysis'!CN11</f>
        <v>1476</v>
      </c>
      <c r="CO11" s="36">
        <f>+'3. Segment Analysis'!CO11</f>
        <v>6586</v>
      </c>
      <c r="CP11" s="43">
        <f>+'3. Segment Analysis'!CP11</f>
        <v>1512</v>
      </c>
      <c r="CQ11" s="43">
        <f>+'3. Segment Analysis'!CQ11</f>
        <v>1423</v>
      </c>
      <c r="CR11" s="43">
        <f>+'3. Segment Analysis'!CR11</f>
        <v>1615</v>
      </c>
      <c r="CS11" s="43">
        <f>+'3. Segment Analysis'!CS11</f>
        <v>1297</v>
      </c>
      <c r="CT11" s="36">
        <f>+'3. Segment Analysis'!CT11</f>
        <v>5847</v>
      </c>
      <c r="CU11" s="43">
        <f>+'3. Segment Analysis'!CU11</f>
        <v>1180</v>
      </c>
      <c r="CV11" s="43">
        <f>+'3. Segment Analysis'!CV11</f>
        <v>1077.7956300000001</v>
      </c>
      <c r="CW11" s="43">
        <f>+'3. Segment Analysis'!CW11</f>
        <v>1150.7080000000001</v>
      </c>
      <c r="CX11" s="43">
        <f>+'3. Segment Analysis'!CX11</f>
        <v>907.55668999999978</v>
      </c>
      <c r="CY11" s="36">
        <f>+'3. Segment Analysis'!CY11</f>
        <v>4316.0603199999996</v>
      </c>
      <c r="CZ11" s="43">
        <f>+'3. Segment Analysis'!CZ11</f>
        <v>892.96499999999992</v>
      </c>
      <c r="DA11" s="43">
        <f>+'3. Segment Analysis'!DA11</f>
        <v>862.23650400000008</v>
      </c>
      <c r="DB11" s="43">
        <f>+'3. Segment Analysis'!DB11</f>
        <v>1058.6513600000003</v>
      </c>
      <c r="DC11" s="43">
        <f>+'3. Segment Analysis'!DC11</f>
        <v>834.95215479999979</v>
      </c>
      <c r="DD11" s="36">
        <f>+'3. Segment Analysis'!DD11</f>
        <v>3648.8050188000002</v>
      </c>
      <c r="DE11" s="43">
        <f>+'3. Segment Analysis'!DE11</f>
        <v>866.70577499999979</v>
      </c>
      <c r="DF11" s="43">
        <f>+'3. Segment Analysis'!DF11</f>
        <v>845.16365592</v>
      </c>
      <c r="DG11" s="43">
        <f>+'3. Segment Analysis'!DG11</f>
        <v>1069.0332140800003</v>
      </c>
      <c r="DH11" s="43">
        <f>+'3. Segment Analysis'!DH11</f>
        <v>843.13964364799961</v>
      </c>
      <c r="DI11" s="36">
        <f>+'3. Segment Analysis'!DI11</f>
        <v>3624.0422886479996</v>
      </c>
      <c r="DQ11" s="292"/>
    </row>
    <row r="12" spans="1:121" s="7" customFormat="1" ht="12" customHeight="1">
      <c r="A12" s="239"/>
      <c r="B12" s="20" t="s">
        <v>160</v>
      </c>
      <c r="C12" s="360" t="s">
        <v>1</v>
      </c>
      <c r="D12" s="361" t="s">
        <v>1</v>
      </c>
      <c r="E12" s="360" t="s">
        <v>1</v>
      </c>
      <c r="F12" s="361" t="s">
        <v>1</v>
      </c>
      <c r="G12" s="360" t="s">
        <v>1</v>
      </c>
      <c r="H12" s="361" t="s">
        <v>1</v>
      </c>
      <c r="I12" s="360" t="s">
        <v>1</v>
      </c>
      <c r="J12" s="361" t="s">
        <v>1</v>
      </c>
      <c r="K12" s="360" t="s">
        <v>1</v>
      </c>
      <c r="L12" s="361" t="s">
        <v>1</v>
      </c>
      <c r="M12" s="360" t="s">
        <v>1</v>
      </c>
      <c r="N12" s="361" t="s">
        <v>1</v>
      </c>
      <c r="O12" s="361" t="s">
        <v>1</v>
      </c>
      <c r="P12" s="39">
        <f>P36+P35</f>
        <v>2627.9</v>
      </c>
      <c r="Q12" s="40">
        <f>Q36+Q35</f>
        <v>2923.6000000000004</v>
      </c>
      <c r="R12" s="39">
        <f>+'3. Segment Analysis'!R12</f>
        <v>754</v>
      </c>
      <c r="S12" s="39">
        <f>+'3. Segment Analysis'!S12</f>
        <v>947</v>
      </c>
      <c r="T12" s="39">
        <f>+'3. Segment Analysis'!T12</f>
        <v>838</v>
      </c>
      <c r="U12" s="39">
        <f>+'3. Segment Analysis'!U12</f>
        <v>963</v>
      </c>
      <c r="V12" s="40">
        <f>+'3. Segment Analysis'!V12</f>
        <v>3502</v>
      </c>
      <c r="W12" s="39">
        <f>+'3. Segment Analysis'!W12</f>
        <v>990</v>
      </c>
      <c r="X12" s="39">
        <f>+'3. Segment Analysis'!X12</f>
        <v>1145</v>
      </c>
      <c r="Y12" s="39">
        <f>+'3. Segment Analysis'!Y12</f>
        <v>994</v>
      </c>
      <c r="Z12" s="39">
        <f>+'3. Segment Analysis'!Z12</f>
        <v>1110</v>
      </c>
      <c r="AA12" s="40">
        <f>+'3. Segment Analysis'!AA12</f>
        <v>4239</v>
      </c>
      <c r="AB12" s="36">
        <f>AA12</f>
        <v>4239</v>
      </c>
      <c r="AC12" s="39">
        <f>+'3. Segment Analysis'!AC12</f>
        <v>1094</v>
      </c>
      <c r="AD12" s="39">
        <f>+'3. Segment Analysis'!AD12</f>
        <v>1314</v>
      </c>
      <c r="AE12" s="39">
        <f>+'3. Segment Analysis'!AE12</f>
        <v>1062</v>
      </c>
      <c r="AF12" s="39">
        <f>+'3. Segment Analysis'!AF12</f>
        <v>1238</v>
      </c>
      <c r="AG12" s="40">
        <f>+'3. Segment Analysis'!AG12</f>
        <v>4708</v>
      </c>
      <c r="AH12" s="39">
        <f>+'3. Segment Analysis'!AH12</f>
        <v>1060</v>
      </c>
      <c r="AI12" s="39">
        <f>+'3. Segment Analysis'!AI12</f>
        <v>1240</v>
      </c>
      <c r="AJ12" s="39">
        <f>+'3. Segment Analysis'!AJ12</f>
        <v>1114</v>
      </c>
      <c r="AK12" s="39">
        <f>+'3. Segment Analysis'!AK12</f>
        <v>1306</v>
      </c>
      <c r="AL12" s="40">
        <f>+'3. Segment Analysis'!AL12</f>
        <v>4720</v>
      </c>
      <c r="AM12" s="43">
        <f>+'3. Segment Analysis'!AM12</f>
        <v>1094</v>
      </c>
      <c r="AN12" s="43">
        <f>+'3. Segment Analysis'!AN12</f>
        <v>1274</v>
      </c>
      <c r="AO12" s="43">
        <f>+'3. Segment Analysis'!AO12</f>
        <v>1121</v>
      </c>
      <c r="AP12" s="43">
        <f>+'3. Segment Analysis'!AP12</f>
        <v>1164</v>
      </c>
      <c r="AQ12" s="359">
        <f>+'3. Segment Analysis'!AQ12</f>
        <v>4653</v>
      </c>
      <c r="AR12" s="43">
        <f>+'3. Segment Analysis'!AR12</f>
        <v>1083</v>
      </c>
      <c r="AS12" s="43">
        <f>+'3. Segment Analysis'!AS12</f>
        <v>1107</v>
      </c>
      <c r="AT12" s="43">
        <f>+'3. Segment Analysis'!AT12</f>
        <v>1032</v>
      </c>
      <c r="AU12" s="43">
        <f>+'3. Segment Analysis'!AU12</f>
        <v>1095</v>
      </c>
      <c r="AV12" s="36">
        <f>+'3. Segment Analysis'!AV12</f>
        <v>4317</v>
      </c>
      <c r="AW12" s="43">
        <f>+'3. Segment Analysis'!AW12</f>
        <v>1131</v>
      </c>
      <c r="AX12" s="43">
        <f>+'3. Segment Analysis'!AX12</f>
        <v>1206</v>
      </c>
      <c r="AY12" s="43">
        <f>+'3. Segment Analysis'!AY12</f>
        <v>1122</v>
      </c>
      <c r="AZ12" s="43">
        <f>+'3. Segment Analysis'!AZ12</f>
        <v>1278</v>
      </c>
      <c r="BA12" s="36">
        <f>+'3. Segment Analysis'!BA12</f>
        <v>4737</v>
      </c>
      <c r="BB12" s="43">
        <f>+'3. Segment Analysis'!BB12</f>
        <v>1189</v>
      </c>
      <c r="BC12" s="43">
        <f>+'3. Segment Analysis'!BC12</f>
        <v>1273</v>
      </c>
      <c r="BD12" s="43">
        <f>+'3. Segment Analysis'!BD12</f>
        <v>1268</v>
      </c>
      <c r="BE12" s="43">
        <f>+'3. Segment Analysis'!BE12</f>
        <v>1436</v>
      </c>
      <c r="BF12" s="36">
        <f>+'3. Segment Analysis'!BF12</f>
        <v>5166</v>
      </c>
      <c r="BG12" s="43">
        <f>+'3. Segment Analysis'!BG12</f>
        <v>1270</v>
      </c>
      <c r="BH12" s="43">
        <f>+'3. Segment Analysis'!BH12</f>
        <v>1298</v>
      </c>
      <c r="BI12" s="43">
        <f>+'3. Segment Analysis'!BI12</f>
        <v>1307</v>
      </c>
      <c r="BJ12" s="43">
        <f>+'3. Segment Analysis'!BJ12</f>
        <v>1379</v>
      </c>
      <c r="BK12" s="36">
        <f>+'3. Segment Analysis'!BK12</f>
        <v>5254</v>
      </c>
      <c r="BL12" s="43">
        <f>+'3. Segment Analysis'!BL12</f>
        <v>1345</v>
      </c>
      <c r="BM12" s="43">
        <f>+'3. Segment Analysis'!BM12</f>
        <v>1468</v>
      </c>
      <c r="BN12" s="43">
        <f>+'3. Segment Analysis'!BN12</f>
        <v>1414</v>
      </c>
      <c r="BO12" s="43">
        <f>+'3. Segment Analysis'!BO12</f>
        <v>801</v>
      </c>
      <c r="BP12" s="36">
        <f>+'3. Segment Analysis'!BP12</f>
        <v>5028</v>
      </c>
      <c r="BQ12" s="43">
        <f>+'3. Segment Analysis'!BQ12</f>
        <v>1099</v>
      </c>
      <c r="BR12" s="43">
        <f>+'3. Segment Analysis'!BR12</f>
        <v>1471</v>
      </c>
      <c r="BS12" s="43">
        <f>+'3. Segment Analysis'!BS12</f>
        <v>1315</v>
      </c>
      <c r="BT12" s="43">
        <f>+'3. Segment Analysis'!BT12</f>
        <v>1458</v>
      </c>
      <c r="BU12" s="36">
        <f>+'3. Segment Analysis'!BU12</f>
        <v>5343</v>
      </c>
      <c r="BV12" s="43">
        <f>+'3. Segment Analysis'!BV12</f>
        <v>1465</v>
      </c>
      <c r="BW12" s="43">
        <f>+'3. Segment Analysis'!BW12</f>
        <v>1347</v>
      </c>
      <c r="BX12" s="43">
        <f>+'3. Segment Analysis'!BX12</f>
        <v>1461</v>
      </c>
      <c r="BY12" s="43">
        <f>+'3. Segment Analysis'!BY12</f>
        <v>1682</v>
      </c>
      <c r="BZ12" s="36">
        <f>+'3. Segment Analysis'!BZ12</f>
        <v>5955</v>
      </c>
      <c r="CA12" s="43">
        <f>+'3. Segment Analysis'!CA12</f>
        <v>1535</v>
      </c>
      <c r="CB12" s="43">
        <f>+'3. Segment Analysis'!CB12</f>
        <v>1599</v>
      </c>
      <c r="CC12" s="43">
        <f>+'3. Segment Analysis'!CC12</f>
        <v>1601</v>
      </c>
      <c r="CD12" s="43">
        <f>+'3. Segment Analysis'!CD12</f>
        <v>1696</v>
      </c>
      <c r="CE12" s="36">
        <f>+'3. Segment Analysis'!CE12</f>
        <v>6431</v>
      </c>
      <c r="CF12" s="43">
        <f>+'3. Segment Analysis'!CF12</f>
        <v>1572</v>
      </c>
      <c r="CG12" s="43">
        <f>+'3. Segment Analysis'!CG12</f>
        <v>1805</v>
      </c>
      <c r="CH12" s="43">
        <f>+'3. Segment Analysis'!CH12</f>
        <v>1647</v>
      </c>
      <c r="CI12" s="43">
        <f>+'3. Segment Analysis'!CI12</f>
        <v>1705</v>
      </c>
      <c r="CJ12" s="36">
        <f>+'3. Segment Analysis'!CJ12</f>
        <v>6729</v>
      </c>
      <c r="CK12" s="43">
        <f>+'3. Segment Analysis'!CK12</f>
        <v>1462</v>
      </c>
      <c r="CL12" s="43">
        <f>+'3. Segment Analysis'!CL12</f>
        <v>1744</v>
      </c>
      <c r="CM12" s="43">
        <f>+'3. Segment Analysis'!CM12</f>
        <v>1470</v>
      </c>
      <c r="CN12" s="43">
        <f>+'3. Segment Analysis'!CN12</f>
        <v>1575</v>
      </c>
      <c r="CO12" s="36">
        <f>+'3. Segment Analysis'!CO12</f>
        <v>6251</v>
      </c>
      <c r="CP12" s="43">
        <f>+'3. Segment Analysis'!CP12</f>
        <v>1490</v>
      </c>
      <c r="CQ12" s="43">
        <f>+'3. Segment Analysis'!CQ12</f>
        <v>1667</v>
      </c>
      <c r="CR12" s="43">
        <f>+'3. Segment Analysis'!CR12</f>
        <v>1490</v>
      </c>
      <c r="CS12" s="43">
        <f>+'3. Segment Analysis'!CS12</f>
        <v>1596</v>
      </c>
      <c r="CT12" s="36">
        <f>+'3. Segment Analysis'!CT12</f>
        <v>6243</v>
      </c>
      <c r="CU12" s="43">
        <f>+'3. Segment Analysis'!CU12</f>
        <v>1463</v>
      </c>
      <c r="CV12" s="43">
        <f>+'3. Segment Analysis'!CV12</f>
        <v>1626.6919399999999</v>
      </c>
      <c r="CW12" s="43">
        <f>+'3. Segment Analysis'!CW12</f>
        <v>1450.5726899999997</v>
      </c>
      <c r="CX12" s="43">
        <f>+'3. Segment Analysis'!CX12</f>
        <v>1512.3252</v>
      </c>
      <c r="CY12" s="36">
        <f>+'3. Segment Analysis'!CY12</f>
        <v>6052.5898299999999</v>
      </c>
      <c r="CZ12" s="43">
        <f>+'3. Segment Analysis'!CZ12</f>
        <v>1445.5408000000002</v>
      </c>
      <c r="DA12" s="43">
        <f>+'3. Segment Analysis'!DA12</f>
        <v>1642.3831255999999</v>
      </c>
      <c r="DB12" s="43">
        <f>+'3. Segment Analysis'!DB12</f>
        <v>1464.5096282999998</v>
      </c>
      <c r="DC12" s="43">
        <f>+'3. Segment Analysis'!DC12</f>
        <v>1526.8446463999996</v>
      </c>
      <c r="DD12" s="36">
        <f>+'3. Segment Analysis'!DD12</f>
        <v>6079.2782003000002</v>
      </c>
      <c r="DE12" s="43">
        <f>+'3. Segment Analysis'!DE12</f>
        <v>1477.6216048000003</v>
      </c>
      <c r="DF12" s="43">
        <f>+'3. Segment Analysis'!DF12</f>
        <v>1679.1591466859995</v>
      </c>
      <c r="DG12" s="43">
        <f>+'3. Segment Analysis'!DG12</f>
        <v>1497.0047484929999</v>
      </c>
      <c r="DH12" s="43">
        <f>+'3. Segment Analysis'!DH12</f>
        <v>1560.8237533279998</v>
      </c>
      <c r="DI12" s="36">
        <f>+'3. Segment Analysis'!DI12</f>
        <v>6214.6092533069996</v>
      </c>
      <c r="DQ12" s="292"/>
    </row>
    <row r="13" spans="1:121" s="7" customFormat="1" ht="12" customHeight="1">
      <c r="A13" s="239"/>
      <c r="B13" s="20" t="s">
        <v>159</v>
      </c>
      <c r="C13" s="360" t="s">
        <v>1</v>
      </c>
      <c r="D13" s="361" t="s">
        <v>1</v>
      </c>
      <c r="E13" s="360" t="s">
        <v>1</v>
      </c>
      <c r="F13" s="361" t="s">
        <v>1</v>
      </c>
      <c r="G13" s="360" t="s">
        <v>1</v>
      </c>
      <c r="H13" s="361" t="s">
        <v>1</v>
      </c>
      <c r="I13" s="360" t="s">
        <v>1</v>
      </c>
      <c r="J13" s="361" t="s">
        <v>1</v>
      </c>
      <c r="K13" s="360" t="s">
        <v>1</v>
      </c>
      <c r="L13" s="361" t="s">
        <v>1</v>
      </c>
      <c r="M13" s="360" t="s">
        <v>1</v>
      </c>
      <c r="N13" s="361" t="s">
        <v>1</v>
      </c>
      <c r="O13" s="361" t="s">
        <v>1</v>
      </c>
      <c r="P13" s="39">
        <f>+P37</f>
        <v>95.300000000000011</v>
      </c>
      <c r="Q13" s="40">
        <f>+Q37</f>
        <v>105.3</v>
      </c>
      <c r="R13" s="39">
        <f>+'3. Segment Analysis'!R13</f>
        <v>31</v>
      </c>
      <c r="S13" s="39">
        <f>+'3. Segment Analysis'!S13</f>
        <v>24</v>
      </c>
      <c r="T13" s="39">
        <f>+'3. Segment Analysis'!T13</f>
        <v>22</v>
      </c>
      <c r="U13" s="39">
        <f>+'3. Segment Analysis'!U13</f>
        <v>29</v>
      </c>
      <c r="V13" s="40">
        <f>+'3. Segment Analysis'!V13</f>
        <v>106</v>
      </c>
      <c r="W13" s="39">
        <f>+'3. Segment Analysis'!W13</f>
        <v>33</v>
      </c>
      <c r="X13" s="39">
        <f>+'3. Segment Analysis'!X13</f>
        <v>25</v>
      </c>
      <c r="Y13" s="39">
        <f>+'3. Segment Analysis'!Y13</f>
        <v>27</v>
      </c>
      <c r="Z13" s="39">
        <f>+'3. Segment Analysis'!Z13</f>
        <v>26</v>
      </c>
      <c r="AA13" s="40">
        <f>+'3. Segment Analysis'!AA13</f>
        <v>111</v>
      </c>
      <c r="AB13" s="36">
        <f>AA13</f>
        <v>111</v>
      </c>
      <c r="AC13" s="39">
        <f>+'3. Segment Analysis'!AC13</f>
        <v>27</v>
      </c>
      <c r="AD13" s="39">
        <f>+'3. Segment Analysis'!AD13</f>
        <v>28</v>
      </c>
      <c r="AE13" s="39">
        <f>+'3. Segment Analysis'!AE13</f>
        <v>29</v>
      </c>
      <c r="AF13" s="39">
        <f>+'3. Segment Analysis'!AF13</f>
        <v>31</v>
      </c>
      <c r="AG13" s="40">
        <f>+'3. Segment Analysis'!AG13</f>
        <v>115</v>
      </c>
      <c r="AH13" s="39">
        <f>+'3. Segment Analysis'!AH13</f>
        <v>32</v>
      </c>
      <c r="AI13" s="39">
        <f>+'3. Segment Analysis'!AI13</f>
        <v>31</v>
      </c>
      <c r="AJ13" s="39">
        <f>+'3. Segment Analysis'!AJ13</f>
        <v>26</v>
      </c>
      <c r="AK13" s="39">
        <f>+'3. Segment Analysis'!AK13</f>
        <v>36</v>
      </c>
      <c r="AL13" s="40">
        <f>+'3. Segment Analysis'!AL13</f>
        <v>125</v>
      </c>
      <c r="AM13" s="43">
        <f>+'3. Segment Analysis'!AM13</f>
        <v>29</v>
      </c>
      <c r="AN13" s="43">
        <f>+'3. Segment Analysis'!AN13</f>
        <v>28</v>
      </c>
      <c r="AO13" s="43">
        <f>+'3. Segment Analysis'!AO13</f>
        <v>28</v>
      </c>
      <c r="AP13" s="43">
        <f>+'3. Segment Analysis'!AP13</f>
        <v>30</v>
      </c>
      <c r="AQ13" s="40">
        <f>+'3. Segment Analysis'!AQ13</f>
        <v>115</v>
      </c>
      <c r="AR13" s="43">
        <f>+'3. Segment Analysis'!AR13</f>
        <v>26</v>
      </c>
      <c r="AS13" s="43">
        <f>+'3. Segment Analysis'!AS13</f>
        <v>18</v>
      </c>
      <c r="AT13" s="43">
        <f>+'3. Segment Analysis'!AT13</f>
        <v>17</v>
      </c>
      <c r="AU13" s="43">
        <f>+'3. Segment Analysis'!AU13</f>
        <v>12</v>
      </c>
      <c r="AV13" s="36">
        <f>+'3. Segment Analysis'!AV13</f>
        <v>73</v>
      </c>
      <c r="AW13" s="43">
        <f>+'3. Segment Analysis'!AW13</f>
        <v>15</v>
      </c>
      <c r="AX13" s="43">
        <f>+'3. Segment Analysis'!AX13</f>
        <v>21</v>
      </c>
      <c r="AY13" s="43">
        <f>+'3. Segment Analysis'!AY13</f>
        <v>19</v>
      </c>
      <c r="AZ13" s="43">
        <f>+'3. Segment Analysis'!AZ13</f>
        <v>18</v>
      </c>
      <c r="BA13" s="36">
        <f>+'3. Segment Analysis'!BA13</f>
        <v>73</v>
      </c>
      <c r="BB13" s="43">
        <f>+'3. Segment Analysis'!BB13</f>
        <v>20</v>
      </c>
      <c r="BC13" s="43">
        <f>+'3. Segment Analysis'!BC13</f>
        <v>23</v>
      </c>
      <c r="BD13" s="43">
        <f>+'3. Segment Analysis'!BD13</f>
        <v>21</v>
      </c>
      <c r="BE13" s="43">
        <f>+'3. Segment Analysis'!BE13</f>
        <v>24</v>
      </c>
      <c r="BF13" s="36">
        <f>+'3. Segment Analysis'!BF13</f>
        <v>88</v>
      </c>
      <c r="BG13" s="43">
        <f>+'3. Segment Analysis'!BG13</f>
        <v>16</v>
      </c>
      <c r="BH13" s="43">
        <f>+'3. Segment Analysis'!BH13</f>
        <v>9</v>
      </c>
      <c r="BI13" s="43">
        <f>+'3. Segment Analysis'!BI13</f>
        <v>8</v>
      </c>
      <c r="BJ13" s="43">
        <f>+'3. Segment Analysis'!BJ13</f>
        <v>9</v>
      </c>
      <c r="BK13" s="36">
        <f>+'3. Segment Analysis'!BK13</f>
        <v>42</v>
      </c>
      <c r="BL13" s="43">
        <f>+'3. Segment Analysis'!BL13</f>
        <v>6</v>
      </c>
      <c r="BM13" s="43">
        <f>+'3. Segment Analysis'!BM13</f>
        <v>10</v>
      </c>
      <c r="BN13" s="43">
        <f>+'3. Segment Analysis'!BN13</f>
        <v>8</v>
      </c>
      <c r="BO13" s="43">
        <f>+'3. Segment Analysis'!BO13</f>
        <v>6</v>
      </c>
      <c r="BP13" s="36">
        <f>+'3. Segment Analysis'!BP13</f>
        <v>30</v>
      </c>
      <c r="BQ13" s="43">
        <f>+'3. Segment Analysis'!BQ13</f>
        <v>4</v>
      </c>
      <c r="BR13" s="43">
        <f>+'3. Segment Analysis'!BR13</f>
        <v>8</v>
      </c>
      <c r="BS13" s="43">
        <f>+'3. Segment Analysis'!BS13</f>
        <v>6</v>
      </c>
      <c r="BT13" s="43">
        <f>+'3. Segment Analysis'!BT13</f>
        <v>7</v>
      </c>
      <c r="BU13" s="36">
        <f>+'3. Segment Analysis'!BU13</f>
        <v>25</v>
      </c>
      <c r="BV13" s="43">
        <f>+'3. Segment Analysis'!BV13</f>
        <v>7</v>
      </c>
      <c r="BW13" s="43">
        <f>+'3. Segment Analysis'!BW13</f>
        <v>6</v>
      </c>
      <c r="BX13" s="43">
        <f>+'3. Segment Analysis'!BX13</f>
        <v>41</v>
      </c>
      <c r="BY13" s="43">
        <f>+'3. Segment Analysis'!BY13</f>
        <v>48</v>
      </c>
      <c r="BZ13" s="36">
        <f>+'3. Segment Analysis'!BZ13</f>
        <v>102</v>
      </c>
      <c r="CA13" s="43">
        <f>+'3. Segment Analysis'!CA13</f>
        <v>14</v>
      </c>
      <c r="CB13" s="43">
        <f>+'3. Segment Analysis'!CB13</f>
        <v>18</v>
      </c>
      <c r="CC13" s="43">
        <f>+'3. Segment Analysis'!CC13</f>
        <v>12</v>
      </c>
      <c r="CD13" s="43">
        <f>+'3. Segment Analysis'!CD13</f>
        <v>14</v>
      </c>
      <c r="CE13" s="36">
        <f>+'3. Segment Analysis'!CE13</f>
        <v>58</v>
      </c>
      <c r="CF13" s="43">
        <f>+'3. Segment Analysis'!CF13</f>
        <v>13</v>
      </c>
      <c r="CG13" s="43">
        <f>+'3. Segment Analysis'!CG13</f>
        <v>12</v>
      </c>
      <c r="CH13" s="43">
        <f>+'3. Segment Analysis'!CH13</f>
        <v>9</v>
      </c>
      <c r="CI13" s="43">
        <f>+'3. Segment Analysis'!CI13</f>
        <v>11</v>
      </c>
      <c r="CJ13" s="36">
        <f>+'3. Segment Analysis'!CJ13</f>
        <v>45</v>
      </c>
      <c r="CK13" s="43">
        <f>+'3. Segment Analysis'!CK13</f>
        <v>14</v>
      </c>
      <c r="CL13" s="43">
        <f>+'3. Segment Analysis'!CL13</f>
        <v>13</v>
      </c>
      <c r="CM13" s="43">
        <f>+'3. Segment Analysis'!CM13</f>
        <v>12</v>
      </c>
      <c r="CN13" s="43">
        <f>+'3. Segment Analysis'!CN13</f>
        <v>9</v>
      </c>
      <c r="CO13" s="36">
        <f>+'3. Segment Analysis'!CO13</f>
        <v>48</v>
      </c>
      <c r="CP13" s="43">
        <f>+'3. Segment Analysis'!CP13</f>
        <v>9</v>
      </c>
      <c r="CQ13" s="43">
        <f>+'3. Segment Analysis'!CQ13</f>
        <v>9</v>
      </c>
      <c r="CR13" s="43">
        <f>+'3. Segment Analysis'!CR13</f>
        <v>7</v>
      </c>
      <c r="CS13" s="43">
        <f>+'3. Segment Analysis'!CS13</f>
        <v>24</v>
      </c>
      <c r="CT13" s="36">
        <f>+'3. Segment Analysis'!CT13</f>
        <v>49</v>
      </c>
      <c r="CU13" s="43">
        <f>+'3. Segment Analysis'!CU13</f>
        <v>6</v>
      </c>
      <c r="CV13" s="43">
        <f>+'3. Segment Analysis'!CV13</f>
        <v>9</v>
      </c>
      <c r="CW13" s="43">
        <f>+'3. Segment Analysis'!CW13</f>
        <v>7</v>
      </c>
      <c r="CX13" s="43">
        <f>+'3. Segment Analysis'!CX13</f>
        <v>24</v>
      </c>
      <c r="CY13" s="36">
        <f>+'3. Segment Analysis'!CY13</f>
        <v>46</v>
      </c>
      <c r="CZ13" s="43">
        <f>+'3. Segment Analysis'!CZ13</f>
        <v>6</v>
      </c>
      <c r="DA13" s="43">
        <f>+'3. Segment Analysis'!DA13</f>
        <v>9</v>
      </c>
      <c r="DB13" s="43">
        <f>+'3. Segment Analysis'!DB13</f>
        <v>7</v>
      </c>
      <c r="DC13" s="43">
        <f>+'3. Segment Analysis'!DC13</f>
        <v>24</v>
      </c>
      <c r="DD13" s="36">
        <f>+'3. Segment Analysis'!DD13</f>
        <v>46</v>
      </c>
      <c r="DE13" s="43">
        <f>+'3. Segment Analysis'!DE13</f>
        <v>6</v>
      </c>
      <c r="DF13" s="43">
        <f>+'3. Segment Analysis'!DF13</f>
        <v>9</v>
      </c>
      <c r="DG13" s="43">
        <f>+'3. Segment Analysis'!DG13</f>
        <v>7</v>
      </c>
      <c r="DH13" s="43">
        <f>+'3. Segment Analysis'!DH13</f>
        <v>24</v>
      </c>
      <c r="DI13" s="36">
        <f>+'3. Segment Analysis'!DI13</f>
        <v>46</v>
      </c>
      <c r="DQ13" s="292"/>
    </row>
    <row r="14" spans="1:121" s="117" customFormat="1" ht="12" customHeight="1">
      <c r="A14" s="239"/>
      <c r="B14" s="362" t="s">
        <v>105</v>
      </c>
      <c r="C14" s="360" t="s">
        <v>1</v>
      </c>
      <c r="D14" s="361" t="s">
        <v>1</v>
      </c>
      <c r="E14" s="360" t="s">
        <v>1</v>
      </c>
      <c r="F14" s="361" t="s">
        <v>1</v>
      </c>
      <c r="G14" s="360" t="s">
        <v>1</v>
      </c>
      <c r="H14" s="361" t="s">
        <v>1</v>
      </c>
      <c r="I14" s="360" t="s">
        <v>1</v>
      </c>
      <c r="J14" s="361" t="s">
        <v>1</v>
      </c>
      <c r="K14" s="360" t="s">
        <v>1</v>
      </c>
      <c r="L14" s="361" t="s">
        <v>1</v>
      </c>
      <c r="M14" s="360" t="s">
        <v>1</v>
      </c>
      <c r="N14" s="361" t="s">
        <v>1</v>
      </c>
      <c r="O14" s="361" t="s">
        <v>1</v>
      </c>
      <c r="P14" s="363">
        <f t="shared" ref="P14:AU14" si="1">SUM(P9:P13)</f>
        <v>16757.099999999999</v>
      </c>
      <c r="Q14" s="364">
        <f t="shared" si="1"/>
        <v>16508.600000000002</v>
      </c>
      <c r="R14" s="360">
        <f t="shared" si="1"/>
        <v>4483</v>
      </c>
      <c r="S14" s="360">
        <f t="shared" si="1"/>
        <v>4231</v>
      </c>
      <c r="T14" s="360">
        <f t="shared" si="1"/>
        <v>4425</v>
      </c>
      <c r="U14" s="360">
        <f t="shared" si="1"/>
        <v>5006</v>
      </c>
      <c r="V14" s="364">
        <f t="shared" si="1"/>
        <v>18145</v>
      </c>
      <c r="W14" s="360">
        <f t="shared" si="1"/>
        <v>5313</v>
      </c>
      <c r="X14" s="360">
        <f t="shared" si="1"/>
        <v>5062</v>
      </c>
      <c r="Y14" s="360">
        <f t="shared" si="1"/>
        <v>5101</v>
      </c>
      <c r="Z14" s="360">
        <f t="shared" si="1"/>
        <v>5596</v>
      </c>
      <c r="AA14" s="364">
        <f t="shared" si="1"/>
        <v>21072</v>
      </c>
      <c r="AB14" s="364">
        <f t="shared" si="1"/>
        <v>21072</v>
      </c>
      <c r="AC14" s="360">
        <f t="shared" si="1"/>
        <v>6067</v>
      </c>
      <c r="AD14" s="360">
        <f t="shared" si="1"/>
        <v>5648</v>
      </c>
      <c r="AE14" s="360">
        <f t="shared" si="1"/>
        <v>5829</v>
      </c>
      <c r="AF14" s="360">
        <f t="shared" si="1"/>
        <v>6337</v>
      </c>
      <c r="AG14" s="364">
        <f t="shared" si="1"/>
        <v>23881</v>
      </c>
      <c r="AH14" s="360">
        <f t="shared" si="1"/>
        <v>6468</v>
      </c>
      <c r="AI14" s="360">
        <f t="shared" si="1"/>
        <v>6070</v>
      </c>
      <c r="AJ14" s="360">
        <f t="shared" si="1"/>
        <v>6554</v>
      </c>
      <c r="AK14" s="360">
        <f t="shared" si="1"/>
        <v>7020</v>
      </c>
      <c r="AL14" s="364">
        <f t="shared" si="1"/>
        <v>26112</v>
      </c>
      <c r="AM14" s="363">
        <f t="shared" si="1"/>
        <v>7421</v>
      </c>
      <c r="AN14" s="363">
        <f t="shared" si="1"/>
        <v>6959</v>
      </c>
      <c r="AO14" s="363">
        <f t="shared" si="1"/>
        <v>6939</v>
      </c>
      <c r="AP14" s="363">
        <f t="shared" si="1"/>
        <v>7382</v>
      </c>
      <c r="AQ14" s="364">
        <f t="shared" si="1"/>
        <v>28701</v>
      </c>
      <c r="AR14" s="363">
        <f t="shared" si="1"/>
        <v>7898</v>
      </c>
      <c r="AS14" s="363">
        <f t="shared" si="1"/>
        <v>7317</v>
      </c>
      <c r="AT14" s="363">
        <f t="shared" si="1"/>
        <v>7567</v>
      </c>
      <c r="AU14" s="363">
        <f t="shared" si="1"/>
        <v>7725</v>
      </c>
      <c r="AV14" s="364">
        <f t="shared" ref="AV14:CA14" si="2">SUM(AV9:AV13)</f>
        <v>30507</v>
      </c>
      <c r="AW14" s="363">
        <f t="shared" si="2"/>
        <v>8459</v>
      </c>
      <c r="AX14" s="363">
        <f t="shared" si="2"/>
        <v>7724</v>
      </c>
      <c r="AY14" s="363">
        <f t="shared" si="2"/>
        <v>7923</v>
      </c>
      <c r="AZ14" s="363">
        <f t="shared" si="2"/>
        <v>8127</v>
      </c>
      <c r="BA14" s="364">
        <f t="shared" si="2"/>
        <v>32233</v>
      </c>
      <c r="BB14" s="363">
        <f t="shared" si="2"/>
        <v>8585</v>
      </c>
      <c r="BC14" s="363">
        <f t="shared" si="2"/>
        <v>8136</v>
      </c>
      <c r="BD14" s="363">
        <f t="shared" si="2"/>
        <v>8495</v>
      </c>
      <c r="BE14" s="363">
        <f t="shared" si="2"/>
        <v>9269</v>
      </c>
      <c r="BF14" s="364">
        <f t="shared" si="2"/>
        <v>34485</v>
      </c>
      <c r="BG14" s="363">
        <f t="shared" si="2"/>
        <v>9417</v>
      </c>
      <c r="BH14" s="363">
        <f t="shared" si="2"/>
        <v>8946</v>
      </c>
      <c r="BI14" s="363">
        <f t="shared" si="2"/>
        <v>9148</v>
      </c>
      <c r="BJ14" s="363">
        <f t="shared" si="2"/>
        <v>9707</v>
      </c>
      <c r="BK14" s="364">
        <f t="shared" si="2"/>
        <v>37218</v>
      </c>
      <c r="BL14" s="363">
        <f t="shared" si="2"/>
        <v>10096</v>
      </c>
      <c r="BM14" s="363">
        <f t="shared" si="2"/>
        <v>9844</v>
      </c>
      <c r="BN14" s="363">
        <f t="shared" si="2"/>
        <v>9616</v>
      </c>
      <c r="BO14" s="363">
        <f t="shared" si="2"/>
        <v>6012</v>
      </c>
      <c r="BP14" s="364">
        <f t="shared" si="2"/>
        <v>35568</v>
      </c>
      <c r="BQ14" s="363">
        <f t="shared" si="2"/>
        <v>10018</v>
      </c>
      <c r="BR14" s="363">
        <f t="shared" si="2"/>
        <v>10741</v>
      </c>
      <c r="BS14" s="363">
        <f t="shared" si="2"/>
        <v>9773</v>
      </c>
      <c r="BT14" s="363">
        <f t="shared" si="2"/>
        <v>11761</v>
      </c>
      <c r="BU14" s="364">
        <f t="shared" si="2"/>
        <v>42293</v>
      </c>
      <c r="BV14" s="363">
        <f t="shared" si="2"/>
        <v>11640</v>
      </c>
      <c r="BW14" s="363">
        <f t="shared" si="2"/>
        <v>10816</v>
      </c>
      <c r="BX14" s="363">
        <f t="shared" si="2"/>
        <v>10323</v>
      </c>
      <c r="BY14" s="363">
        <f t="shared" si="2"/>
        <v>11657</v>
      </c>
      <c r="BZ14" s="364">
        <f t="shared" si="2"/>
        <v>44436</v>
      </c>
      <c r="CA14" s="363">
        <f t="shared" si="2"/>
        <v>12048</v>
      </c>
      <c r="CB14" s="363">
        <f t="shared" ref="CB14:CJ14" si="3">SUM(CB9:CB13)</f>
        <v>12724</v>
      </c>
      <c r="CC14" s="363">
        <f t="shared" si="3"/>
        <v>11766</v>
      </c>
      <c r="CD14" s="363">
        <f t="shared" si="3"/>
        <v>12225</v>
      </c>
      <c r="CE14" s="364">
        <f t="shared" si="3"/>
        <v>48763</v>
      </c>
      <c r="CF14" s="363">
        <f t="shared" si="3"/>
        <v>12353</v>
      </c>
      <c r="CG14" s="363">
        <f t="shared" si="3"/>
        <v>12872</v>
      </c>
      <c r="CH14" s="363">
        <f t="shared" si="3"/>
        <v>11948</v>
      </c>
      <c r="CI14" s="363">
        <f t="shared" si="3"/>
        <v>12149</v>
      </c>
      <c r="CJ14" s="364">
        <f t="shared" si="3"/>
        <v>49322</v>
      </c>
      <c r="CK14" s="363">
        <f t="shared" ref="CK14:CO14" si="4">SUM(CK9:CK13)</f>
        <v>11111</v>
      </c>
      <c r="CL14" s="363">
        <f>SUM(CL9:CL13)</f>
        <v>11950</v>
      </c>
      <c r="CM14" s="363">
        <f t="shared" si="4"/>
        <v>10890</v>
      </c>
      <c r="CN14" s="363">
        <f t="shared" si="4"/>
        <v>10763</v>
      </c>
      <c r="CO14" s="364">
        <f t="shared" si="4"/>
        <v>44714</v>
      </c>
      <c r="CP14" s="363">
        <f t="shared" ref="CP14:CT14" si="5">SUM(CP9:CP13)</f>
        <v>11362</v>
      </c>
      <c r="CQ14" s="363">
        <f t="shared" si="5"/>
        <v>12124</v>
      </c>
      <c r="CR14" s="363">
        <f t="shared" si="5"/>
        <v>11012</v>
      </c>
      <c r="CS14" s="363">
        <f t="shared" si="5"/>
        <v>10724</v>
      </c>
      <c r="CT14" s="364">
        <f t="shared" si="5"/>
        <v>45222</v>
      </c>
      <c r="CU14" s="363">
        <f t="shared" ref="CU14:CY14" si="6">SUM(CU9:CU13)</f>
        <v>10952</v>
      </c>
      <c r="CV14" s="363">
        <f t="shared" si="6"/>
        <v>10653.097940000001</v>
      </c>
      <c r="CW14" s="363">
        <f t="shared" si="6"/>
        <v>10094.783209999998</v>
      </c>
      <c r="CX14" s="363">
        <f t="shared" si="6"/>
        <v>9686.143369999998</v>
      </c>
      <c r="CY14" s="364">
        <f t="shared" si="6"/>
        <v>41386.024519999992</v>
      </c>
      <c r="CZ14" s="363">
        <f t="shared" ref="CZ14:DD14" si="7">SUM(CZ9:CZ13)</f>
        <v>10078.382809999999</v>
      </c>
      <c r="DA14" s="363">
        <f t="shared" si="7"/>
        <v>10146.259180099998</v>
      </c>
      <c r="DB14" s="363">
        <f t="shared" si="7"/>
        <v>9818.6710706999984</v>
      </c>
      <c r="DC14" s="363">
        <f t="shared" si="7"/>
        <v>9436.5960167999965</v>
      </c>
      <c r="DD14" s="364">
        <f t="shared" si="7"/>
        <v>39479.909077599994</v>
      </c>
      <c r="DE14" s="363">
        <f t="shared" ref="DE14:DI14" si="8">SUM(DE9:DE13)</f>
        <v>10084.204389799999</v>
      </c>
      <c r="DF14" s="363">
        <f t="shared" si="8"/>
        <v>10165.962353105997</v>
      </c>
      <c r="DG14" s="363">
        <f t="shared" si="8"/>
        <v>9887.7174743769992</v>
      </c>
      <c r="DH14" s="363">
        <f t="shared" si="8"/>
        <v>9505.3772653359993</v>
      </c>
      <c r="DI14" s="364">
        <f t="shared" si="8"/>
        <v>39643.261482618997</v>
      </c>
      <c r="DQ14" s="292"/>
    </row>
    <row r="15" spans="1:121" s="7" customFormat="1" ht="12" customHeight="1">
      <c r="A15" s="239"/>
      <c r="B15" s="20" t="s">
        <v>100</v>
      </c>
      <c r="C15" s="360" t="s">
        <v>1</v>
      </c>
      <c r="D15" s="361" t="s">
        <v>1</v>
      </c>
      <c r="E15" s="360" t="s">
        <v>1</v>
      </c>
      <c r="F15" s="361" t="s">
        <v>1</v>
      </c>
      <c r="G15" s="360" t="s">
        <v>1</v>
      </c>
      <c r="H15" s="361" t="s">
        <v>1</v>
      </c>
      <c r="I15" s="360" t="s">
        <v>1</v>
      </c>
      <c r="J15" s="361" t="s">
        <v>1</v>
      </c>
      <c r="K15" s="360" t="s">
        <v>1</v>
      </c>
      <c r="L15" s="361" t="s">
        <v>1</v>
      </c>
      <c r="M15" s="360" t="s">
        <v>1</v>
      </c>
      <c r="N15" s="361" t="s">
        <v>1</v>
      </c>
      <c r="O15" s="361" t="s">
        <v>1</v>
      </c>
      <c r="P15" s="39">
        <f>P39</f>
        <v>2419</v>
      </c>
      <c r="Q15" s="40">
        <f>Q39</f>
        <v>2529.5</v>
      </c>
      <c r="R15" s="39">
        <f>+'3. Segment Analysis'!R18</f>
        <v>694</v>
      </c>
      <c r="S15" s="39">
        <f>+'3. Segment Analysis'!S18</f>
        <v>639</v>
      </c>
      <c r="T15" s="39">
        <f>+'3. Segment Analysis'!T18</f>
        <v>680</v>
      </c>
      <c r="U15" s="39">
        <f>+'3. Segment Analysis'!U18</f>
        <v>773</v>
      </c>
      <c r="V15" s="40">
        <f>+'3. Segment Analysis'!V18</f>
        <v>2786</v>
      </c>
      <c r="W15" s="39">
        <f>+'3. Segment Analysis'!W18</f>
        <v>773</v>
      </c>
      <c r="X15" s="39">
        <f>+'3. Segment Analysis'!X18</f>
        <v>673</v>
      </c>
      <c r="Y15" s="39">
        <f>+'3. Segment Analysis'!Y18</f>
        <v>753</v>
      </c>
      <c r="Z15" s="39">
        <f>+'3. Segment Analysis'!Z18</f>
        <v>896</v>
      </c>
      <c r="AA15" s="40">
        <f>+'3. Segment Analysis'!AA18</f>
        <v>3095</v>
      </c>
      <c r="AB15" s="40">
        <f>+AA15</f>
        <v>3095</v>
      </c>
      <c r="AC15" s="39">
        <f>+'3. Segment Analysis'!AC18</f>
        <v>418</v>
      </c>
      <c r="AD15" s="39">
        <f>+'3. Segment Analysis'!AD18</f>
        <v>316</v>
      </c>
      <c r="AE15" s="39">
        <f>+'3. Segment Analysis'!AE18</f>
        <v>361</v>
      </c>
      <c r="AF15" s="39">
        <f>+'3. Segment Analysis'!AF18</f>
        <v>354</v>
      </c>
      <c r="AG15" s="40">
        <f>+'3. Segment Analysis'!AG18</f>
        <v>1449</v>
      </c>
      <c r="AH15" s="39">
        <f>+'3. Segment Analysis'!AH18</f>
        <v>494</v>
      </c>
      <c r="AI15" s="39">
        <f>+'3. Segment Analysis'!AI18</f>
        <v>360</v>
      </c>
      <c r="AJ15" s="39">
        <f>+'3. Segment Analysis'!AJ18</f>
        <v>420</v>
      </c>
      <c r="AK15" s="39">
        <f>+'3. Segment Analysis'!AK18</f>
        <v>410</v>
      </c>
      <c r="AL15" s="40">
        <f>+'3. Segment Analysis'!AL18</f>
        <v>1684</v>
      </c>
      <c r="AM15" s="43">
        <f>+'3. Segment Analysis'!AM18</f>
        <v>575</v>
      </c>
      <c r="AN15" s="43">
        <f>+'3. Segment Analysis'!AN18</f>
        <v>434</v>
      </c>
      <c r="AO15" s="43">
        <f>+'3. Segment Analysis'!AO18</f>
        <v>538</v>
      </c>
      <c r="AP15" s="43">
        <f>+'3. Segment Analysis'!AP18</f>
        <v>435</v>
      </c>
      <c r="AQ15" s="40">
        <f>+'3. Segment Analysis'!AQ18</f>
        <v>1982</v>
      </c>
      <c r="AR15" s="43">
        <f>+'3. Segment Analysis'!AR18</f>
        <v>555</v>
      </c>
      <c r="AS15" s="43">
        <f>+'3. Segment Analysis'!AS18</f>
        <v>398</v>
      </c>
      <c r="AT15" s="43">
        <f>+'3. Segment Analysis'!AT18</f>
        <v>489</v>
      </c>
      <c r="AU15" s="43">
        <f>+'3. Segment Analysis'!AU18</f>
        <v>513</v>
      </c>
      <c r="AV15" s="36">
        <f>+'3. Segment Analysis'!AV18</f>
        <v>1955</v>
      </c>
      <c r="AW15" s="43">
        <f>+'3. Segment Analysis'!AW18</f>
        <v>574</v>
      </c>
      <c r="AX15" s="43">
        <f>+'3. Segment Analysis'!AX18</f>
        <v>416</v>
      </c>
      <c r="AY15" s="43">
        <f>+'3. Segment Analysis'!AY18</f>
        <v>498</v>
      </c>
      <c r="AZ15" s="43">
        <f>+'3. Segment Analysis'!AZ18</f>
        <v>554</v>
      </c>
      <c r="BA15" s="36">
        <f>+'3. Segment Analysis'!BA18</f>
        <v>2042</v>
      </c>
      <c r="BB15" s="43">
        <f>+'3. Segment Analysis'!BB18</f>
        <v>483</v>
      </c>
      <c r="BC15" s="43">
        <f>+'3. Segment Analysis'!BC18</f>
        <v>408</v>
      </c>
      <c r="BD15" s="43">
        <f>+'3. Segment Analysis'!BD18</f>
        <v>483</v>
      </c>
      <c r="BE15" s="43">
        <f>+'3. Segment Analysis'!BE18</f>
        <v>512</v>
      </c>
      <c r="BF15" s="36">
        <f>+'3. Segment Analysis'!BF18</f>
        <v>1886</v>
      </c>
      <c r="BG15" s="43">
        <f>+'3. Segment Analysis'!BG18</f>
        <v>527</v>
      </c>
      <c r="BH15" s="43">
        <f>+'3. Segment Analysis'!BH18</f>
        <v>425</v>
      </c>
      <c r="BI15" s="43">
        <f>+'3. Segment Analysis'!BI18</f>
        <v>463</v>
      </c>
      <c r="BJ15" s="43">
        <f>+'3. Segment Analysis'!BJ18</f>
        <v>491</v>
      </c>
      <c r="BK15" s="36">
        <f>+'3. Segment Analysis'!BK18</f>
        <v>1906</v>
      </c>
      <c r="BL15" s="43">
        <f>+'3. Segment Analysis'!BL18</f>
        <v>555</v>
      </c>
      <c r="BM15" s="43">
        <f>+'3. Segment Analysis'!BM18</f>
        <v>480</v>
      </c>
      <c r="BN15" s="43">
        <f>+'3. Segment Analysis'!BN18</f>
        <v>506</v>
      </c>
      <c r="BO15" s="43">
        <f>+'3. Segment Analysis'!BO18</f>
        <v>305</v>
      </c>
      <c r="BP15" s="36">
        <f>+'3. Segment Analysis'!BP18</f>
        <v>1846</v>
      </c>
      <c r="BQ15" s="43">
        <f>+'3. Segment Analysis'!BQ18</f>
        <v>563</v>
      </c>
      <c r="BR15" s="43">
        <f>+'3. Segment Analysis'!BR18</f>
        <v>476</v>
      </c>
      <c r="BS15" s="43">
        <f>+'3. Segment Analysis'!BS18</f>
        <v>570</v>
      </c>
      <c r="BT15" s="43">
        <f>+'3. Segment Analysis'!BT18</f>
        <v>596</v>
      </c>
      <c r="BU15" s="36">
        <f>+'3. Segment Analysis'!BU18</f>
        <v>2205</v>
      </c>
      <c r="BV15" s="43">
        <f>+'3. Segment Analysis'!BV18</f>
        <v>629</v>
      </c>
      <c r="BW15" s="43">
        <f>+'3. Segment Analysis'!BW18</f>
        <v>557</v>
      </c>
      <c r="BX15" s="43">
        <f>+'3. Segment Analysis'!BX18</f>
        <v>567</v>
      </c>
      <c r="BY15" s="43">
        <f>+'3. Segment Analysis'!BY18</f>
        <v>593</v>
      </c>
      <c r="BZ15" s="36">
        <f>+'3. Segment Analysis'!BZ18</f>
        <v>2346</v>
      </c>
      <c r="CA15" s="43">
        <f>+'3. Segment Analysis'!CA18</f>
        <v>643</v>
      </c>
      <c r="CB15" s="43">
        <f>+'3. Segment Analysis'!CB18</f>
        <v>586</v>
      </c>
      <c r="CC15" s="43">
        <f>+'3. Segment Analysis'!CC18</f>
        <v>612</v>
      </c>
      <c r="CD15" s="43">
        <f>+'3. Segment Analysis'!CD18</f>
        <v>586</v>
      </c>
      <c r="CE15" s="36">
        <f>+'3. Segment Analysis'!CE18</f>
        <v>2427</v>
      </c>
      <c r="CF15" s="43">
        <f>+'3. Segment Analysis'!CF18</f>
        <v>588</v>
      </c>
      <c r="CG15" s="43">
        <f>+'3. Segment Analysis'!CG18</f>
        <v>519</v>
      </c>
      <c r="CH15" s="43">
        <f>+'3. Segment Analysis'!CH18</f>
        <v>495</v>
      </c>
      <c r="CI15" s="43">
        <f>+'3. Segment Analysis'!CI18</f>
        <v>480</v>
      </c>
      <c r="CJ15" s="36">
        <f>+'3. Segment Analysis'!CJ18</f>
        <v>2082</v>
      </c>
      <c r="CK15" s="43">
        <f>+'3. Segment Analysis'!CK18</f>
        <v>501</v>
      </c>
      <c r="CL15" s="43">
        <f>+'3. Segment Analysis'!CL18</f>
        <v>429</v>
      </c>
      <c r="CM15" s="43">
        <f>+'3. Segment Analysis'!CM18</f>
        <v>405</v>
      </c>
      <c r="CN15" s="43">
        <f>+'3. Segment Analysis'!CN18</f>
        <v>357</v>
      </c>
      <c r="CO15" s="36">
        <f>+'3. Segment Analysis'!CO18</f>
        <v>1692</v>
      </c>
      <c r="CP15" s="43">
        <f>+'3. Segment Analysis'!CP18</f>
        <v>366</v>
      </c>
      <c r="CQ15" s="43">
        <f>+'3. Segment Analysis'!CQ18</f>
        <v>300</v>
      </c>
      <c r="CR15" s="43">
        <f>+'3. Segment Analysis'!CR18</f>
        <v>264</v>
      </c>
      <c r="CS15" s="43">
        <f>+'3. Segment Analysis'!CS18</f>
        <v>244</v>
      </c>
      <c r="CT15" s="36">
        <f>+'3. Segment Analysis'!CT18</f>
        <v>1174</v>
      </c>
      <c r="CU15" s="43">
        <f>+'3. Segment Analysis'!CU18</f>
        <v>263</v>
      </c>
      <c r="CV15" s="43">
        <f>+'3. Segment Analysis'!CV18</f>
        <v>225</v>
      </c>
      <c r="CW15" s="43">
        <f>+'3. Segment Analysis'!CW18</f>
        <v>211.20000000000002</v>
      </c>
      <c r="CX15" s="43">
        <f>+'3. Segment Analysis'!CX18</f>
        <v>195.20000000000002</v>
      </c>
      <c r="CY15" s="36">
        <f>+'3. Segment Analysis'!CY18</f>
        <v>894.40000000000009</v>
      </c>
      <c r="CZ15" s="43">
        <f>+'3. Segment Analysis'!CZ18</f>
        <v>249.85</v>
      </c>
      <c r="DA15" s="43">
        <f>+'3. Segment Analysis'!DA18</f>
        <v>213.75</v>
      </c>
      <c r="DB15" s="43">
        <f>+'3. Segment Analysis'!DB18</f>
        <v>206.976</v>
      </c>
      <c r="DC15" s="43">
        <f>+'3. Segment Analysis'!DC18</f>
        <v>191.29600000000002</v>
      </c>
      <c r="DD15" s="36">
        <f>+'3. Segment Analysis'!DD18</f>
        <v>861.87200000000007</v>
      </c>
      <c r="DE15" s="43">
        <f>+'3. Segment Analysis'!DE18</f>
        <v>249.85</v>
      </c>
      <c r="DF15" s="43">
        <f>+'3. Segment Analysis'!DF18</f>
        <v>213.75</v>
      </c>
      <c r="DG15" s="43">
        <f>+'3. Segment Analysis'!DG18</f>
        <v>206.976</v>
      </c>
      <c r="DH15" s="43">
        <f>+'3. Segment Analysis'!DH18</f>
        <v>191.29600000000002</v>
      </c>
      <c r="DI15" s="36">
        <f>+'3. Segment Analysis'!DI18</f>
        <v>861.87200000000007</v>
      </c>
      <c r="DQ15" s="292"/>
    </row>
    <row r="16" spans="1:121" s="7" customFormat="1" ht="12" customHeight="1">
      <c r="A16" s="239"/>
      <c r="B16" s="20" t="s">
        <v>94</v>
      </c>
      <c r="C16" s="360" t="s">
        <v>1</v>
      </c>
      <c r="D16" s="361" t="s">
        <v>1</v>
      </c>
      <c r="E16" s="360" t="s">
        <v>1</v>
      </c>
      <c r="F16" s="361" t="s">
        <v>1</v>
      </c>
      <c r="G16" s="360" t="s">
        <v>1</v>
      </c>
      <c r="H16" s="361" t="s">
        <v>1</v>
      </c>
      <c r="I16" s="360" t="s">
        <v>1</v>
      </c>
      <c r="J16" s="361" t="s">
        <v>1</v>
      </c>
      <c r="K16" s="360" t="s">
        <v>1</v>
      </c>
      <c r="L16" s="361" t="s">
        <v>1</v>
      </c>
      <c r="M16" s="360" t="s">
        <v>1</v>
      </c>
      <c r="N16" s="361" t="s">
        <v>1</v>
      </c>
      <c r="O16" s="361" t="s">
        <v>1</v>
      </c>
      <c r="P16" s="39">
        <f>P40</f>
        <v>0</v>
      </c>
      <c r="Q16" s="40">
        <f>Q40</f>
        <v>-24.1</v>
      </c>
      <c r="R16" s="39">
        <f>+'3. Segment Analysis'!R19</f>
        <v>-2</v>
      </c>
      <c r="S16" s="39">
        <f>+'3. Segment Analysis'!S19</f>
        <v>-28</v>
      </c>
      <c r="T16" s="39">
        <f>+'3. Segment Analysis'!T19</f>
        <v>-26</v>
      </c>
      <c r="U16" s="39">
        <f>+'3. Segment Analysis'!U19</f>
        <v>-13</v>
      </c>
      <c r="V16" s="40">
        <f>+'3. Segment Analysis'!V19</f>
        <v>-69</v>
      </c>
      <c r="W16" s="39">
        <f>+'3. Segment Analysis'!W19</f>
        <v>-5</v>
      </c>
      <c r="X16" s="39">
        <f>+'3. Segment Analysis'!X19</f>
        <v>-4</v>
      </c>
      <c r="Y16" s="39">
        <f>+'3. Segment Analysis'!Y19</f>
        <v>-8</v>
      </c>
      <c r="Z16" s="39">
        <f>+'3. Segment Analysis'!Z19</f>
        <v>-22</v>
      </c>
      <c r="AA16" s="40">
        <f>+'3. Segment Analysis'!AA19</f>
        <v>-39</v>
      </c>
      <c r="AB16" s="40">
        <f>+AA16</f>
        <v>-39</v>
      </c>
      <c r="AC16" s="39">
        <f>+'3. Segment Analysis'!AC19</f>
        <v>-11</v>
      </c>
      <c r="AD16" s="39">
        <f>+'3. Segment Analysis'!AD19</f>
        <v>-9</v>
      </c>
      <c r="AE16" s="39">
        <f>+'3. Segment Analysis'!AE19</f>
        <v>-3</v>
      </c>
      <c r="AF16" s="39">
        <f>+'3. Segment Analysis'!AF19</f>
        <v>6</v>
      </c>
      <c r="AG16" s="40">
        <f>+'3. Segment Analysis'!AG19</f>
        <v>-17</v>
      </c>
      <c r="AH16" s="39">
        <f>+'3. Segment Analysis'!AH19</f>
        <v>9</v>
      </c>
      <c r="AI16" s="39">
        <f>+'3. Segment Analysis'!AI19</f>
        <v>1</v>
      </c>
      <c r="AJ16" s="39">
        <f>+'3. Segment Analysis'!AJ19</f>
        <v>-2</v>
      </c>
      <c r="AK16" s="39">
        <f>+'3. Segment Analysis'!AK19</f>
        <v>-5</v>
      </c>
      <c r="AL16" s="40">
        <f>+'3. Segment Analysis'!AL19</f>
        <v>3</v>
      </c>
      <c r="AM16" s="43">
        <f>+'3. Segment Analysis'!AM19</f>
        <v>-14</v>
      </c>
      <c r="AN16" s="43">
        <f>+'3. Segment Analysis'!AN19</f>
        <v>-13</v>
      </c>
      <c r="AO16" s="43">
        <f>+'3. Segment Analysis'!AO19</f>
        <v>-17</v>
      </c>
      <c r="AP16" s="43">
        <f>+'3. Segment Analysis'!AP19</f>
        <v>-38</v>
      </c>
      <c r="AQ16" s="40">
        <f>+'3. Segment Analysis'!AQ19</f>
        <v>-82</v>
      </c>
      <c r="AR16" s="43">
        <f>+'3. Segment Analysis'!AR19</f>
        <v>-39</v>
      </c>
      <c r="AS16" s="43">
        <f>+'3. Segment Analysis'!AS19</f>
        <v>-29</v>
      </c>
      <c r="AT16" s="43">
        <f>+'3. Segment Analysis'!AT19</f>
        <v>-24</v>
      </c>
      <c r="AU16" s="43">
        <f>+'3. Segment Analysis'!AU19</f>
        <v>6</v>
      </c>
      <c r="AV16" s="36">
        <f>+'3. Segment Analysis'!AV19</f>
        <v>-86</v>
      </c>
      <c r="AW16" s="43">
        <f>+'3. Segment Analysis'!AW19</f>
        <v>28</v>
      </c>
      <c r="AX16" s="43">
        <f>+'3. Segment Analysis'!AX19</f>
        <v>40</v>
      </c>
      <c r="AY16" s="43">
        <f>+'3. Segment Analysis'!AY19</f>
        <v>11</v>
      </c>
      <c r="AZ16" s="43">
        <f>+'3. Segment Analysis'!AZ19</f>
        <v>-4</v>
      </c>
      <c r="BA16" s="36">
        <f>+'3. Segment Analysis'!BA19</f>
        <v>75</v>
      </c>
      <c r="BB16" s="43">
        <f>+'3. Segment Analysis'!BB19</f>
        <v>2</v>
      </c>
      <c r="BC16" s="43">
        <f>+'3. Segment Analysis'!BC19</f>
        <v>10</v>
      </c>
      <c r="BD16" s="43">
        <f>+'3. Segment Analysis'!BD19</f>
        <v>6</v>
      </c>
      <c r="BE16" s="43">
        <f>+'3. Segment Analysis'!BE19</f>
        <v>8</v>
      </c>
      <c r="BF16" s="36">
        <f>+'3. Segment Analysis'!BF19</f>
        <v>26</v>
      </c>
      <c r="BG16" s="43">
        <f>+'3. Segment Analysis'!BG19</f>
        <v>4</v>
      </c>
      <c r="BH16" s="43">
        <f>+'3. Segment Analysis'!BH19</f>
        <v>3</v>
      </c>
      <c r="BI16" s="43">
        <f>+'3. Segment Analysis'!BI19</f>
        <v>0</v>
      </c>
      <c r="BJ16" s="43">
        <f>+'3. Segment Analysis'!BJ19</f>
        <v>-14</v>
      </c>
      <c r="BK16" s="36">
        <f>+'3. Segment Analysis'!BK19</f>
        <v>-7</v>
      </c>
      <c r="BL16" s="43">
        <f>+'3. Segment Analysis'!BL19</f>
        <v>9</v>
      </c>
      <c r="BM16" s="43">
        <f>+'3. Segment Analysis'!BM19</f>
        <v>2</v>
      </c>
      <c r="BN16" s="43">
        <f>+'3. Segment Analysis'!BN19</f>
        <v>-18</v>
      </c>
      <c r="BO16" s="43">
        <f>+'3. Segment Analysis'!BO19</f>
        <v>-4</v>
      </c>
      <c r="BP16" s="36">
        <f>+'3. Segment Analysis'!BP19</f>
        <v>-11</v>
      </c>
      <c r="BQ16" s="43">
        <f>+'3. Segment Analysis'!BQ19</f>
        <v>13</v>
      </c>
      <c r="BR16" s="43">
        <f>+'3. Segment Analysis'!BR19</f>
        <v>26</v>
      </c>
      <c r="BS16" s="43">
        <f>+'3. Segment Analysis'!BS19</f>
        <v>14</v>
      </c>
      <c r="BT16" s="43">
        <f>+'3. Segment Analysis'!BT19</f>
        <v>-13</v>
      </c>
      <c r="BU16" s="36">
        <f>+'3. Segment Analysis'!BU19</f>
        <v>40</v>
      </c>
      <c r="BV16" s="43">
        <f>+'3. Segment Analysis'!BV19</f>
        <v>-21</v>
      </c>
      <c r="BW16" s="43">
        <f>+'3. Segment Analysis'!BW19</f>
        <v>-16</v>
      </c>
      <c r="BX16" s="43">
        <f>+'3. Segment Analysis'!BX19</f>
        <v>-19</v>
      </c>
      <c r="BY16" s="43">
        <f>+'3. Segment Analysis'!BY19</f>
        <v>-16</v>
      </c>
      <c r="BZ16" s="36">
        <f>+'3. Segment Analysis'!BZ19</f>
        <v>-72</v>
      </c>
      <c r="CA16" s="43">
        <f>+'3. Segment Analysis'!CA19</f>
        <v>-4</v>
      </c>
      <c r="CB16" s="43">
        <f>+'3. Segment Analysis'!CB19</f>
        <v>5</v>
      </c>
      <c r="CC16" s="43">
        <f>+'3. Segment Analysis'!CC19</f>
        <v>12</v>
      </c>
      <c r="CD16" s="43">
        <f>+'3. Segment Analysis'!CD19</f>
        <v>14</v>
      </c>
      <c r="CE16" s="36">
        <f>+'3. Segment Analysis'!CE19</f>
        <v>27</v>
      </c>
      <c r="CF16" s="43">
        <f>+'3. Segment Analysis'!CF19</f>
        <v>-2</v>
      </c>
      <c r="CG16" s="43">
        <f>+'3. Segment Analysis'!CG19</f>
        <v>-3</v>
      </c>
      <c r="CH16" s="43">
        <f>+'3. Segment Analysis'!CH19</f>
        <v>-14</v>
      </c>
      <c r="CI16" s="43">
        <f>+'3. Segment Analysis'!CI19</f>
        <v>-23</v>
      </c>
      <c r="CJ16" s="36">
        <f>+'3. Segment Analysis'!CJ19</f>
        <v>-42</v>
      </c>
      <c r="CK16" s="43">
        <f>+'3. Segment Analysis'!CK19</f>
        <v>-23</v>
      </c>
      <c r="CL16" s="43">
        <f>+'3. Segment Analysis'!CL19</f>
        <v>-25</v>
      </c>
      <c r="CM16" s="43">
        <f>+'3. Segment Analysis'!CM19</f>
        <v>-26</v>
      </c>
      <c r="CN16" s="43">
        <f>+'3. Segment Analysis'!CN19</f>
        <v>-23</v>
      </c>
      <c r="CO16" s="36">
        <f>+'3. Segment Analysis'!CO19</f>
        <v>-97</v>
      </c>
      <c r="CP16" s="43">
        <f>+'3. Segment Analysis'!CP19</f>
        <v>-8</v>
      </c>
      <c r="CQ16" s="43">
        <f>+'3. Segment Analysis'!CQ19</f>
        <v>3</v>
      </c>
      <c r="CR16" s="43">
        <f>+'3. Segment Analysis'!CR19</f>
        <v>3</v>
      </c>
      <c r="CS16" s="43">
        <f>+'3. Segment Analysis'!CS19</f>
        <v>4</v>
      </c>
      <c r="CT16" s="36">
        <f>+'3. Segment Analysis'!CT19</f>
        <v>2</v>
      </c>
      <c r="CU16" s="43">
        <f>+'3. Segment Analysis'!CU19</f>
        <v>-2</v>
      </c>
      <c r="CV16" s="43">
        <f>+'3. Segment Analysis'!CV19</f>
        <v>0</v>
      </c>
      <c r="CW16" s="43">
        <f>+'3. Segment Analysis'!CW19</f>
        <v>0</v>
      </c>
      <c r="CX16" s="43">
        <f>+'3. Segment Analysis'!CX19</f>
        <v>0</v>
      </c>
      <c r="CY16" s="36">
        <f>+'3. Segment Analysis'!CY19</f>
        <v>-2</v>
      </c>
      <c r="CZ16" s="43">
        <f>+'3. Segment Analysis'!CZ19</f>
        <v>0</v>
      </c>
      <c r="DA16" s="43">
        <f>+'3. Segment Analysis'!DA19</f>
        <v>0</v>
      </c>
      <c r="DB16" s="43">
        <f>+'3. Segment Analysis'!DB19</f>
        <v>0</v>
      </c>
      <c r="DC16" s="43">
        <f>+'3. Segment Analysis'!DC19</f>
        <v>0</v>
      </c>
      <c r="DD16" s="36">
        <f>+'3. Segment Analysis'!DD19</f>
        <v>0</v>
      </c>
      <c r="DE16" s="43">
        <f>+'3. Segment Analysis'!DE19</f>
        <v>0</v>
      </c>
      <c r="DF16" s="43">
        <f>+'3. Segment Analysis'!DF19</f>
        <v>0</v>
      </c>
      <c r="DG16" s="43">
        <f>+'3. Segment Analysis'!DG19</f>
        <v>0</v>
      </c>
      <c r="DH16" s="43">
        <f>+'3. Segment Analysis'!DH19</f>
        <v>0</v>
      </c>
      <c r="DI16" s="36">
        <f>+'3. Segment Analysis'!DI19</f>
        <v>0</v>
      </c>
      <c r="DQ16" s="292"/>
    </row>
    <row r="17" spans="1:121" s="117" customFormat="1" ht="12" customHeight="1">
      <c r="A17" s="239"/>
      <c r="B17" s="362" t="s">
        <v>13</v>
      </c>
      <c r="C17" s="360">
        <f t="shared" ref="C17:O17" si="9">C57</f>
        <v>6470.625</v>
      </c>
      <c r="D17" s="361">
        <f t="shared" si="9"/>
        <v>9186.5390000000007</v>
      </c>
      <c r="E17" s="360">
        <f t="shared" si="9"/>
        <v>9553.0999999999985</v>
      </c>
      <c r="F17" s="361">
        <f t="shared" si="9"/>
        <v>8776.9000000000015</v>
      </c>
      <c r="G17" s="360">
        <f t="shared" si="9"/>
        <v>8995.1</v>
      </c>
      <c r="H17" s="361">
        <f t="shared" si="9"/>
        <v>9488.7999999999993</v>
      </c>
      <c r="I17" s="360">
        <f t="shared" si="9"/>
        <v>9893</v>
      </c>
      <c r="J17" s="361">
        <f t="shared" si="9"/>
        <v>10697</v>
      </c>
      <c r="K17" s="360">
        <f t="shared" si="9"/>
        <v>12253.1</v>
      </c>
      <c r="L17" s="361">
        <f t="shared" si="9"/>
        <v>13739.699999999999</v>
      </c>
      <c r="M17" s="360">
        <f t="shared" si="9"/>
        <v>14954.9</v>
      </c>
      <c r="N17" s="361">
        <f t="shared" si="9"/>
        <v>16325.900000000001</v>
      </c>
      <c r="O17" s="361">
        <f t="shared" si="9"/>
        <v>18627</v>
      </c>
      <c r="P17" s="363">
        <f t="shared" ref="P17:AU17" si="10">+P14+P15+P16</f>
        <v>19176.099999999999</v>
      </c>
      <c r="Q17" s="364">
        <f t="shared" si="10"/>
        <v>19014.000000000004</v>
      </c>
      <c r="R17" s="360">
        <f t="shared" si="10"/>
        <v>5175</v>
      </c>
      <c r="S17" s="360">
        <f t="shared" si="10"/>
        <v>4842</v>
      </c>
      <c r="T17" s="360">
        <f t="shared" si="10"/>
        <v>5079</v>
      </c>
      <c r="U17" s="360">
        <f t="shared" si="10"/>
        <v>5766</v>
      </c>
      <c r="V17" s="364">
        <f t="shared" si="10"/>
        <v>20862</v>
      </c>
      <c r="W17" s="360">
        <f t="shared" si="10"/>
        <v>6081</v>
      </c>
      <c r="X17" s="360">
        <f t="shared" si="10"/>
        <v>5731</v>
      </c>
      <c r="Y17" s="360">
        <f t="shared" si="10"/>
        <v>5846</v>
      </c>
      <c r="Z17" s="360">
        <f t="shared" si="10"/>
        <v>6470</v>
      </c>
      <c r="AA17" s="364">
        <f t="shared" si="10"/>
        <v>24128</v>
      </c>
      <c r="AB17" s="364">
        <f t="shared" si="10"/>
        <v>24128</v>
      </c>
      <c r="AC17" s="360">
        <f t="shared" si="10"/>
        <v>6474</v>
      </c>
      <c r="AD17" s="360">
        <f t="shared" si="10"/>
        <v>5955</v>
      </c>
      <c r="AE17" s="360">
        <f t="shared" si="10"/>
        <v>6187</v>
      </c>
      <c r="AF17" s="360">
        <f t="shared" si="10"/>
        <v>6697</v>
      </c>
      <c r="AG17" s="364">
        <f t="shared" si="10"/>
        <v>25313</v>
      </c>
      <c r="AH17" s="360">
        <f t="shared" si="10"/>
        <v>6971</v>
      </c>
      <c r="AI17" s="360">
        <f t="shared" si="10"/>
        <v>6431</v>
      </c>
      <c r="AJ17" s="360">
        <f t="shared" si="10"/>
        <v>6972</v>
      </c>
      <c r="AK17" s="360">
        <f t="shared" si="10"/>
        <v>7425</v>
      </c>
      <c r="AL17" s="364">
        <f t="shared" si="10"/>
        <v>27799</v>
      </c>
      <c r="AM17" s="363">
        <f t="shared" si="10"/>
        <v>7982</v>
      </c>
      <c r="AN17" s="363">
        <f t="shared" si="10"/>
        <v>7380</v>
      </c>
      <c r="AO17" s="363">
        <f t="shared" si="10"/>
        <v>7460</v>
      </c>
      <c r="AP17" s="363">
        <f t="shared" si="10"/>
        <v>7779</v>
      </c>
      <c r="AQ17" s="364">
        <f t="shared" si="10"/>
        <v>30601</v>
      </c>
      <c r="AR17" s="363">
        <f t="shared" si="10"/>
        <v>8414</v>
      </c>
      <c r="AS17" s="363">
        <f t="shared" si="10"/>
        <v>7686</v>
      </c>
      <c r="AT17" s="363">
        <f t="shared" si="10"/>
        <v>8032</v>
      </c>
      <c r="AU17" s="363">
        <f t="shared" si="10"/>
        <v>8244</v>
      </c>
      <c r="AV17" s="364">
        <f t="shared" ref="AV17:CA17" si="11">+AV14+AV15+AV16</f>
        <v>32376</v>
      </c>
      <c r="AW17" s="363">
        <f t="shared" si="11"/>
        <v>9061</v>
      </c>
      <c r="AX17" s="363">
        <f t="shared" si="11"/>
        <v>8180</v>
      </c>
      <c r="AY17" s="363">
        <f t="shared" si="11"/>
        <v>8432</v>
      </c>
      <c r="AZ17" s="363">
        <f t="shared" si="11"/>
        <v>8677</v>
      </c>
      <c r="BA17" s="364">
        <f t="shared" si="11"/>
        <v>34350</v>
      </c>
      <c r="BB17" s="363">
        <f t="shared" si="11"/>
        <v>9070</v>
      </c>
      <c r="BC17" s="363">
        <f t="shared" si="11"/>
        <v>8554</v>
      </c>
      <c r="BD17" s="363">
        <f t="shared" si="11"/>
        <v>8984</v>
      </c>
      <c r="BE17" s="363">
        <f t="shared" si="11"/>
        <v>9789</v>
      </c>
      <c r="BF17" s="364">
        <f t="shared" si="11"/>
        <v>36397</v>
      </c>
      <c r="BG17" s="363">
        <f t="shared" si="11"/>
        <v>9948</v>
      </c>
      <c r="BH17" s="363">
        <f t="shared" si="11"/>
        <v>9374</v>
      </c>
      <c r="BI17" s="363">
        <f t="shared" si="11"/>
        <v>9611</v>
      </c>
      <c r="BJ17" s="363">
        <f t="shared" si="11"/>
        <v>10184</v>
      </c>
      <c r="BK17" s="364">
        <f t="shared" si="11"/>
        <v>39117</v>
      </c>
      <c r="BL17" s="363">
        <f t="shared" si="11"/>
        <v>10660</v>
      </c>
      <c r="BM17" s="363">
        <f t="shared" si="11"/>
        <v>10326</v>
      </c>
      <c r="BN17" s="363">
        <f t="shared" si="11"/>
        <v>10104</v>
      </c>
      <c r="BO17" s="363">
        <f t="shared" si="11"/>
        <v>6313</v>
      </c>
      <c r="BP17" s="364">
        <f t="shared" si="11"/>
        <v>37403</v>
      </c>
      <c r="BQ17" s="363">
        <f t="shared" si="11"/>
        <v>10594</v>
      </c>
      <c r="BR17" s="363">
        <f t="shared" si="11"/>
        <v>11243</v>
      </c>
      <c r="BS17" s="363">
        <f t="shared" si="11"/>
        <v>10357</v>
      </c>
      <c r="BT17" s="363">
        <f t="shared" si="11"/>
        <v>12344</v>
      </c>
      <c r="BU17" s="364">
        <f t="shared" si="11"/>
        <v>44538</v>
      </c>
      <c r="BV17" s="363">
        <f t="shared" si="11"/>
        <v>12248</v>
      </c>
      <c r="BW17" s="363">
        <f t="shared" si="11"/>
        <v>11357</v>
      </c>
      <c r="BX17" s="363">
        <f t="shared" si="11"/>
        <v>10871</v>
      </c>
      <c r="BY17" s="363">
        <f t="shared" si="11"/>
        <v>12234</v>
      </c>
      <c r="BZ17" s="364">
        <f t="shared" si="11"/>
        <v>46710</v>
      </c>
      <c r="CA17" s="363">
        <f t="shared" si="11"/>
        <v>12687</v>
      </c>
      <c r="CB17" s="363">
        <f t="shared" ref="CB17:CJ17" si="12">+CB14+CB15+CB16</f>
        <v>13315</v>
      </c>
      <c r="CC17" s="363">
        <f t="shared" si="12"/>
        <v>12390</v>
      </c>
      <c r="CD17" s="363">
        <f t="shared" si="12"/>
        <v>12825</v>
      </c>
      <c r="CE17" s="364">
        <f t="shared" si="12"/>
        <v>51217</v>
      </c>
      <c r="CF17" s="363">
        <f t="shared" si="12"/>
        <v>12939</v>
      </c>
      <c r="CG17" s="363">
        <f t="shared" si="12"/>
        <v>13388</v>
      </c>
      <c r="CH17" s="363">
        <f t="shared" si="12"/>
        <v>12429</v>
      </c>
      <c r="CI17" s="363">
        <f t="shared" si="12"/>
        <v>12606</v>
      </c>
      <c r="CJ17" s="364">
        <f t="shared" si="12"/>
        <v>51362</v>
      </c>
      <c r="CK17" s="363">
        <f t="shared" ref="CK17:CO17" si="13">+CK14+CK15+CK16</f>
        <v>11589</v>
      </c>
      <c r="CL17" s="363">
        <f t="shared" si="13"/>
        <v>12354</v>
      </c>
      <c r="CM17" s="363">
        <f t="shared" si="13"/>
        <v>11269</v>
      </c>
      <c r="CN17" s="363">
        <f t="shared" si="13"/>
        <v>11097</v>
      </c>
      <c r="CO17" s="364">
        <f t="shared" si="13"/>
        <v>46309</v>
      </c>
      <c r="CP17" s="363">
        <f t="shared" ref="CP17:CT17" si="14">+CP14+CP15+CP16</f>
        <v>11720</v>
      </c>
      <c r="CQ17" s="363">
        <f t="shared" si="14"/>
        <v>12427</v>
      </c>
      <c r="CR17" s="363">
        <f t="shared" si="14"/>
        <v>11279</v>
      </c>
      <c r="CS17" s="363">
        <f t="shared" si="14"/>
        <v>10972</v>
      </c>
      <c r="CT17" s="364">
        <f t="shared" si="14"/>
        <v>46398</v>
      </c>
      <c r="CU17" s="363">
        <f t="shared" ref="CU17:CY17" si="15">+CU14+CU15+CU16</f>
        <v>11213</v>
      </c>
      <c r="CV17" s="363">
        <f t="shared" si="15"/>
        <v>10878.097940000001</v>
      </c>
      <c r="CW17" s="363">
        <f t="shared" si="15"/>
        <v>10305.983209999999</v>
      </c>
      <c r="CX17" s="363">
        <f t="shared" si="15"/>
        <v>9881.3433699999987</v>
      </c>
      <c r="CY17" s="364">
        <f t="shared" si="15"/>
        <v>42278.424519999993</v>
      </c>
      <c r="CZ17" s="363">
        <f t="shared" ref="CZ17:DD17" si="16">+CZ14+CZ15+CZ16</f>
        <v>10328.23281</v>
      </c>
      <c r="DA17" s="363">
        <f t="shared" si="16"/>
        <v>10360.009180099998</v>
      </c>
      <c r="DB17" s="363">
        <f t="shared" si="16"/>
        <v>10025.647070699999</v>
      </c>
      <c r="DC17" s="363">
        <f t="shared" si="16"/>
        <v>9627.8920167999968</v>
      </c>
      <c r="DD17" s="364">
        <f t="shared" si="16"/>
        <v>40341.781077599997</v>
      </c>
      <c r="DE17" s="363">
        <f t="shared" ref="DE17:DI17" si="17">+DE14+DE15+DE16</f>
        <v>10334.0543898</v>
      </c>
      <c r="DF17" s="363">
        <f t="shared" si="17"/>
        <v>10379.712353105997</v>
      </c>
      <c r="DG17" s="363">
        <f t="shared" si="17"/>
        <v>10094.693474377</v>
      </c>
      <c r="DH17" s="363">
        <f t="shared" si="17"/>
        <v>9696.6732653359995</v>
      </c>
      <c r="DI17" s="364">
        <f t="shared" si="17"/>
        <v>40505.133482619</v>
      </c>
      <c r="DQ17" s="292"/>
    </row>
    <row r="18" spans="1:121" s="7" customFormat="1" ht="12" customHeight="1">
      <c r="A18" s="239"/>
      <c r="B18" s="20"/>
      <c r="C18" s="43"/>
      <c r="D18" s="36"/>
      <c r="E18" s="43"/>
      <c r="F18" s="36"/>
      <c r="G18" s="43"/>
      <c r="H18" s="36"/>
      <c r="I18" s="43"/>
      <c r="J18" s="36"/>
      <c r="K18" s="43"/>
      <c r="L18" s="36"/>
      <c r="M18" s="43"/>
      <c r="N18" s="36"/>
      <c r="O18" s="36"/>
      <c r="P18" s="43"/>
      <c r="Q18" s="36"/>
      <c r="R18" s="43"/>
      <c r="S18" s="43"/>
      <c r="T18" s="43"/>
      <c r="U18" s="43"/>
      <c r="V18" s="211"/>
      <c r="W18" s="43"/>
      <c r="X18" s="43"/>
      <c r="Y18" s="43"/>
      <c r="Z18" s="43"/>
      <c r="AA18" s="211"/>
      <c r="AB18" s="36"/>
      <c r="AC18" s="43"/>
      <c r="AD18" s="43"/>
      <c r="AE18" s="43"/>
      <c r="AF18" s="43"/>
      <c r="AG18" s="211"/>
      <c r="AH18" s="43"/>
      <c r="AI18" s="43"/>
      <c r="AJ18" s="43"/>
      <c r="AK18" s="43"/>
      <c r="AL18" s="211"/>
      <c r="AM18" s="43"/>
      <c r="AN18" s="43"/>
      <c r="AO18" s="43"/>
      <c r="AP18" s="43"/>
      <c r="AQ18" s="211"/>
      <c r="AR18" s="43"/>
      <c r="AS18" s="43"/>
      <c r="AT18" s="43"/>
      <c r="AU18" s="43"/>
      <c r="AV18" s="211"/>
      <c r="AW18" s="43"/>
      <c r="AX18" s="43"/>
      <c r="AY18" s="43"/>
      <c r="AZ18" s="43"/>
      <c r="BA18" s="211"/>
      <c r="BB18" s="43"/>
      <c r="BC18" s="43"/>
      <c r="BD18" s="43"/>
      <c r="BE18" s="43"/>
      <c r="BF18" s="211"/>
      <c r="BG18" s="43"/>
      <c r="BH18" s="43"/>
      <c r="BI18" s="43"/>
      <c r="BJ18" s="43"/>
      <c r="BK18" s="211"/>
      <c r="BL18" s="43"/>
      <c r="BM18" s="43"/>
      <c r="BN18" s="43"/>
      <c r="BO18" s="43"/>
      <c r="BP18" s="36"/>
      <c r="BQ18" s="43"/>
      <c r="BR18" s="43"/>
      <c r="BS18" s="43"/>
      <c r="BT18" s="43"/>
      <c r="BU18" s="36"/>
      <c r="BV18" s="43"/>
      <c r="BW18" s="43"/>
      <c r="BX18" s="43"/>
      <c r="BY18" s="43"/>
      <c r="BZ18" s="36"/>
      <c r="CA18" s="43"/>
      <c r="CB18" s="43"/>
      <c r="CC18" s="43"/>
      <c r="CD18" s="43"/>
      <c r="CE18" s="36"/>
      <c r="CF18" s="43"/>
      <c r="CG18" s="260"/>
      <c r="CH18" s="43"/>
      <c r="CI18" s="43"/>
      <c r="CJ18" s="36"/>
      <c r="CK18" s="43"/>
      <c r="CL18" s="260"/>
      <c r="CM18" s="43"/>
      <c r="CN18" s="43"/>
      <c r="CO18" s="36"/>
      <c r="CP18" s="43"/>
      <c r="CQ18" s="260"/>
      <c r="CR18" s="43"/>
      <c r="CS18" s="43"/>
      <c r="CT18" s="36"/>
      <c r="CU18" s="43"/>
      <c r="CV18" s="43"/>
      <c r="CW18" s="43"/>
      <c r="CX18" s="43"/>
      <c r="CY18" s="36"/>
      <c r="CZ18" s="43"/>
      <c r="DA18" s="43"/>
      <c r="DB18" s="43"/>
      <c r="DC18" s="43"/>
      <c r="DD18" s="36"/>
      <c r="DE18" s="43"/>
      <c r="DF18" s="43"/>
      <c r="DG18" s="43"/>
      <c r="DH18" s="43"/>
      <c r="DI18" s="36"/>
    </row>
    <row r="19" spans="1:121" s="7" customFormat="1" ht="12" customHeight="1">
      <c r="B19" s="293" t="s">
        <v>230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37"/>
      <c r="CX19" s="37"/>
      <c r="CY19" s="37"/>
      <c r="CZ19" s="37"/>
      <c r="DA19" s="48"/>
      <c r="DB19" s="37"/>
      <c r="DC19" s="37"/>
      <c r="DD19" s="37"/>
      <c r="DE19" s="37"/>
      <c r="DF19" s="48"/>
      <c r="DG19" s="48"/>
      <c r="DH19" s="48"/>
      <c r="DI19" s="294"/>
    </row>
    <row r="20" spans="1:121" s="7" customFormat="1" ht="12" customHeight="1">
      <c r="A20" s="239"/>
      <c r="B20" s="20" t="s">
        <v>87</v>
      </c>
      <c r="C20" s="360" t="s">
        <v>1</v>
      </c>
      <c r="D20" s="361" t="s">
        <v>1</v>
      </c>
      <c r="E20" s="360" t="s">
        <v>1</v>
      </c>
      <c r="F20" s="361" t="s">
        <v>1</v>
      </c>
      <c r="G20" s="360" t="s">
        <v>1</v>
      </c>
      <c r="H20" s="361" t="s">
        <v>1</v>
      </c>
      <c r="I20" s="360" t="s">
        <v>1</v>
      </c>
      <c r="J20" s="361" t="s">
        <v>1</v>
      </c>
      <c r="K20" s="360" t="s">
        <v>1</v>
      </c>
      <c r="L20" s="361" t="s">
        <v>1</v>
      </c>
      <c r="M20" s="360" t="s">
        <v>1</v>
      </c>
      <c r="N20" s="361" t="s">
        <v>1</v>
      </c>
      <c r="O20" s="361" t="s">
        <v>1</v>
      </c>
      <c r="P20" s="39">
        <f>P44</f>
        <v>1429.3000000000002</v>
      </c>
      <c r="Q20" s="40">
        <f>Q44</f>
        <v>1538.1</v>
      </c>
      <c r="R20" s="39">
        <f>+'3. Segment Analysis'!R163</f>
        <v>443</v>
      </c>
      <c r="S20" s="39">
        <f>+'3. Segment Analysis'!S163</f>
        <v>356</v>
      </c>
      <c r="T20" s="39">
        <f>+'3. Segment Analysis'!T163</f>
        <v>419</v>
      </c>
      <c r="U20" s="39">
        <f>+'3. Segment Analysis'!U163</f>
        <v>518</v>
      </c>
      <c r="V20" s="40">
        <f>+'3. Segment Analysis'!V163</f>
        <v>1736</v>
      </c>
      <c r="W20" s="39">
        <f>+'3. Segment Analysis'!W163</f>
        <v>534</v>
      </c>
      <c r="X20" s="39">
        <f>+'3. Segment Analysis'!X163</f>
        <v>418</v>
      </c>
      <c r="Y20" s="39">
        <f>+'3. Segment Analysis'!Y163</f>
        <v>496</v>
      </c>
      <c r="Z20" s="39">
        <f>+'3. Segment Analysis'!Z163</f>
        <v>559</v>
      </c>
      <c r="AA20" s="40">
        <f>+'3. Segment Analysis'!AA163</f>
        <v>2007</v>
      </c>
      <c r="AB20" s="36"/>
      <c r="AC20" s="39">
        <f>+'3. Segment Analysis'!AC163</f>
        <v>645</v>
      </c>
      <c r="AD20" s="39">
        <f>+'3. Segment Analysis'!AD163</f>
        <v>565</v>
      </c>
      <c r="AE20" s="39">
        <f>+'3. Segment Analysis'!AE163</f>
        <v>653</v>
      </c>
      <c r="AF20" s="39">
        <f>+'3. Segment Analysis'!AF163</f>
        <v>778</v>
      </c>
      <c r="AG20" s="40">
        <f>AG44</f>
        <v>2641</v>
      </c>
      <c r="AH20" s="39">
        <f>+'3. Segment Analysis'!AH163</f>
        <v>813</v>
      </c>
      <c r="AI20" s="39">
        <f>+'3. Segment Analysis'!AI163</f>
        <v>649</v>
      </c>
      <c r="AJ20" s="39">
        <f>+'3. Segment Analysis'!AJ163</f>
        <v>729</v>
      </c>
      <c r="AK20" s="39">
        <f>+'3. Segment Analysis'!AK163</f>
        <v>888</v>
      </c>
      <c r="AL20" s="40">
        <f>+'3. Segment Analysis'!AL163</f>
        <v>3079</v>
      </c>
      <c r="AM20" s="39">
        <f>+'3. Segment Analysis'!AM163</f>
        <v>970</v>
      </c>
      <c r="AN20" s="39">
        <f>+'3. Segment Analysis'!AN163</f>
        <v>785</v>
      </c>
      <c r="AO20" s="39">
        <f>+'3. Segment Analysis'!AO163</f>
        <v>830</v>
      </c>
      <c r="AP20" s="39">
        <f>+'3. Segment Analysis'!AP163</f>
        <v>1060</v>
      </c>
      <c r="AQ20" s="40">
        <f>+'3. Segment Analysis'!AQ163</f>
        <v>3645</v>
      </c>
      <c r="AR20" s="43">
        <f>+'3. Segment Analysis'!AR163</f>
        <v>1042</v>
      </c>
      <c r="AS20" s="43">
        <f>+'3. Segment Analysis'!AS163</f>
        <v>882</v>
      </c>
      <c r="AT20" s="43">
        <f>+'3. Segment Analysis'!AT163</f>
        <v>903</v>
      </c>
      <c r="AU20" s="43">
        <f>+'3. Segment Analysis'!AU163</f>
        <v>936</v>
      </c>
      <c r="AV20" s="36">
        <f>+'3. Segment Analysis'!AV163</f>
        <v>3763</v>
      </c>
      <c r="AW20" s="43">
        <f>+'3. Segment Analysis'!AW163</f>
        <v>1004</v>
      </c>
      <c r="AX20" s="43">
        <f>+'3. Segment Analysis'!AX163</f>
        <v>912</v>
      </c>
      <c r="AY20" s="43">
        <f>+'3. Segment Analysis'!AY163</f>
        <v>980</v>
      </c>
      <c r="AZ20" s="43">
        <f>+'3. Segment Analysis'!AZ163</f>
        <v>979</v>
      </c>
      <c r="BA20" s="36">
        <f>+'3. Segment Analysis'!BA163</f>
        <v>3875</v>
      </c>
      <c r="BB20" s="43">
        <f>+'3. Segment Analysis'!BB163</f>
        <v>1002</v>
      </c>
      <c r="BC20" s="43">
        <f>+'3. Segment Analysis'!BC163</f>
        <v>783</v>
      </c>
      <c r="BD20" s="43">
        <f>+'3. Segment Analysis'!BD163</f>
        <v>840</v>
      </c>
      <c r="BE20" s="43">
        <f>+'3. Segment Analysis'!BE163</f>
        <v>975</v>
      </c>
      <c r="BF20" s="36">
        <f>+'3. Segment Analysis'!BF163</f>
        <v>3600</v>
      </c>
      <c r="BG20" s="43">
        <f>+'3. Segment Analysis'!BG163</f>
        <v>1077</v>
      </c>
      <c r="BH20" s="43">
        <f>+'3. Segment Analysis'!BH163</f>
        <v>884</v>
      </c>
      <c r="BI20" s="43">
        <f>+'3. Segment Analysis'!BI163</f>
        <v>916</v>
      </c>
      <c r="BJ20" s="43">
        <f>+'3. Segment Analysis'!BJ163</f>
        <v>1048</v>
      </c>
      <c r="BK20" s="36">
        <f>+'3. Segment Analysis'!BK163</f>
        <v>3925</v>
      </c>
      <c r="BL20" s="43">
        <f>+'3. Segment Analysis'!BL163</f>
        <v>1100</v>
      </c>
      <c r="BM20" s="43">
        <f>+'3. Segment Analysis'!BM163</f>
        <v>875</v>
      </c>
      <c r="BN20" s="43">
        <f>+'3. Segment Analysis'!BN163</f>
        <v>937</v>
      </c>
      <c r="BO20" s="43">
        <f>+'3. Segment Analysis'!BO163</f>
        <v>-13</v>
      </c>
      <c r="BP20" s="36">
        <f>+'3. Segment Analysis'!BP163</f>
        <v>2899</v>
      </c>
      <c r="BQ20" s="43">
        <f>+'3. Segment Analysis'!BQ163</f>
        <v>1302</v>
      </c>
      <c r="BR20" s="43">
        <f>+'3. Segment Analysis'!BR163</f>
        <v>1023</v>
      </c>
      <c r="BS20" s="43">
        <f>+'3. Segment Analysis'!BS163</f>
        <v>970</v>
      </c>
      <c r="BT20" s="43">
        <f>+'3. Segment Analysis'!BT163</f>
        <v>1794</v>
      </c>
      <c r="BU20" s="36">
        <f>+'3. Segment Analysis'!BU163</f>
        <v>5089</v>
      </c>
      <c r="BV20" s="43">
        <f>+'3. Segment Analysis'!BV163</f>
        <v>1434</v>
      </c>
      <c r="BW20" s="43">
        <f>+'3. Segment Analysis'!BW163</f>
        <v>1235</v>
      </c>
      <c r="BX20" s="43">
        <f>+'3. Segment Analysis'!BX163</f>
        <v>967</v>
      </c>
      <c r="BY20" s="43">
        <f>+'3. Segment Analysis'!BY163</f>
        <v>1478</v>
      </c>
      <c r="BZ20" s="36">
        <f>+'3. Segment Analysis'!BZ163</f>
        <v>5114</v>
      </c>
      <c r="CA20" s="43">
        <f>+'3. Segment Analysis'!CA163</f>
        <v>1377</v>
      </c>
      <c r="CB20" s="43">
        <f>+'3. Segment Analysis'!CB163</f>
        <v>1497</v>
      </c>
      <c r="CC20" s="43">
        <f>+'3. Segment Analysis'!CC163</f>
        <v>1190</v>
      </c>
      <c r="CD20" s="43">
        <f>+'3. Segment Analysis'!CD163</f>
        <v>1390</v>
      </c>
      <c r="CE20" s="36">
        <f>+'3. Segment Analysis'!CE163</f>
        <v>5454</v>
      </c>
      <c r="CF20" s="43">
        <f>+'3. Segment Analysis'!CF163</f>
        <v>1434</v>
      </c>
      <c r="CG20" s="43">
        <f>+'3. Segment Analysis'!CG163</f>
        <v>1526</v>
      </c>
      <c r="CH20" s="43">
        <f>+'3. Segment Analysis'!CH163</f>
        <v>1400</v>
      </c>
      <c r="CI20" s="43">
        <f>+'3. Segment Analysis'!CI163</f>
        <v>1462</v>
      </c>
      <c r="CJ20" s="36">
        <f>+'3. Segment Analysis'!CJ163</f>
        <v>5822</v>
      </c>
      <c r="CK20" s="43">
        <f>+'3. Segment Analysis'!CK163</f>
        <v>1216</v>
      </c>
      <c r="CL20" s="43">
        <f>+'3. Segment Analysis'!CL163</f>
        <v>1371</v>
      </c>
      <c r="CM20" s="43">
        <f>+'3. Segment Analysis'!CM163</f>
        <v>1103</v>
      </c>
      <c r="CN20" s="43">
        <f>+'3. Segment Analysis'!CN163</f>
        <v>1045</v>
      </c>
      <c r="CO20" s="36">
        <f>+'3. Segment Analysis'!CO163</f>
        <v>4735</v>
      </c>
      <c r="CP20" s="43">
        <f>+'3. Segment Analysis'!CP163</f>
        <v>1134</v>
      </c>
      <c r="CQ20" s="43">
        <f>+'3. Segment Analysis'!CQ163</f>
        <v>1261</v>
      </c>
      <c r="CR20" s="43">
        <f>+'3. Segment Analysis'!CR163</f>
        <v>981</v>
      </c>
      <c r="CS20" s="43">
        <f>+'3. Segment Analysis'!CS163</f>
        <v>2000</v>
      </c>
      <c r="CT20" s="36">
        <f>+'3. Segment Analysis'!CT163</f>
        <v>5376</v>
      </c>
      <c r="CU20" s="43">
        <f>+'3. Segment Analysis'!CU163</f>
        <v>1170</v>
      </c>
      <c r="CV20" s="43">
        <f>+'3. Segment Analysis'!CV163</f>
        <v>1181.2083968388604</v>
      </c>
      <c r="CW20" s="43">
        <f>+'3. Segment Analysis'!CW163</f>
        <v>1032.6907707027453</v>
      </c>
      <c r="CX20" s="43">
        <f>+'3. Segment Analysis'!CX163</f>
        <v>1517.0296329715227</v>
      </c>
      <c r="CY20" s="36">
        <f>+'3. Segment Analysis'!CY163</f>
        <v>4900.9288005131284</v>
      </c>
      <c r="CZ20" s="43">
        <f>+'3. Segment Analysis'!CZ163</f>
        <v>1173.335514799634</v>
      </c>
      <c r="DA20" s="43">
        <f>+'3. Segment Analysis'!DA163</f>
        <v>1203.7650525688339</v>
      </c>
      <c r="DB20" s="43">
        <f>+'3. Segment Analysis'!DB163</f>
        <v>1075.3248591824945</v>
      </c>
      <c r="DC20" s="43">
        <f>+'3. Segment Analysis'!DC163</f>
        <v>1542.4439216557942</v>
      </c>
      <c r="DD20" s="36">
        <f>+'3. Segment Analysis'!DD163</f>
        <v>4994.8693482067565</v>
      </c>
      <c r="DE20" s="43">
        <f>+'3. Segment Analysis'!DE163</f>
        <v>1233.0281374246338</v>
      </c>
      <c r="DF20" s="43">
        <f>+'3. Segment Analysis'!DF163</f>
        <v>1264.2291666800838</v>
      </c>
      <c r="DG20" s="43">
        <f>+'3. Segment Analysis'!DG163</f>
        <v>1133.7194484574945</v>
      </c>
      <c r="DH20" s="43">
        <f>+'3. Segment Analysis'!DH163</f>
        <v>1597.3105959007942</v>
      </c>
      <c r="DI20" s="36">
        <f>+'3. Segment Analysis'!DI163</f>
        <v>5228.2873484630063</v>
      </c>
    </row>
    <row r="21" spans="1:121" s="7" customFormat="1" ht="12" customHeight="1">
      <c r="A21" s="239"/>
      <c r="B21" s="20" t="s">
        <v>156</v>
      </c>
      <c r="C21" s="360" t="s">
        <v>1</v>
      </c>
      <c r="D21" s="361" t="s">
        <v>1</v>
      </c>
      <c r="E21" s="360" t="s">
        <v>1</v>
      </c>
      <c r="F21" s="361" t="s">
        <v>1</v>
      </c>
      <c r="G21" s="360" t="s">
        <v>1</v>
      </c>
      <c r="H21" s="361" t="s">
        <v>1</v>
      </c>
      <c r="I21" s="360" t="s">
        <v>1</v>
      </c>
      <c r="J21" s="361" t="s">
        <v>1</v>
      </c>
      <c r="K21" s="360" t="s">
        <v>1</v>
      </c>
      <c r="L21" s="361" t="s">
        <v>1</v>
      </c>
      <c r="M21" s="360" t="s">
        <v>1</v>
      </c>
      <c r="N21" s="361" t="s">
        <v>1</v>
      </c>
      <c r="O21" s="361" t="s">
        <v>1</v>
      </c>
      <c r="P21" s="39">
        <f>P45+P46</f>
        <v>1354.1999999999998</v>
      </c>
      <c r="Q21" s="40">
        <f>Q45+Q46</f>
        <v>1136.9000000000001</v>
      </c>
      <c r="R21" s="39">
        <f>+'3. Segment Analysis'!R164</f>
        <v>353</v>
      </c>
      <c r="S21" s="39">
        <f>+'3. Segment Analysis'!S164</f>
        <v>190</v>
      </c>
      <c r="T21" s="39">
        <f>+'3. Segment Analysis'!T164</f>
        <v>222</v>
      </c>
      <c r="U21" s="39">
        <f>+'3. Segment Analysis'!U164</f>
        <v>209</v>
      </c>
      <c r="V21" s="40">
        <f>+'3. Segment Analysis'!V164</f>
        <v>974</v>
      </c>
      <c r="W21" s="39">
        <f>+'3. Segment Analysis'!W164</f>
        <v>293</v>
      </c>
      <c r="X21" s="39">
        <f>+'3. Segment Analysis'!X164</f>
        <v>125</v>
      </c>
      <c r="Y21" s="39">
        <f>+'3. Segment Analysis'!Y164</f>
        <v>209</v>
      </c>
      <c r="Z21" s="39">
        <f>+'3. Segment Analysis'!Z164</f>
        <v>204</v>
      </c>
      <c r="AA21" s="40">
        <f>+'3. Segment Analysis'!AA164</f>
        <v>831</v>
      </c>
      <c r="AB21" s="36"/>
      <c r="AC21" s="39">
        <f>+'3. Segment Analysis'!AC164</f>
        <v>266</v>
      </c>
      <c r="AD21" s="39">
        <f>+'3. Segment Analysis'!AD164</f>
        <v>147</v>
      </c>
      <c r="AE21" s="39">
        <f>+'3. Segment Analysis'!AE164</f>
        <v>243</v>
      </c>
      <c r="AF21" s="39">
        <f>+'3. Segment Analysis'!AF164</f>
        <v>221</v>
      </c>
      <c r="AG21" s="40">
        <f>AG45+AG46</f>
        <v>877</v>
      </c>
      <c r="AH21" s="39">
        <f>+'3. Segment Analysis'!AH164</f>
        <v>346</v>
      </c>
      <c r="AI21" s="39">
        <f>+'3. Segment Analysis'!AI164</f>
        <v>171</v>
      </c>
      <c r="AJ21" s="39">
        <f>+'3. Segment Analysis'!AJ164</f>
        <v>354</v>
      </c>
      <c r="AK21" s="39">
        <f>+'3. Segment Analysis'!AK164</f>
        <v>263</v>
      </c>
      <c r="AL21" s="40">
        <f>+'3. Segment Analysis'!AL164</f>
        <v>1134</v>
      </c>
      <c r="AM21" s="39">
        <f>+'3. Segment Analysis'!AM164</f>
        <v>472</v>
      </c>
      <c r="AN21" s="39">
        <f>+'3. Segment Analysis'!AN164</f>
        <v>318</v>
      </c>
      <c r="AO21" s="39">
        <f>+'3. Segment Analysis'!AO164</f>
        <v>385</v>
      </c>
      <c r="AP21" s="39">
        <f>+'3. Segment Analysis'!AP164</f>
        <v>348</v>
      </c>
      <c r="AQ21" s="40">
        <f>+'3. Segment Analysis'!AQ164</f>
        <v>1523</v>
      </c>
      <c r="AR21" s="43">
        <f>+'3. Segment Analysis'!AR164</f>
        <v>597</v>
      </c>
      <c r="AS21" s="43">
        <f>+'3. Segment Analysis'!AS164</f>
        <v>407</v>
      </c>
      <c r="AT21" s="43">
        <f>+'3. Segment Analysis'!AT164</f>
        <v>415</v>
      </c>
      <c r="AU21" s="43">
        <f>+'3. Segment Analysis'!AU164</f>
        <v>368</v>
      </c>
      <c r="AV21" s="36">
        <f>+'3. Segment Analysis'!AV164</f>
        <v>1787</v>
      </c>
      <c r="AW21" s="43">
        <f>+'3. Segment Analysis'!AW164</f>
        <v>485</v>
      </c>
      <c r="AX21" s="43">
        <f>+'3. Segment Analysis'!AX164</f>
        <v>313</v>
      </c>
      <c r="AY21" s="43">
        <f>+'3. Segment Analysis'!AY164</f>
        <v>361</v>
      </c>
      <c r="AZ21" s="43">
        <f>+'3. Segment Analysis'!AZ164</f>
        <v>348</v>
      </c>
      <c r="BA21" s="36">
        <f>+'3. Segment Analysis'!BA164</f>
        <v>1507</v>
      </c>
      <c r="BB21" s="43">
        <f>+'3. Segment Analysis'!BB164</f>
        <v>451</v>
      </c>
      <c r="BC21" s="43">
        <f>+'3. Segment Analysis'!BC164</f>
        <v>337</v>
      </c>
      <c r="BD21" s="43">
        <f>+'3. Segment Analysis'!BD164</f>
        <v>417</v>
      </c>
      <c r="BE21" s="43">
        <f>+'3. Segment Analysis'!BE164</f>
        <v>382</v>
      </c>
      <c r="BF21" s="36">
        <f>+'3. Segment Analysis'!BF164</f>
        <v>1587</v>
      </c>
      <c r="BG21" s="43">
        <f>+'3. Segment Analysis'!BG164</f>
        <v>501</v>
      </c>
      <c r="BH21" s="43">
        <f>+'3. Segment Analysis'!BH164</f>
        <v>450</v>
      </c>
      <c r="BI21" s="43">
        <f>+'3. Segment Analysis'!BI164</f>
        <v>538</v>
      </c>
      <c r="BJ21" s="43">
        <f>+'3. Segment Analysis'!BJ164</f>
        <v>506</v>
      </c>
      <c r="BK21" s="36">
        <f>+'3. Segment Analysis'!BK164</f>
        <v>1995</v>
      </c>
      <c r="BL21" s="43">
        <f>+'3. Segment Analysis'!BL164</f>
        <v>609</v>
      </c>
      <c r="BM21" s="43">
        <f>+'3. Segment Analysis'!BM164</f>
        <v>510</v>
      </c>
      <c r="BN21" s="43">
        <f>+'3. Segment Analysis'!BN164</f>
        <v>575</v>
      </c>
      <c r="BO21" s="43">
        <f>+'3. Segment Analysis'!BO164</f>
        <v>-153</v>
      </c>
      <c r="BP21" s="36">
        <f>+'3. Segment Analysis'!BP164</f>
        <v>1541</v>
      </c>
      <c r="BQ21" s="43">
        <f>+'3. Segment Analysis'!BQ164</f>
        <v>692</v>
      </c>
      <c r="BR21" s="43">
        <f>+'3. Segment Analysis'!BR164</f>
        <v>660</v>
      </c>
      <c r="BS21" s="43">
        <f>+'3. Segment Analysis'!BS164</f>
        <v>533</v>
      </c>
      <c r="BT21" s="43">
        <f>+'3. Segment Analysis'!BT164</f>
        <v>550</v>
      </c>
      <c r="BU21" s="36">
        <f>+'3. Segment Analysis'!BU164</f>
        <v>2435</v>
      </c>
      <c r="BV21" s="43">
        <f>+'3. Segment Analysis'!BV164</f>
        <v>875</v>
      </c>
      <c r="BW21" s="43">
        <f>+'3. Segment Analysis'!BW164</f>
        <v>806</v>
      </c>
      <c r="BX21" s="43">
        <f>+'3. Segment Analysis'!BX164</f>
        <v>713</v>
      </c>
      <c r="BY21" s="43">
        <f>+'3. Segment Analysis'!BY164</f>
        <v>899</v>
      </c>
      <c r="BZ21" s="36">
        <f>+'3. Segment Analysis'!BZ164</f>
        <v>3293</v>
      </c>
      <c r="CA21" s="43">
        <f>+'3. Segment Analysis'!CA164</f>
        <v>975</v>
      </c>
      <c r="CB21" s="43">
        <f>+'3. Segment Analysis'!CB164</f>
        <v>990</v>
      </c>
      <c r="CC21" s="43">
        <f>+'3. Segment Analysis'!CC164</f>
        <v>785</v>
      </c>
      <c r="CD21" s="43">
        <f>+'3. Segment Analysis'!CD164</f>
        <v>781</v>
      </c>
      <c r="CE21" s="36">
        <f>+'3. Segment Analysis'!CE164</f>
        <v>3531</v>
      </c>
      <c r="CF21" s="43">
        <f>+'3. Segment Analysis'!CF164</f>
        <v>930</v>
      </c>
      <c r="CG21" s="43">
        <f>+'3. Segment Analysis'!CG164</f>
        <v>927</v>
      </c>
      <c r="CH21" s="43">
        <f>+'3. Segment Analysis'!CH164</f>
        <v>734</v>
      </c>
      <c r="CI21" s="43">
        <f>+'3. Segment Analysis'!CI164</f>
        <v>797</v>
      </c>
      <c r="CJ21" s="36">
        <f>+'3. Segment Analysis'!CJ164</f>
        <v>3388</v>
      </c>
      <c r="CK21" s="43">
        <f>+'3. Segment Analysis'!CK164</f>
        <v>792</v>
      </c>
      <c r="CL21" s="43">
        <f>+'3. Segment Analysis'!CL164</f>
        <v>831</v>
      </c>
      <c r="CM21" s="43">
        <f>+'3. Segment Analysis'!CM164</f>
        <v>480</v>
      </c>
      <c r="CN21" s="43">
        <f>+'3. Segment Analysis'!CN164</f>
        <v>472</v>
      </c>
      <c r="CO21" s="36">
        <f>+'3. Segment Analysis'!CO164</f>
        <v>2575</v>
      </c>
      <c r="CP21" s="43">
        <f>+'3. Segment Analysis'!CP164</f>
        <v>735</v>
      </c>
      <c r="CQ21" s="43">
        <f>+'3. Segment Analysis'!CQ164</f>
        <v>733</v>
      </c>
      <c r="CR21" s="43">
        <f>+'3. Segment Analysis'!CR164</f>
        <v>515</v>
      </c>
      <c r="CS21" s="43">
        <f>+'3. Segment Analysis'!CS164</f>
        <v>434</v>
      </c>
      <c r="CT21" s="36">
        <f>+'3. Segment Analysis'!CT164</f>
        <v>2417</v>
      </c>
      <c r="CU21" s="43">
        <f>+'3. Segment Analysis'!CU164</f>
        <v>728</v>
      </c>
      <c r="CV21" s="43">
        <f>+'3. Segment Analysis'!CV164</f>
        <v>653.12018691367939</v>
      </c>
      <c r="CW21" s="43">
        <f>+'3. Segment Analysis'!CW164</f>
        <v>495.00329960000005</v>
      </c>
      <c r="CX21" s="43">
        <f>+'3. Segment Analysis'!CX164</f>
        <v>419.15693795294112</v>
      </c>
      <c r="CY21" s="36">
        <f>+'3. Segment Analysis'!CY164</f>
        <v>2295.2804244666204</v>
      </c>
      <c r="CZ21" s="43">
        <f>+'3. Segment Analysis'!CZ164</f>
        <v>744.70282988413089</v>
      </c>
      <c r="DA21" s="43">
        <f>+'3. Segment Analysis'!DA164</f>
        <v>694.95466035082086</v>
      </c>
      <c r="DB21" s="43">
        <f>+'3. Segment Analysis'!DB164</f>
        <v>540.90316617971973</v>
      </c>
      <c r="DC21" s="43">
        <f>+'3. Segment Analysis'!DC164</f>
        <v>468.10477501411754</v>
      </c>
      <c r="DD21" s="36">
        <f>+'3. Segment Analysis'!DD164</f>
        <v>2448.6654314287889</v>
      </c>
      <c r="DE21" s="43">
        <f>+'3. Segment Analysis'!DE164</f>
        <v>774.28750188413096</v>
      </c>
      <c r="DF21" s="43">
        <f>+'3. Segment Analysis'!DF164</f>
        <v>722.90976456682097</v>
      </c>
      <c r="DG21" s="43">
        <f>+'3. Segment Analysis'!DG164</f>
        <v>572.74332153955697</v>
      </c>
      <c r="DH21" s="43">
        <f>+'3. Segment Analysis'!DH164</f>
        <v>499.66662205185889</v>
      </c>
      <c r="DI21" s="36">
        <f>+'3. Segment Analysis'!DI164</f>
        <v>2569.607210042368</v>
      </c>
    </row>
    <row r="22" spans="1:121" s="7" customFormat="1" ht="12" customHeight="1">
      <c r="A22" s="239"/>
      <c r="B22" s="20" t="s">
        <v>99</v>
      </c>
      <c r="C22" s="360" t="s">
        <v>1</v>
      </c>
      <c r="D22" s="361" t="s">
        <v>1</v>
      </c>
      <c r="E22" s="360" t="s">
        <v>1</v>
      </c>
      <c r="F22" s="361" t="s">
        <v>1</v>
      </c>
      <c r="G22" s="360" t="s">
        <v>1</v>
      </c>
      <c r="H22" s="361" t="s">
        <v>1</v>
      </c>
      <c r="I22" s="360" t="s">
        <v>1</v>
      </c>
      <c r="J22" s="361" t="s">
        <v>1</v>
      </c>
      <c r="K22" s="360" t="s">
        <v>1</v>
      </c>
      <c r="L22" s="361" t="s">
        <v>1</v>
      </c>
      <c r="M22" s="360" t="s">
        <v>1</v>
      </c>
      <c r="N22" s="361" t="s">
        <v>1</v>
      </c>
      <c r="O22" s="361" t="s">
        <v>1</v>
      </c>
      <c r="P22" s="39">
        <f>P47</f>
        <v>575.20000000000005</v>
      </c>
      <c r="Q22" s="40">
        <f>Q47</f>
        <v>637.09999999999991</v>
      </c>
      <c r="R22" s="39">
        <f>+'3. Segment Analysis'!R165</f>
        <v>164</v>
      </c>
      <c r="S22" s="39">
        <f>+'3. Segment Analysis'!S165</f>
        <v>174</v>
      </c>
      <c r="T22" s="39">
        <f>+'3. Segment Analysis'!T165</f>
        <v>213</v>
      </c>
      <c r="U22" s="39">
        <f>+'3. Segment Analysis'!U165</f>
        <v>226</v>
      </c>
      <c r="V22" s="40">
        <f>+'3. Segment Analysis'!V165</f>
        <v>777</v>
      </c>
      <c r="W22" s="39">
        <f>+'3. Segment Analysis'!W165</f>
        <v>171</v>
      </c>
      <c r="X22" s="39">
        <f>+'3. Segment Analysis'!X165</f>
        <v>220</v>
      </c>
      <c r="Y22" s="39">
        <f>+'3. Segment Analysis'!Y165</f>
        <v>273</v>
      </c>
      <c r="Z22" s="39">
        <f>+'3. Segment Analysis'!Z165</f>
        <v>247</v>
      </c>
      <c r="AA22" s="40">
        <f>+'3. Segment Analysis'!AA165</f>
        <v>911</v>
      </c>
      <c r="AB22" s="36"/>
      <c r="AC22" s="39">
        <f>+'3. Segment Analysis'!AC165</f>
        <v>165</v>
      </c>
      <c r="AD22" s="39">
        <f>+'3. Segment Analysis'!AD165</f>
        <v>187</v>
      </c>
      <c r="AE22" s="39">
        <f>+'3. Segment Analysis'!AE165</f>
        <v>218</v>
      </c>
      <c r="AF22" s="39">
        <f>+'3. Segment Analysis'!AF165</f>
        <v>243</v>
      </c>
      <c r="AG22" s="40">
        <f>AG47</f>
        <v>813</v>
      </c>
      <c r="AH22" s="39">
        <f>+'3. Segment Analysis'!AH165</f>
        <v>170</v>
      </c>
      <c r="AI22" s="39">
        <f>+'3. Segment Analysis'!AI165</f>
        <v>197</v>
      </c>
      <c r="AJ22" s="39">
        <f>+'3. Segment Analysis'!AJ165</f>
        <v>234</v>
      </c>
      <c r="AK22" s="39">
        <f>+'3. Segment Analysis'!AK165</f>
        <v>223</v>
      </c>
      <c r="AL22" s="40">
        <f>+'3. Segment Analysis'!AL165</f>
        <v>824</v>
      </c>
      <c r="AM22" s="39">
        <f>+'3. Segment Analysis'!AM165</f>
        <v>218</v>
      </c>
      <c r="AN22" s="39">
        <f>+'3. Segment Analysis'!AN165</f>
        <v>258</v>
      </c>
      <c r="AO22" s="39">
        <f>+'3. Segment Analysis'!AO165</f>
        <v>251</v>
      </c>
      <c r="AP22" s="39">
        <f>+'3. Segment Analysis'!AP165</f>
        <v>266</v>
      </c>
      <c r="AQ22" s="40">
        <f>+'3. Segment Analysis'!AQ165</f>
        <v>993</v>
      </c>
      <c r="AR22" s="43">
        <f>+'3. Segment Analysis'!AR165</f>
        <v>330</v>
      </c>
      <c r="AS22" s="43">
        <f>+'3. Segment Analysis'!AS165</f>
        <v>327</v>
      </c>
      <c r="AT22" s="43">
        <f>+'3. Segment Analysis'!AT165</f>
        <v>358</v>
      </c>
      <c r="AU22" s="43">
        <f>+'3. Segment Analysis'!AU165</f>
        <v>357</v>
      </c>
      <c r="AV22" s="36">
        <f>+'3. Segment Analysis'!AV165</f>
        <v>1372</v>
      </c>
      <c r="AW22" s="43">
        <f>+'3. Segment Analysis'!AW165</f>
        <v>371</v>
      </c>
      <c r="AX22" s="43">
        <f>+'3. Segment Analysis'!AX165</f>
        <v>375</v>
      </c>
      <c r="AY22" s="43">
        <f>+'3. Segment Analysis'!AY165</f>
        <v>381</v>
      </c>
      <c r="AZ22" s="43">
        <f>+'3. Segment Analysis'!AZ165</f>
        <v>380</v>
      </c>
      <c r="BA22" s="36">
        <f>+'3. Segment Analysis'!BA165</f>
        <v>1507</v>
      </c>
      <c r="BB22" s="43">
        <f>+'3. Segment Analysis'!BB165</f>
        <v>394</v>
      </c>
      <c r="BC22" s="43">
        <f>+'3. Segment Analysis'!BC165</f>
        <v>378</v>
      </c>
      <c r="BD22" s="43">
        <f>+'3. Segment Analysis'!BD165</f>
        <v>496</v>
      </c>
      <c r="BE22" s="43">
        <f>+'3. Segment Analysis'!BE165</f>
        <v>539</v>
      </c>
      <c r="BF22" s="36">
        <f>+'3. Segment Analysis'!BF165</f>
        <v>1807</v>
      </c>
      <c r="BG22" s="43">
        <f>+'3. Segment Analysis'!BG165</f>
        <v>502</v>
      </c>
      <c r="BH22" s="43">
        <f>+'3. Segment Analysis'!BH165</f>
        <v>561</v>
      </c>
      <c r="BI22" s="43">
        <f>+'3. Segment Analysis'!BI165</f>
        <v>639</v>
      </c>
      <c r="BJ22" s="43">
        <f>+'3. Segment Analysis'!BJ165</f>
        <v>674</v>
      </c>
      <c r="BK22" s="36">
        <f>+'3. Segment Analysis'!BK165</f>
        <v>2376</v>
      </c>
      <c r="BL22" s="43">
        <f>+'3. Segment Analysis'!BL165</f>
        <v>669</v>
      </c>
      <c r="BM22" s="43">
        <f>+'3. Segment Analysis'!BM165</f>
        <v>694</v>
      </c>
      <c r="BN22" s="43">
        <f>+'3. Segment Analysis'!BN165</f>
        <v>556</v>
      </c>
      <c r="BO22" s="43">
        <f>+'3. Segment Analysis'!BO165</f>
        <v>571</v>
      </c>
      <c r="BP22" s="36">
        <f>+'3. Segment Analysis'!BP165</f>
        <v>2490</v>
      </c>
      <c r="BQ22" s="43">
        <f>+'3. Segment Analysis'!BQ165</f>
        <v>688</v>
      </c>
      <c r="BR22" s="43">
        <f>+'3. Segment Analysis'!BR165</f>
        <v>891</v>
      </c>
      <c r="BS22" s="43">
        <f>+'3. Segment Analysis'!BS165</f>
        <v>973</v>
      </c>
      <c r="BT22" s="43">
        <f>+'3. Segment Analysis'!BT165</f>
        <v>691</v>
      </c>
      <c r="BU22" s="36">
        <f>+'3. Segment Analysis'!BU165</f>
        <v>3243</v>
      </c>
      <c r="BV22" s="43">
        <f>+'3. Segment Analysis'!BV165</f>
        <v>701</v>
      </c>
      <c r="BW22" s="43">
        <f>+'3. Segment Analysis'!BW165</f>
        <v>569</v>
      </c>
      <c r="BX22" s="43">
        <f>+'3. Segment Analysis'!BX165</f>
        <v>784</v>
      </c>
      <c r="BY22" s="43">
        <f>+'3. Segment Analysis'!BY165</f>
        <v>311</v>
      </c>
      <c r="BZ22" s="36">
        <f>+'3. Segment Analysis'!BZ165</f>
        <v>2365</v>
      </c>
      <c r="CA22" s="43">
        <f>+'3. Segment Analysis'!CA165</f>
        <v>541</v>
      </c>
      <c r="CB22" s="43">
        <f>+'3. Segment Analysis'!CB165</f>
        <v>511</v>
      </c>
      <c r="CC22" s="43">
        <f>+'3. Segment Analysis'!CC165</f>
        <v>702</v>
      </c>
      <c r="CD22" s="43">
        <f>+'3. Segment Analysis'!CD165</f>
        <v>529</v>
      </c>
      <c r="CE22" s="36">
        <f>+'3. Segment Analysis'!CE165</f>
        <v>2283</v>
      </c>
      <c r="CF22" s="43">
        <f>+'3. Segment Analysis'!CF165</f>
        <v>525</v>
      </c>
      <c r="CG22" s="43">
        <f>+'3. Segment Analysis'!CG165</f>
        <v>514</v>
      </c>
      <c r="CH22" s="43">
        <f>+'3. Segment Analysis'!CH165</f>
        <v>722</v>
      </c>
      <c r="CI22" s="43">
        <f>+'3. Segment Analysis'!CI165</f>
        <v>548</v>
      </c>
      <c r="CJ22" s="36">
        <f>+'3. Segment Analysis'!CJ165</f>
        <v>2309</v>
      </c>
      <c r="CK22" s="43">
        <f>+'3. Segment Analysis'!CK165</f>
        <v>502</v>
      </c>
      <c r="CL22" s="43">
        <f>+'3. Segment Analysis'!CL165</f>
        <v>375</v>
      </c>
      <c r="CM22" s="43">
        <f>+'3. Segment Analysis'!CM165</f>
        <v>421</v>
      </c>
      <c r="CN22" s="43">
        <f>+'3. Segment Analysis'!CN165</f>
        <v>304</v>
      </c>
      <c r="CO22" s="36">
        <f>+'3. Segment Analysis'!CO165</f>
        <v>1602</v>
      </c>
      <c r="CP22" s="43">
        <f>+'3. Segment Analysis'!CP165</f>
        <v>377</v>
      </c>
      <c r="CQ22" s="43">
        <f>+'3. Segment Analysis'!CQ165</f>
        <v>191</v>
      </c>
      <c r="CR22" s="43">
        <f>+'3. Segment Analysis'!CR165</f>
        <v>467</v>
      </c>
      <c r="CS22" s="43">
        <f>+'3. Segment Analysis'!CS165</f>
        <v>243</v>
      </c>
      <c r="CT22" s="36">
        <f>+'3. Segment Analysis'!CT165</f>
        <v>1278</v>
      </c>
      <c r="CU22" s="43">
        <f>+'3. Segment Analysis'!CU165</f>
        <v>248</v>
      </c>
      <c r="CV22" s="43">
        <f>+'3. Segment Analysis'!CV165</f>
        <v>160.83240551816587</v>
      </c>
      <c r="CW22" s="43">
        <f>+'3. Segment Analysis'!CW165</f>
        <v>315.48280786377705</v>
      </c>
      <c r="CX22" s="43">
        <f>+'3. Segment Analysis'!CX165</f>
        <v>172.30457073039702</v>
      </c>
      <c r="CY22" s="36">
        <f>+'3. Segment Analysis'!CY165</f>
        <v>896.61978411233986</v>
      </c>
      <c r="CZ22" s="43">
        <f>+'3. Segment Analysis'!CZ165</f>
        <v>205.53329999999997</v>
      </c>
      <c r="DA22" s="43">
        <f>+'3. Segment Analysis'!DA165</f>
        <v>145.91065449453268</v>
      </c>
      <c r="DB22" s="43">
        <f>+'3. Segment Analysis'!DB165</f>
        <v>311.41721043467498</v>
      </c>
      <c r="DC22" s="43">
        <f>+'3. Segment Analysis'!DC165</f>
        <v>175.21924816796525</v>
      </c>
      <c r="DD22" s="36">
        <f>+'3. Segment Analysis'!DD165</f>
        <v>838.08041309717294</v>
      </c>
      <c r="DE22" s="43">
        <f>+'3. Segment Analysis'!DE165</f>
        <v>216.82334303389825</v>
      </c>
      <c r="DF22" s="43">
        <f>+'3. Segment Analysis'!DF165</f>
        <v>159.92480099177709</v>
      </c>
      <c r="DG22" s="43">
        <f>+'3. Segment Analysis'!DG165</f>
        <v>335.85184333983909</v>
      </c>
      <c r="DH22" s="43">
        <f>+'3. Segment Analysis'!DH165</f>
        <v>193.80023007976155</v>
      </c>
      <c r="DI22" s="36">
        <f>+'3. Segment Analysis'!DI165</f>
        <v>906.40021744527598</v>
      </c>
    </row>
    <row r="23" spans="1:121" s="7" customFormat="1" ht="12" customHeight="1">
      <c r="A23" s="239"/>
      <c r="B23" s="20" t="s">
        <v>160</v>
      </c>
      <c r="C23" s="360" t="s">
        <v>1</v>
      </c>
      <c r="D23" s="361" t="s">
        <v>1</v>
      </c>
      <c r="E23" s="360" t="s">
        <v>1</v>
      </c>
      <c r="F23" s="361" t="s">
        <v>1</v>
      </c>
      <c r="G23" s="360" t="s">
        <v>1</v>
      </c>
      <c r="H23" s="361" t="s">
        <v>1</v>
      </c>
      <c r="I23" s="360" t="s">
        <v>1</v>
      </c>
      <c r="J23" s="361" t="s">
        <v>1</v>
      </c>
      <c r="K23" s="360" t="s">
        <v>1</v>
      </c>
      <c r="L23" s="361" t="s">
        <v>1</v>
      </c>
      <c r="M23" s="360" t="s">
        <v>1</v>
      </c>
      <c r="N23" s="361" t="s">
        <v>1</v>
      </c>
      <c r="O23" s="361" t="s">
        <v>1</v>
      </c>
      <c r="P23" s="39">
        <f>P48+P49</f>
        <v>548</v>
      </c>
      <c r="Q23" s="40">
        <f>Q48+Q49</f>
        <v>672.90000000000009</v>
      </c>
      <c r="R23" s="39">
        <f>+'3. Segment Analysis'!R166</f>
        <v>151</v>
      </c>
      <c r="S23" s="39">
        <f>+'3. Segment Analysis'!S166</f>
        <v>230</v>
      </c>
      <c r="T23" s="39">
        <f>+'3. Segment Analysis'!T166</f>
        <v>204</v>
      </c>
      <c r="U23" s="39">
        <f>+'3. Segment Analysis'!U166</f>
        <v>217</v>
      </c>
      <c r="V23" s="40">
        <f>+'3. Segment Analysis'!V166</f>
        <v>802</v>
      </c>
      <c r="W23" s="39">
        <f>+'3. Segment Analysis'!W166</f>
        <v>224</v>
      </c>
      <c r="X23" s="39">
        <f>+'3. Segment Analysis'!X166</f>
        <v>282</v>
      </c>
      <c r="Y23" s="39">
        <f>+'3. Segment Analysis'!Y166</f>
        <v>239</v>
      </c>
      <c r="Z23" s="39">
        <f>+'3. Segment Analysis'!Z166</f>
        <v>244</v>
      </c>
      <c r="AA23" s="40">
        <f>+'3. Segment Analysis'!AA166</f>
        <v>989</v>
      </c>
      <c r="AB23" s="36"/>
      <c r="AC23" s="39">
        <f>+'3. Segment Analysis'!AC166</f>
        <v>244</v>
      </c>
      <c r="AD23" s="39">
        <f>+'3. Segment Analysis'!AD166</f>
        <v>343</v>
      </c>
      <c r="AE23" s="39">
        <f>+'3. Segment Analysis'!AE166</f>
        <v>240</v>
      </c>
      <c r="AF23" s="39">
        <f>+'3. Segment Analysis'!AF166</f>
        <v>300</v>
      </c>
      <c r="AG23" s="40">
        <f>AG48+AG49</f>
        <v>1127</v>
      </c>
      <c r="AH23" s="39">
        <f>+'3. Segment Analysis'!AH166</f>
        <v>234</v>
      </c>
      <c r="AI23" s="39">
        <f>+'3. Segment Analysis'!AI166</f>
        <v>290</v>
      </c>
      <c r="AJ23" s="39">
        <f>+'3. Segment Analysis'!AJ166</f>
        <v>249</v>
      </c>
      <c r="AK23" s="39">
        <f>+'3. Segment Analysis'!AK166</f>
        <v>310</v>
      </c>
      <c r="AL23" s="40">
        <f>+'3. Segment Analysis'!AL166</f>
        <v>1083</v>
      </c>
      <c r="AM23" s="39">
        <f>+'3. Segment Analysis'!AM166</f>
        <v>167</v>
      </c>
      <c r="AN23" s="39">
        <f>+'3. Segment Analysis'!AN166</f>
        <v>265</v>
      </c>
      <c r="AO23" s="39">
        <f>+'3. Segment Analysis'!AO166</f>
        <v>256</v>
      </c>
      <c r="AP23" s="39">
        <f>+'3. Segment Analysis'!AP166</f>
        <v>230</v>
      </c>
      <c r="AQ23" s="40">
        <f>+'3. Segment Analysis'!AQ166</f>
        <v>918</v>
      </c>
      <c r="AR23" s="43">
        <f>+'3. Segment Analysis'!AR166</f>
        <v>280</v>
      </c>
      <c r="AS23" s="43">
        <f>+'3. Segment Analysis'!AS166</f>
        <v>264</v>
      </c>
      <c r="AT23" s="43">
        <f>+'3. Segment Analysis'!AT166</f>
        <v>226</v>
      </c>
      <c r="AU23" s="43">
        <f>+'3. Segment Analysis'!AU166</f>
        <v>232</v>
      </c>
      <c r="AV23" s="36">
        <f>+'3. Segment Analysis'!AV166</f>
        <v>1002</v>
      </c>
      <c r="AW23" s="43">
        <f>+'3. Segment Analysis'!AW166</f>
        <v>209</v>
      </c>
      <c r="AX23" s="43">
        <f>+'3. Segment Analysis'!AX166</f>
        <v>266</v>
      </c>
      <c r="AY23" s="43">
        <f>+'3. Segment Analysis'!AY166</f>
        <v>228</v>
      </c>
      <c r="AZ23" s="43">
        <f>+'3. Segment Analysis'!AZ166</f>
        <v>277</v>
      </c>
      <c r="BA23" s="36">
        <f>+'3. Segment Analysis'!BA166</f>
        <v>980</v>
      </c>
      <c r="BB23" s="43">
        <f>+'3. Segment Analysis'!BB166</f>
        <v>260</v>
      </c>
      <c r="BC23" s="43">
        <f>+'3. Segment Analysis'!BC166</f>
        <v>291</v>
      </c>
      <c r="BD23" s="43">
        <f>+'3. Segment Analysis'!BD166</f>
        <v>298</v>
      </c>
      <c r="BE23" s="43">
        <f>+'3. Segment Analysis'!BE166</f>
        <v>340</v>
      </c>
      <c r="BF23" s="36">
        <f>+'3. Segment Analysis'!BF166</f>
        <v>1189</v>
      </c>
      <c r="BG23" s="43">
        <f>+'3. Segment Analysis'!BG166</f>
        <v>323</v>
      </c>
      <c r="BH23" s="43">
        <f>+'3. Segment Analysis'!BH166</f>
        <v>321</v>
      </c>
      <c r="BI23" s="43">
        <f>+'3. Segment Analysis'!BI166</f>
        <v>339</v>
      </c>
      <c r="BJ23" s="43">
        <f>+'3. Segment Analysis'!BJ166</f>
        <v>340</v>
      </c>
      <c r="BK23" s="36">
        <f>+'3. Segment Analysis'!BK166</f>
        <v>1323</v>
      </c>
      <c r="BL23" s="43">
        <f>+'3. Segment Analysis'!BL166</f>
        <v>341</v>
      </c>
      <c r="BM23" s="43">
        <f>+'3. Segment Analysis'!BM166</f>
        <v>377</v>
      </c>
      <c r="BN23" s="43">
        <f>+'3. Segment Analysis'!BN166</f>
        <v>387</v>
      </c>
      <c r="BO23" s="43">
        <f>+'3. Segment Analysis'!BO166</f>
        <v>79</v>
      </c>
      <c r="BP23" s="36">
        <f>+'3. Segment Analysis'!BP166</f>
        <v>1184</v>
      </c>
      <c r="BQ23" s="43">
        <f>+'3. Segment Analysis'!BQ166</f>
        <v>280</v>
      </c>
      <c r="BR23" s="43">
        <f>+'3. Segment Analysis'!BR166</f>
        <v>424</v>
      </c>
      <c r="BS23" s="43">
        <f>+'3. Segment Analysis'!BS166</f>
        <v>408</v>
      </c>
      <c r="BT23" s="43">
        <f>+'3. Segment Analysis'!BT166</f>
        <v>418</v>
      </c>
      <c r="BU23" s="36">
        <f>+'3. Segment Analysis'!BU166</f>
        <v>1530</v>
      </c>
      <c r="BV23" s="43">
        <f>+'3. Segment Analysis'!BV166</f>
        <v>481</v>
      </c>
      <c r="BW23" s="43">
        <f>+'3. Segment Analysis'!BW166</f>
        <v>388</v>
      </c>
      <c r="BX23" s="43">
        <f>+'3. Segment Analysis'!BX166</f>
        <v>478</v>
      </c>
      <c r="BY23" s="43">
        <f>+'3. Segment Analysis'!BY166</f>
        <v>549</v>
      </c>
      <c r="BZ23" s="36">
        <f>+'3. Segment Analysis'!BZ166</f>
        <v>1896</v>
      </c>
      <c r="CA23" s="43">
        <f>+'3. Segment Analysis'!CA166</f>
        <v>500</v>
      </c>
      <c r="CB23" s="43">
        <f>+'3. Segment Analysis'!CB166</f>
        <v>485</v>
      </c>
      <c r="CC23" s="43">
        <f>+'3. Segment Analysis'!CC166</f>
        <v>485</v>
      </c>
      <c r="CD23" s="43">
        <f>+'3. Segment Analysis'!CD166</f>
        <v>462</v>
      </c>
      <c r="CE23" s="36">
        <f>+'3. Segment Analysis'!CE166</f>
        <v>1932</v>
      </c>
      <c r="CF23" s="43">
        <f>+'3. Segment Analysis'!CF166</f>
        <v>414</v>
      </c>
      <c r="CG23" s="43">
        <f>+'3. Segment Analysis'!CG166</f>
        <v>521</v>
      </c>
      <c r="CH23" s="43">
        <f>+'3. Segment Analysis'!CH166</f>
        <v>471</v>
      </c>
      <c r="CI23" s="43">
        <f>+'3. Segment Analysis'!CI166</f>
        <v>479</v>
      </c>
      <c r="CJ23" s="36">
        <f>+'3. Segment Analysis'!CJ166</f>
        <v>1885</v>
      </c>
      <c r="CK23" s="43">
        <f>+'3. Segment Analysis'!CK166</f>
        <v>402</v>
      </c>
      <c r="CL23" s="43">
        <f>+'3. Segment Analysis'!CL166</f>
        <v>460</v>
      </c>
      <c r="CM23" s="43">
        <f>+'3. Segment Analysis'!CM166</f>
        <v>346</v>
      </c>
      <c r="CN23" s="43">
        <f>+'3. Segment Analysis'!CN166</f>
        <v>319</v>
      </c>
      <c r="CO23" s="36">
        <f>+'3. Segment Analysis'!CO166</f>
        <v>1527</v>
      </c>
      <c r="CP23" s="43">
        <f>+'3. Segment Analysis'!CP166</f>
        <v>350</v>
      </c>
      <c r="CQ23" s="43">
        <f>+'3. Segment Analysis'!CQ166</f>
        <v>389</v>
      </c>
      <c r="CR23" s="43">
        <f>+'3. Segment Analysis'!CR166</f>
        <v>332</v>
      </c>
      <c r="CS23" s="43">
        <f>+'3. Segment Analysis'!CS166</f>
        <v>316</v>
      </c>
      <c r="CT23" s="36">
        <f>+'3. Segment Analysis'!CT166</f>
        <v>1387</v>
      </c>
      <c r="CU23" s="43">
        <f>+'3. Segment Analysis'!CU166</f>
        <v>324</v>
      </c>
      <c r="CV23" s="43">
        <f>+'3. Segment Analysis'!CV166</f>
        <v>387.72743969999999</v>
      </c>
      <c r="CW23" s="43">
        <f>+'3. Segment Analysis'!CW166</f>
        <v>337.72058131610731</v>
      </c>
      <c r="CX23" s="43">
        <f>+'3. Segment Analysis'!CX166</f>
        <v>314.55606102255638</v>
      </c>
      <c r="CY23" s="36">
        <f>+'3. Segment Analysis'!CY166</f>
        <v>1364.0040820386637</v>
      </c>
      <c r="CZ23" s="43">
        <f>+'3. Segment Analysis'!CZ166</f>
        <v>352.658105593985</v>
      </c>
      <c r="DA23" s="43">
        <f>+'3. Segment Analysis'!DA166</f>
        <v>428.42110635495982</v>
      </c>
      <c r="DB23" s="43">
        <f>+'3. Segment Analysis'!DB166</f>
        <v>373.91682909129361</v>
      </c>
      <c r="DC23" s="43">
        <f>+'3. Segment Analysis'!DC166</f>
        <v>351.93003763857632</v>
      </c>
      <c r="DD23" s="36">
        <f>+'3. Segment Analysis'!DD166</f>
        <v>1506.9260786788147</v>
      </c>
      <c r="DE23" s="43">
        <f>+'3. Segment Analysis'!DE166</f>
        <v>393.73111299193994</v>
      </c>
      <c r="DF23" s="43">
        <f>+'3. Segment Analysis'!DF166</f>
        <v>475.7953346953401</v>
      </c>
      <c r="DG23" s="43">
        <f>+'3. Segment Analysis'!DG166</f>
        <v>415.89605076421299</v>
      </c>
      <c r="DH23" s="43">
        <f>+'3. Segment Analysis'!DH166</f>
        <v>394.88058591402239</v>
      </c>
      <c r="DI23" s="36">
        <f>+'3. Segment Analysis'!DI166</f>
        <v>1680.3030843655156</v>
      </c>
    </row>
    <row r="24" spans="1:121" s="7" customFormat="1" ht="12" customHeight="1">
      <c r="A24" s="239"/>
      <c r="B24" s="20" t="s">
        <v>159</v>
      </c>
      <c r="C24" s="360" t="s">
        <v>1</v>
      </c>
      <c r="D24" s="361" t="s">
        <v>1</v>
      </c>
      <c r="E24" s="360" t="s">
        <v>1</v>
      </c>
      <c r="F24" s="361" t="s">
        <v>1</v>
      </c>
      <c r="G24" s="360" t="s">
        <v>1</v>
      </c>
      <c r="H24" s="361" t="s">
        <v>1</v>
      </c>
      <c r="I24" s="360" t="s">
        <v>1</v>
      </c>
      <c r="J24" s="361" t="s">
        <v>1</v>
      </c>
      <c r="K24" s="360" t="s">
        <v>1</v>
      </c>
      <c r="L24" s="361" t="s">
        <v>1</v>
      </c>
      <c r="M24" s="360" t="s">
        <v>1</v>
      </c>
      <c r="N24" s="361" t="s">
        <v>1</v>
      </c>
      <c r="O24" s="361" t="s">
        <v>1</v>
      </c>
      <c r="P24" s="39">
        <f>P50</f>
        <v>-811.5</v>
      </c>
      <c r="Q24" s="40">
        <f>Q50</f>
        <v>-866.80000000000007</v>
      </c>
      <c r="R24" s="39">
        <f>+'3. Segment Analysis'!R167</f>
        <v>-245</v>
      </c>
      <c r="S24" s="39">
        <f>+'3. Segment Analysis'!S167</f>
        <v>-221</v>
      </c>
      <c r="T24" s="39">
        <f>+'3. Segment Analysis'!T167</f>
        <v>-237</v>
      </c>
      <c r="U24" s="39">
        <f>+'3. Segment Analysis'!U167</f>
        <v>-268</v>
      </c>
      <c r="V24" s="40">
        <f>+'3. Segment Analysis'!V167</f>
        <v>-971</v>
      </c>
      <c r="W24" s="39">
        <f>+'3. Segment Analysis'!W167</f>
        <v>-261</v>
      </c>
      <c r="X24" s="39">
        <f>+'3. Segment Analysis'!X167</f>
        <v>-273</v>
      </c>
      <c r="Y24" s="39">
        <f>+'3. Segment Analysis'!Y167</f>
        <v>-292</v>
      </c>
      <c r="Z24" s="39">
        <f>+'3. Segment Analysis'!Z167</f>
        <v>-351</v>
      </c>
      <c r="AA24" s="40">
        <f>+'3. Segment Analysis'!AA167</f>
        <v>-1177</v>
      </c>
      <c r="AB24" s="36"/>
      <c r="AC24" s="39">
        <f>+'3. Segment Analysis'!AC167</f>
        <v>-456</v>
      </c>
      <c r="AD24" s="39">
        <f>+'3. Segment Analysis'!AD167</f>
        <v>-410</v>
      </c>
      <c r="AE24" s="39">
        <f>+'3. Segment Analysis'!AE167</f>
        <v>-414</v>
      </c>
      <c r="AF24" s="39">
        <f>+'3. Segment Analysis'!AF167</f>
        <v>-466</v>
      </c>
      <c r="AG24" s="40">
        <f>AG50</f>
        <v>-1746</v>
      </c>
      <c r="AH24" s="39">
        <f>+'3. Segment Analysis'!AH167</f>
        <v>-466</v>
      </c>
      <c r="AI24" s="39">
        <f>+'3. Segment Analysis'!AI167</f>
        <v>-462</v>
      </c>
      <c r="AJ24" s="39">
        <f>+'3. Segment Analysis'!AJ167</f>
        <v>-528</v>
      </c>
      <c r="AK24" s="39">
        <f>+'3. Segment Analysis'!AK167</f>
        <v>-549</v>
      </c>
      <c r="AL24" s="40">
        <f>+'3. Segment Analysis'!AL167</f>
        <v>-2005</v>
      </c>
      <c r="AM24" s="39">
        <f>+'3. Segment Analysis'!AM167</f>
        <v>-533</v>
      </c>
      <c r="AN24" s="39">
        <f>+'3. Segment Analysis'!AN167</f>
        <v>-554</v>
      </c>
      <c r="AO24" s="39">
        <f>+'3. Segment Analysis'!AO167</f>
        <v>-552</v>
      </c>
      <c r="AP24" s="39">
        <f>+'3. Segment Analysis'!AP167</f>
        <v>-627</v>
      </c>
      <c r="AQ24" s="40">
        <f>+'3. Segment Analysis'!AQ167</f>
        <v>-2266</v>
      </c>
      <c r="AR24" s="43">
        <f>+'3. Segment Analysis'!AR167</f>
        <v>-624</v>
      </c>
      <c r="AS24" s="43">
        <f>+'3. Segment Analysis'!AS167</f>
        <v>-625</v>
      </c>
      <c r="AT24" s="43">
        <f>+'3. Segment Analysis'!AT167</f>
        <v>-625</v>
      </c>
      <c r="AU24" s="43">
        <f>+'3. Segment Analysis'!AU167</f>
        <v>-722</v>
      </c>
      <c r="AV24" s="36">
        <f>+'3. Segment Analysis'!AV167</f>
        <v>-2596</v>
      </c>
      <c r="AW24" s="43">
        <f>+'3. Segment Analysis'!AW167</f>
        <v>-771</v>
      </c>
      <c r="AX24" s="43">
        <f>+'3. Segment Analysis'!AX167</f>
        <v>-619</v>
      </c>
      <c r="AY24" s="43">
        <f>+'3. Segment Analysis'!AY167</f>
        <v>-598</v>
      </c>
      <c r="AZ24" s="43">
        <f>+'3. Segment Analysis'!AZ167</f>
        <v>-689</v>
      </c>
      <c r="BA24" s="36">
        <f>+'3. Segment Analysis'!BA167</f>
        <v>-2677</v>
      </c>
      <c r="BB24" s="43">
        <f>+'3. Segment Analysis'!BB167</f>
        <v>-675</v>
      </c>
      <c r="BC24" s="43">
        <f>+'3. Segment Analysis'!BC167</f>
        <v>-602</v>
      </c>
      <c r="BD24" s="43">
        <f>+'3. Segment Analysis'!BD167</f>
        <v>-649</v>
      </c>
      <c r="BE24" s="43">
        <f>+'3. Segment Analysis'!BE167</f>
        <v>-732</v>
      </c>
      <c r="BF24" s="36">
        <f>+'3. Segment Analysis'!BF167</f>
        <v>-2658</v>
      </c>
      <c r="BG24" s="43">
        <f>+'3. Segment Analysis'!BG167</f>
        <v>-818</v>
      </c>
      <c r="BH24" s="43">
        <f>+'3. Segment Analysis'!BH167</f>
        <v>-826</v>
      </c>
      <c r="BI24" s="43">
        <f>+'3. Segment Analysis'!BI167</f>
        <v>-788</v>
      </c>
      <c r="BJ24" s="43">
        <f>+'3. Segment Analysis'!BJ167</f>
        <v>-830</v>
      </c>
      <c r="BK24" s="36">
        <f>+'3. Segment Analysis'!BK167</f>
        <v>-3262</v>
      </c>
      <c r="BL24" s="43">
        <f>+'3. Segment Analysis'!BL167</f>
        <v>-857</v>
      </c>
      <c r="BM24" s="43">
        <f>+'3. Segment Analysis'!BM167</f>
        <v>-872</v>
      </c>
      <c r="BN24" s="43">
        <f>+'3. Segment Analysis'!BN167</f>
        <v>-895</v>
      </c>
      <c r="BO24" s="43">
        <f>+'3. Segment Analysis'!BO167</f>
        <v>-844</v>
      </c>
      <c r="BP24" s="36">
        <f>+'3. Segment Analysis'!BP167</f>
        <v>-3468</v>
      </c>
      <c r="BQ24" s="43">
        <f>+'3. Segment Analysis'!BQ167</f>
        <v>-853</v>
      </c>
      <c r="BR24" s="43">
        <f>+'3. Segment Analysis'!BR167</f>
        <v>-841</v>
      </c>
      <c r="BS24" s="43">
        <f>+'3. Segment Analysis'!BS167</f>
        <v>-852</v>
      </c>
      <c r="BT24" s="43">
        <f>+'3. Segment Analysis'!BT167</f>
        <v>-1110</v>
      </c>
      <c r="BU24" s="36">
        <f>+'3. Segment Analysis'!BU167</f>
        <v>-3656</v>
      </c>
      <c r="BV24" s="43">
        <f>+'3. Segment Analysis'!BV167</f>
        <v>-987</v>
      </c>
      <c r="BW24" s="43">
        <f>+'3. Segment Analysis'!BW167</f>
        <v>-1071</v>
      </c>
      <c r="BX24" s="43">
        <f>+'3. Segment Analysis'!BX167</f>
        <v>-975</v>
      </c>
      <c r="BY24" s="43">
        <f>+'3. Segment Analysis'!BY167</f>
        <v>-1229</v>
      </c>
      <c r="BZ24" s="36">
        <f>+'3. Segment Analysis'!BZ167</f>
        <v>-4262</v>
      </c>
      <c r="CA24" s="43">
        <f>+'3. Segment Analysis'!CA167</f>
        <v>-1187</v>
      </c>
      <c r="CB24" s="43">
        <f>+'3. Segment Analysis'!CB167</f>
        <v>-1226</v>
      </c>
      <c r="CC24" s="43">
        <f>+'3. Segment Analysis'!CC167</f>
        <v>-1160</v>
      </c>
      <c r="CD24" s="43">
        <f>+'3. Segment Analysis'!CD167</f>
        <v>-1268</v>
      </c>
      <c r="CE24" s="36">
        <f>+'3. Segment Analysis'!CE167</f>
        <v>-4841</v>
      </c>
      <c r="CF24" s="43">
        <f>+'3. Segment Analysis'!CF167</f>
        <v>-1205</v>
      </c>
      <c r="CG24" s="43">
        <f>+'3. Segment Analysis'!CG167</f>
        <v>-1168</v>
      </c>
      <c r="CH24" s="43">
        <f>+'3. Segment Analysis'!CH167</f>
        <v>-1199</v>
      </c>
      <c r="CI24" s="43">
        <f>+'3. Segment Analysis'!CI167</f>
        <v>-1148</v>
      </c>
      <c r="CJ24" s="36">
        <f>+'3. Segment Analysis'!CJ167</f>
        <v>-4720</v>
      </c>
      <c r="CK24" s="43">
        <f>+'3. Segment Analysis'!CK167</f>
        <v>-1227</v>
      </c>
      <c r="CL24" s="43">
        <f>+'3. Segment Analysis'!CL167</f>
        <v>-1133</v>
      </c>
      <c r="CM24" s="43">
        <f>+'3. Segment Analysis'!CM167</f>
        <v>-1093</v>
      </c>
      <c r="CN24" s="43">
        <f>+'3. Segment Analysis'!CN167</f>
        <v>-1246</v>
      </c>
      <c r="CO24" s="36">
        <f>+'3. Segment Analysis'!CO167</f>
        <v>-4699</v>
      </c>
      <c r="CP24" s="43">
        <f>+'3. Segment Analysis'!CP167</f>
        <v>-1192</v>
      </c>
      <c r="CQ24" s="43">
        <f>+'3. Segment Analysis'!CQ167</f>
        <v>-1072</v>
      </c>
      <c r="CR24" s="43">
        <f>+'3. Segment Analysis'!CR167</f>
        <v>-1209</v>
      </c>
      <c r="CS24" s="43">
        <f>+'3. Segment Analysis'!CS167</f>
        <v>-1130</v>
      </c>
      <c r="CT24" s="36">
        <f>+'3. Segment Analysis'!CT167</f>
        <v>-4603</v>
      </c>
      <c r="CU24" s="43">
        <f>+'3. Segment Analysis'!CU167</f>
        <v>-1275.3382629865166</v>
      </c>
      <c r="CV24" s="43">
        <f>+'3. Segment Analysis'!CV167</f>
        <v>-1108.5981701084349</v>
      </c>
      <c r="CW24" s="43">
        <f>+'3. Segment Analysis'!CW167</f>
        <v>-1203.4161138912618</v>
      </c>
      <c r="CX24" s="43">
        <f>+'3. Segment Analysis'!CX167</f>
        <v>-1084.0151740373096</v>
      </c>
      <c r="CY24" s="36">
        <f>+'3. Segment Analysis'!CY167</f>
        <v>-4671.3677210235228</v>
      </c>
      <c r="CZ24" s="43">
        <f>+'3. Segment Analysis'!CZ167</f>
        <v>-1320.7079906302233</v>
      </c>
      <c r="DA24" s="43">
        <f>+'3. Segment Analysis'!DA167</f>
        <v>-1152.6469706212206</v>
      </c>
      <c r="DB24" s="43">
        <f>+'3. Segment Analysis'!DB167</f>
        <v>-1252.2689682118157</v>
      </c>
      <c r="DC24" s="43">
        <f>+'3. Segment Analysis'!DC167</f>
        <v>-1130.0040774520692</v>
      </c>
      <c r="DD24" s="36">
        <f>+'3. Segment Analysis'!DD167</f>
        <v>-4855.628006915329</v>
      </c>
      <c r="DE24" s="43">
        <f>+'3. Segment Analysis'!DE167</f>
        <v>-1367.6917309999685</v>
      </c>
      <c r="DF24" s="43">
        <f>+'3. Segment Analysis'!DF167</f>
        <v>-1198.4459966701222</v>
      </c>
      <c r="DG24" s="43">
        <f>+'3. Segment Analysis'!DG167</f>
        <v>-1303.1050113460444</v>
      </c>
      <c r="DH24" s="43">
        <f>+'3. Segment Analysis'!DH167</f>
        <v>-1177.9440414127941</v>
      </c>
      <c r="DI24" s="36">
        <f>+'3. Segment Analysis'!DI167</f>
        <v>-5047.1867804289286</v>
      </c>
    </row>
    <row r="25" spans="1:121" s="117" customFormat="1" ht="12" customHeight="1">
      <c r="A25" s="239"/>
      <c r="B25" s="362" t="s">
        <v>105</v>
      </c>
      <c r="C25" s="360" t="s">
        <v>1</v>
      </c>
      <c r="D25" s="361" t="s">
        <v>1</v>
      </c>
      <c r="E25" s="360" t="s">
        <v>1</v>
      </c>
      <c r="F25" s="361" t="s">
        <v>1</v>
      </c>
      <c r="G25" s="360" t="s">
        <v>1</v>
      </c>
      <c r="H25" s="361" t="s">
        <v>1</v>
      </c>
      <c r="I25" s="360" t="s">
        <v>1</v>
      </c>
      <c r="J25" s="361" t="s">
        <v>1</v>
      </c>
      <c r="K25" s="360" t="s">
        <v>1</v>
      </c>
      <c r="L25" s="361" t="s">
        <v>1</v>
      </c>
      <c r="M25" s="360" t="s">
        <v>1</v>
      </c>
      <c r="N25" s="361" t="s">
        <v>1</v>
      </c>
      <c r="O25" s="361" t="s">
        <v>1</v>
      </c>
      <c r="P25" s="363">
        <f t="shared" ref="P25:AA25" si="18">SUM(P20:P24)</f>
        <v>3095.2</v>
      </c>
      <c r="Q25" s="364">
        <f t="shared" si="18"/>
        <v>3118.2</v>
      </c>
      <c r="R25" s="363">
        <f t="shared" si="18"/>
        <v>866</v>
      </c>
      <c r="S25" s="363">
        <f t="shared" si="18"/>
        <v>729</v>
      </c>
      <c r="T25" s="363">
        <f t="shared" si="18"/>
        <v>821</v>
      </c>
      <c r="U25" s="363">
        <f t="shared" si="18"/>
        <v>902</v>
      </c>
      <c r="V25" s="364">
        <f t="shared" si="18"/>
        <v>3318</v>
      </c>
      <c r="W25" s="363">
        <f t="shared" si="18"/>
        <v>961</v>
      </c>
      <c r="X25" s="363">
        <f t="shared" si="18"/>
        <v>772</v>
      </c>
      <c r="Y25" s="363">
        <f t="shared" si="18"/>
        <v>925</v>
      </c>
      <c r="Z25" s="363">
        <f t="shared" si="18"/>
        <v>903</v>
      </c>
      <c r="AA25" s="364">
        <f t="shared" si="18"/>
        <v>3561</v>
      </c>
      <c r="AB25" s="364"/>
      <c r="AC25" s="363">
        <f t="shared" ref="AC25:BH25" si="19">SUM(AC20:AC24)</f>
        <v>864</v>
      </c>
      <c r="AD25" s="363">
        <f t="shared" si="19"/>
        <v>832</v>
      </c>
      <c r="AE25" s="363">
        <f t="shared" si="19"/>
        <v>940</v>
      </c>
      <c r="AF25" s="363">
        <f t="shared" si="19"/>
        <v>1076</v>
      </c>
      <c r="AG25" s="364">
        <f t="shared" si="19"/>
        <v>3712</v>
      </c>
      <c r="AH25" s="363">
        <f t="shared" si="19"/>
        <v>1097</v>
      </c>
      <c r="AI25" s="363">
        <f t="shared" si="19"/>
        <v>845</v>
      </c>
      <c r="AJ25" s="363">
        <f t="shared" si="19"/>
        <v>1038</v>
      </c>
      <c r="AK25" s="363">
        <f t="shared" si="19"/>
        <v>1135</v>
      </c>
      <c r="AL25" s="364">
        <f t="shared" si="19"/>
        <v>4115</v>
      </c>
      <c r="AM25" s="363">
        <f t="shared" si="19"/>
        <v>1294</v>
      </c>
      <c r="AN25" s="363">
        <f t="shared" si="19"/>
        <v>1072</v>
      </c>
      <c r="AO25" s="363">
        <f t="shared" si="19"/>
        <v>1170</v>
      </c>
      <c r="AP25" s="363">
        <f t="shared" si="19"/>
        <v>1277</v>
      </c>
      <c r="AQ25" s="364">
        <f t="shared" si="19"/>
        <v>4813</v>
      </c>
      <c r="AR25" s="363">
        <f t="shared" si="19"/>
        <v>1625</v>
      </c>
      <c r="AS25" s="363">
        <f t="shared" si="19"/>
        <v>1255</v>
      </c>
      <c r="AT25" s="363">
        <f t="shared" si="19"/>
        <v>1277</v>
      </c>
      <c r="AU25" s="363">
        <f t="shared" si="19"/>
        <v>1171</v>
      </c>
      <c r="AV25" s="364">
        <f t="shared" si="19"/>
        <v>5328</v>
      </c>
      <c r="AW25" s="363">
        <f t="shared" si="19"/>
        <v>1298</v>
      </c>
      <c r="AX25" s="363">
        <f t="shared" si="19"/>
        <v>1247</v>
      </c>
      <c r="AY25" s="363">
        <f t="shared" si="19"/>
        <v>1352</v>
      </c>
      <c r="AZ25" s="363">
        <f t="shared" si="19"/>
        <v>1295</v>
      </c>
      <c r="BA25" s="364">
        <f t="shared" si="19"/>
        <v>5192</v>
      </c>
      <c r="BB25" s="363">
        <f t="shared" si="19"/>
        <v>1432</v>
      </c>
      <c r="BC25" s="363">
        <f t="shared" si="19"/>
        <v>1187</v>
      </c>
      <c r="BD25" s="363">
        <f t="shared" si="19"/>
        <v>1402</v>
      </c>
      <c r="BE25" s="363">
        <f t="shared" si="19"/>
        <v>1504</v>
      </c>
      <c r="BF25" s="364">
        <f t="shared" si="19"/>
        <v>5525</v>
      </c>
      <c r="BG25" s="363">
        <f t="shared" si="19"/>
        <v>1585</v>
      </c>
      <c r="BH25" s="363">
        <f t="shared" si="19"/>
        <v>1390</v>
      </c>
      <c r="BI25" s="363">
        <f t="shared" ref="BI25:CJ25" si="20">SUM(BI20:BI24)</f>
        <v>1644</v>
      </c>
      <c r="BJ25" s="363">
        <f t="shared" si="20"/>
        <v>1738</v>
      </c>
      <c r="BK25" s="364">
        <f t="shared" si="20"/>
        <v>6357</v>
      </c>
      <c r="BL25" s="363">
        <f t="shared" si="20"/>
        <v>1862</v>
      </c>
      <c r="BM25" s="363">
        <f t="shared" si="20"/>
        <v>1584</v>
      </c>
      <c r="BN25" s="363">
        <f t="shared" si="20"/>
        <v>1560</v>
      </c>
      <c r="BO25" s="363">
        <f t="shared" si="20"/>
        <v>-360</v>
      </c>
      <c r="BP25" s="364">
        <f t="shared" si="20"/>
        <v>4646</v>
      </c>
      <c r="BQ25" s="363">
        <f t="shared" si="20"/>
        <v>2109</v>
      </c>
      <c r="BR25" s="363">
        <f t="shared" si="20"/>
        <v>2157</v>
      </c>
      <c r="BS25" s="363">
        <f t="shared" si="20"/>
        <v>2032</v>
      </c>
      <c r="BT25" s="363">
        <f t="shared" si="20"/>
        <v>2343</v>
      </c>
      <c r="BU25" s="364">
        <f t="shared" si="20"/>
        <v>8641</v>
      </c>
      <c r="BV25" s="363">
        <f t="shared" si="20"/>
        <v>2504</v>
      </c>
      <c r="BW25" s="363">
        <f t="shared" si="20"/>
        <v>1927</v>
      </c>
      <c r="BX25" s="363">
        <f t="shared" si="20"/>
        <v>1967</v>
      </c>
      <c r="BY25" s="363">
        <f t="shared" si="20"/>
        <v>2008</v>
      </c>
      <c r="BZ25" s="364">
        <f t="shared" si="20"/>
        <v>8406</v>
      </c>
      <c r="CA25" s="363">
        <f t="shared" si="20"/>
        <v>2206</v>
      </c>
      <c r="CB25" s="363">
        <f t="shared" si="20"/>
        <v>2257</v>
      </c>
      <c r="CC25" s="363">
        <f t="shared" ref="CC25" si="21">SUM(CC20:CC24)</f>
        <v>2002</v>
      </c>
      <c r="CD25" s="363">
        <f t="shared" si="20"/>
        <v>1894</v>
      </c>
      <c r="CE25" s="364">
        <f t="shared" si="20"/>
        <v>8359</v>
      </c>
      <c r="CF25" s="363">
        <f t="shared" si="20"/>
        <v>2098</v>
      </c>
      <c r="CG25" s="363">
        <f t="shared" si="20"/>
        <v>2320</v>
      </c>
      <c r="CH25" s="363">
        <f t="shared" si="20"/>
        <v>2128</v>
      </c>
      <c r="CI25" s="363">
        <f t="shared" si="20"/>
        <v>2138</v>
      </c>
      <c r="CJ25" s="364">
        <f t="shared" si="20"/>
        <v>8684</v>
      </c>
      <c r="CK25" s="363">
        <f t="shared" ref="CK25:CO25" si="22">SUM(CK20:CK24)</f>
        <v>1685</v>
      </c>
      <c r="CL25" s="363">
        <f t="shared" si="22"/>
        <v>1904</v>
      </c>
      <c r="CM25" s="363">
        <f t="shared" si="22"/>
        <v>1257</v>
      </c>
      <c r="CN25" s="363">
        <f t="shared" si="22"/>
        <v>894</v>
      </c>
      <c r="CO25" s="364">
        <f t="shared" si="22"/>
        <v>5740</v>
      </c>
      <c r="CP25" s="363">
        <f t="shared" ref="CP25:CT25" si="23">SUM(CP20:CP24)</f>
        <v>1404</v>
      </c>
      <c r="CQ25" s="363">
        <f t="shared" si="23"/>
        <v>1502</v>
      </c>
      <c r="CR25" s="363">
        <f t="shared" si="23"/>
        <v>1086</v>
      </c>
      <c r="CS25" s="363">
        <f t="shared" si="23"/>
        <v>1863</v>
      </c>
      <c r="CT25" s="364">
        <f t="shared" si="23"/>
        <v>5855</v>
      </c>
      <c r="CU25" s="363">
        <f t="shared" ref="CU25:CY25" si="24">SUM(CU20:CU24)</f>
        <v>1194.6617370134834</v>
      </c>
      <c r="CV25" s="363">
        <f t="shared" si="24"/>
        <v>1274.2902588622708</v>
      </c>
      <c r="CW25" s="363">
        <f t="shared" si="24"/>
        <v>977.4813455913677</v>
      </c>
      <c r="CX25" s="363">
        <f t="shared" si="24"/>
        <v>1339.0320286401081</v>
      </c>
      <c r="CY25" s="364">
        <f t="shared" si="24"/>
        <v>4785.4653701072302</v>
      </c>
      <c r="CZ25" s="363">
        <f t="shared" ref="CZ25:DD25" si="25">SUM(CZ20:CZ24)</f>
        <v>1155.5217596475268</v>
      </c>
      <c r="DA25" s="363">
        <f t="shared" si="25"/>
        <v>1320.4045031479268</v>
      </c>
      <c r="DB25" s="363">
        <f t="shared" si="25"/>
        <v>1049.293096676367</v>
      </c>
      <c r="DC25" s="363">
        <f t="shared" si="25"/>
        <v>1407.6939050243843</v>
      </c>
      <c r="DD25" s="364">
        <f t="shared" si="25"/>
        <v>4932.9132644962046</v>
      </c>
      <c r="DE25" s="363">
        <f t="shared" ref="DE25:DI25" si="26">SUM(DE20:DE24)</f>
        <v>1250.1783643346344</v>
      </c>
      <c r="DF25" s="363">
        <f t="shared" si="26"/>
        <v>1424.4130702638997</v>
      </c>
      <c r="DG25" s="363">
        <f t="shared" si="26"/>
        <v>1155.1056527550588</v>
      </c>
      <c r="DH25" s="363">
        <f t="shared" si="26"/>
        <v>1507.713992533643</v>
      </c>
      <c r="DI25" s="364">
        <f t="shared" si="26"/>
        <v>5337.4110798872371</v>
      </c>
    </row>
    <row r="26" spans="1:121" s="7" customFormat="1" ht="12" customHeight="1">
      <c r="A26" s="239"/>
      <c r="B26" s="20" t="s">
        <v>100</v>
      </c>
      <c r="C26" s="39" t="s">
        <v>1</v>
      </c>
      <c r="D26" s="40" t="s">
        <v>1</v>
      </c>
      <c r="E26" s="39" t="s">
        <v>1</v>
      </c>
      <c r="F26" s="40" t="s">
        <v>1</v>
      </c>
      <c r="G26" s="39" t="s">
        <v>1</v>
      </c>
      <c r="H26" s="40" t="s">
        <v>1</v>
      </c>
      <c r="I26" s="39" t="s">
        <v>1</v>
      </c>
      <c r="J26" s="40" t="s">
        <v>1</v>
      </c>
      <c r="K26" s="39" t="s">
        <v>1</v>
      </c>
      <c r="L26" s="40" t="s">
        <v>1</v>
      </c>
      <c r="M26" s="39" t="s">
        <v>1</v>
      </c>
      <c r="N26" s="40" t="s">
        <v>1</v>
      </c>
      <c r="O26" s="40" t="s">
        <v>1</v>
      </c>
      <c r="P26" s="39">
        <f>P52</f>
        <v>208.70000000000002</v>
      </c>
      <c r="Q26" s="40">
        <f>Q52</f>
        <v>299.39999999999998</v>
      </c>
      <c r="R26" s="39">
        <f>+'3. Segment Analysis'!R173</f>
        <v>109</v>
      </c>
      <c r="S26" s="39">
        <f>+'3. Segment Analysis'!S173</f>
        <v>59</v>
      </c>
      <c r="T26" s="39">
        <f>+'3. Segment Analysis'!T173</f>
        <v>85</v>
      </c>
      <c r="U26" s="39">
        <f>+'3. Segment Analysis'!U173</f>
        <v>82</v>
      </c>
      <c r="V26" s="40">
        <f>+'3. Segment Analysis'!V173</f>
        <v>335</v>
      </c>
      <c r="W26" s="39">
        <f>+'3. Segment Analysis'!W173</f>
        <v>86</v>
      </c>
      <c r="X26" s="39">
        <f>+'3. Segment Analysis'!X173</f>
        <v>57</v>
      </c>
      <c r="Y26" s="39">
        <f>+'3. Segment Analysis'!Y173</f>
        <v>87</v>
      </c>
      <c r="Z26" s="39">
        <f>+'3. Segment Analysis'!Z173</f>
        <v>111</v>
      </c>
      <c r="AA26" s="40">
        <f>+'3. Segment Analysis'!AA173</f>
        <v>341</v>
      </c>
      <c r="AB26" s="40"/>
      <c r="AC26" s="39">
        <f>+'3. Segment Analysis'!AC173</f>
        <v>124</v>
      </c>
      <c r="AD26" s="39">
        <f>+'3. Segment Analysis'!AD173</f>
        <v>91</v>
      </c>
      <c r="AE26" s="39">
        <f>+'3. Segment Analysis'!AE173</f>
        <v>121</v>
      </c>
      <c r="AF26" s="39">
        <f>+'3. Segment Analysis'!AF173</f>
        <v>89</v>
      </c>
      <c r="AG26" s="40">
        <f>AG52</f>
        <v>425</v>
      </c>
      <c r="AH26" s="39">
        <f>+'3. Segment Analysis'!AH173</f>
        <v>169</v>
      </c>
      <c r="AI26" s="39">
        <f>+'3. Segment Analysis'!AI173</f>
        <v>100</v>
      </c>
      <c r="AJ26" s="39">
        <f>+'3. Segment Analysis'!AJ173</f>
        <v>133</v>
      </c>
      <c r="AK26" s="39">
        <f>+'3. Segment Analysis'!AK173</f>
        <v>94</v>
      </c>
      <c r="AL26" s="40">
        <f>+'3. Segment Analysis'!AL173</f>
        <v>496</v>
      </c>
      <c r="AM26" s="39">
        <f>+'3. Segment Analysis'!AM173</f>
        <v>186</v>
      </c>
      <c r="AN26" s="39">
        <f>+'3. Segment Analysis'!AN173</f>
        <v>88</v>
      </c>
      <c r="AO26" s="39">
        <f>+'3. Segment Analysis'!AO173</f>
        <v>163</v>
      </c>
      <c r="AP26" s="39">
        <f>+'3. Segment Analysis'!AP173</f>
        <v>80</v>
      </c>
      <c r="AQ26" s="40">
        <f>+'3. Segment Analysis'!AQ173</f>
        <v>517</v>
      </c>
      <c r="AR26" s="43">
        <f>+'3. Segment Analysis'!AR173</f>
        <v>147</v>
      </c>
      <c r="AS26" s="43">
        <f>+'3. Segment Analysis'!AS173</f>
        <v>85</v>
      </c>
      <c r="AT26" s="43">
        <f>+'3. Segment Analysis'!AT173</f>
        <v>127</v>
      </c>
      <c r="AU26" s="43">
        <f>+'3. Segment Analysis'!AU173</f>
        <v>128</v>
      </c>
      <c r="AV26" s="36">
        <f>+'3. Segment Analysis'!AV173</f>
        <v>487</v>
      </c>
      <c r="AW26" s="43">
        <f>+'3. Segment Analysis'!AW173</f>
        <v>153</v>
      </c>
      <c r="AX26" s="43">
        <f>+'3. Segment Analysis'!AX173</f>
        <v>78</v>
      </c>
      <c r="AY26" s="43">
        <f>+'3. Segment Analysis'!AY173</f>
        <v>109</v>
      </c>
      <c r="AZ26" s="43">
        <f>+'3. Segment Analysis'!AZ173</f>
        <v>137</v>
      </c>
      <c r="BA26" s="36">
        <f>+'3. Segment Analysis'!BA173</f>
        <v>477</v>
      </c>
      <c r="BB26" s="43">
        <f>+'3. Segment Analysis'!BB173</f>
        <v>89</v>
      </c>
      <c r="BC26" s="43">
        <f>+'3. Segment Analysis'!BC173</f>
        <v>48</v>
      </c>
      <c r="BD26" s="43">
        <f>+'3. Segment Analysis'!BD173</f>
        <v>69</v>
      </c>
      <c r="BE26" s="43">
        <f>+'3. Segment Analysis'!BE173</f>
        <v>104</v>
      </c>
      <c r="BF26" s="36">
        <f>+'3. Segment Analysis'!BF173</f>
        <v>310</v>
      </c>
      <c r="BG26" s="43">
        <f>+'3. Segment Analysis'!BG173</f>
        <v>98</v>
      </c>
      <c r="BH26" s="43">
        <f>+'3. Segment Analysis'!BH173</f>
        <v>44</v>
      </c>
      <c r="BI26" s="43">
        <f>+'3. Segment Analysis'!BI173</f>
        <v>79</v>
      </c>
      <c r="BJ26" s="43">
        <f>+'3. Segment Analysis'!BJ173</f>
        <v>82</v>
      </c>
      <c r="BK26" s="36">
        <f>+'3. Segment Analysis'!BK173</f>
        <v>303</v>
      </c>
      <c r="BL26" s="43">
        <f>+'3. Segment Analysis'!BL173</f>
        <v>138</v>
      </c>
      <c r="BM26" s="43">
        <f>+'3. Segment Analysis'!BM173</f>
        <v>90</v>
      </c>
      <c r="BN26" s="43">
        <f>+'3. Segment Analysis'!BN173</f>
        <v>96</v>
      </c>
      <c r="BO26" s="43">
        <f>+'3. Segment Analysis'!BO173</f>
        <v>-27</v>
      </c>
      <c r="BP26" s="36">
        <f>+'3. Segment Analysis'!BP173</f>
        <v>297</v>
      </c>
      <c r="BQ26" s="43">
        <f>+'3. Segment Analysis'!BQ173</f>
        <v>168</v>
      </c>
      <c r="BR26" s="43">
        <f>+'3. Segment Analysis'!BR173</f>
        <v>87</v>
      </c>
      <c r="BS26" s="43">
        <f>+'3. Segment Analysis'!BS173</f>
        <v>150</v>
      </c>
      <c r="BT26" s="43">
        <f>+'3. Segment Analysis'!BT173</f>
        <v>138</v>
      </c>
      <c r="BU26" s="36">
        <f>+'3. Segment Analysis'!BU173</f>
        <v>543</v>
      </c>
      <c r="BV26" s="43">
        <f>+'3. Segment Analysis'!BV173</f>
        <v>204</v>
      </c>
      <c r="BW26" s="43">
        <f>+'3. Segment Analysis'!BW173</f>
        <v>132</v>
      </c>
      <c r="BX26" s="43">
        <f>+'3. Segment Analysis'!BX173</f>
        <v>168</v>
      </c>
      <c r="BY26" s="43">
        <f>+'3. Segment Analysis'!BY173</f>
        <v>165</v>
      </c>
      <c r="BZ26" s="36">
        <f>+'3. Segment Analysis'!BZ173</f>
        <v>669</v>
      </c>
      <c r="CA26" s="43">
        <f>+'3. Segment Analysis'!CA173</f>
        <v>209</v>
      </c>
      <c r="CB26" s="43">
        <f>+'3. Segment Analysis'!CB173</f>
        <v>153</v>
      </c>
      <c r="CC26" s="43">
        <f>+'3. Segment Analysis'!CC173</f>
        <v>164</v>
      </c>
      <c r="CD26" s="43">
        <f>+'3. Segment Analysis'!CD173</f>
        <v>150</v>
      </c>
      <c r="CE26" s="36">
        <f>+'3. Segment Analysis'!CE173</f>
        <v>676</v>
      </c>
      <c r="CF26" s="43">
        <f>+'3. Segment Analysis'!CF173</f>
        <v>167</v>
      </c>
      <c r="CG26" s="43">
        <f>+'3. Segment Analysis'!CG173</f>
        <v>115</v>
      </c>
      <c r="CH26" s="43">
        <f>+'3. Segment Analysis'!CH173</f>
        <v>98</v>
      </c>
      <c r="CI26" s="43">
        <f>+'3. Segment Analysis'!CI173</f>
        <v>94</v>
      </c>
      <c r="CJ26" s="36">
        <f>+'3. Segment Analysis'!CJ173</f>
        <v>474</v>
      </c>
      <c r="CK26" s="43">
        <f>+'3. Segment Analysis'!CK173</f>
        <v>121</v>
      </c>
      <c r="CL26" s="43">
        <f>+'3. Segment Analysis'!CL173</f>
        <v>53</v>
      </c>
      <c r="CM26" s="43">
        <f>+'3. Segment Analysis'!CM173</f>
        <v>39</v>
      </c>
      <c r="CN26" s="43">
        <f>+'3. Segment Analysis'!CN173</f>
        <v>27</v>
      </c>
      <c r="CO26" s="36">
        <f>+'3. Segment Analysis'!CO173</f>
        <v>240</v>
      </c>
      <c r="CP26" s="43">
        <f>+'3. Segment Analysis'!CP173</f>
        <v>39</v>
      </c>
      <c r="CQ26" s="43">
        <f>+'3. Segment Analysis'!CQ173</f>
        <v>-4</v>
      </c>
      <c r="CR26" s="43">
        <f>+'3. Segment Analysis'!CR173</f>
        <v>-40</v>
      </c>
      <c r="CS26" s="43">
        <f>+'3. Segment Analysis'!CS173</f>
        <v>23</v>
      </c>
      <c r="CT26" s="36">
        <f>+'3. Segment Analysis'!CT173</f>
        <v>18</v>
      </c>
      <c r="CU26" s="43">
        <f>+'3. Segment Analysis'!CU173</f>
        <v>25</v>
      </c>
      <c r="CV26" s="43">
        <f>+'3. Segment Analysis'!CV173</f>
        <v>-4.125</v>
      </c>
      <c r="CW26" s="43">
        <f>+'3. Segment Analysis'!CW173</f>
        <v>-33.056000000000004</v>
      </c>
      <c r="CX26" s="43">
        <f>+'3. Segment Analysis'!CX173</f>
        <v>17.423999999999999</v>
      </c>
      <c r="CY26" s="36">
        <f>+'3. Segment Analysis'!CY173</f>
        <v>5.242999999999995</v>
      </c>
      <c r="CZ26" s="43">
        <f>+'3. Segment Analysis'!CZ173</f>
        <v>23.749999999999996</v>
      </c>
      <c r="DA26" s="43">
        <f>+'3. Segment Analysis'!DA173</f>
        <v>-3.9187500000000002</v>
      </c>
      <c r="DB26" s="43">
        <f>+'3. Segment Analysis'!DB173</f>
        <v>-32.394880000000001</v>
      </c>
      <c r="DC26" s="43">
        <f>+'3. Segment Analysis'!DC173</f>
        <v>17.075520000000001</v>
      </c>
      <c r="DD26" s="36">
        <f>+'3. Segment Analysis'!DD173</f>
        <v>4.5118899999999975</v>
      </c>
      <c r="DE26" s="43">
        <f>+'3. Segment Analysis'!DE173</f>
        <v>23.749999999999996</v>
      </c>
      <c r="DF26" s="43">
        <f>+'3. Segment Analysis'!DF173</f>
        <v>-3.9187500000000002</v>
      </c>
      <c r="DG26" s="43">
        <f>+'3. Segment Analysis'!DG173</f>
        <v>-32.394880000000001</v>
      </c>
      <c r="DH26" s="43">
        <f>+'3. Segment Analysis'!DH173</f>
        <v>17.075520000000001</v>
      </c>
      <c r="DI26" s="36">
        <f>+'3. Segment Analysis'!DI173</f>
        <v>4.5118899999999975</v>
      </c>
    </row>
    <row r="27" spans="1:121" s="7" customFormat="1" ht="12" customHeight="1">
      <c r="A27" s="239"/>
      <c r="B27" s="20" t="s">
        <v>94</v>
      </c>
      <c r="C27" s="39" t="s">
        <v>1</v>
      </c>
      <c r="D27" s="40" t="s">
        <v>1</v>
      </c>
      <c r="E27" s="39" t="s">
        <v>1</v>
      </c>
      <c r="F27" s="40" t="s">
        <v>1</v>
      </c>
      <c r="G27" s="39" t="s">
        <v>1</v>
      </c>
      <c r="H27" s="40" t="s">
        <v>1</v>
      </c>
      <c r="I27" s="39" t="s">
        <v>1</v>
      </c>
      <c r="J27" s="40" t="s">
        <v>1</v>
      </c>
      <c r="K27" s="39" t="s">
        <v>1</v>
      </c>
      <c r="L27" s="40" t="s">
        <v>1</v>
      </c>
      <c r="M27" s="39" t="s">
        <v>1</v>
      </c>
      <c r="N27" s="40" t="s">
        <v>1</v>
      </c>
      <c r="O27" s="40" t="s">
        <v>1</v>
      </c>
      <c r="P27" s="39">
        <f>P53</f>
        <v>-760.6</v>
      </c>
      <c r="Q27" s="40">
        <f>Q53</f>
        <v>-894.4</v>
      </c>
      <c r="R27" s="39">
        <f>+'3. Segment Analysis'!R174</f>
        <v>-221</v>
      </c>
      <c r="S27" s="39">
        <f>+'3. Segment Analysis'!S174</f>
        <v>-178</v>
      </c>
      <c r="T27" s="39">
        <f>+'3. Segment Analysis'!T174</f>
        <v>-199</v>
      </c>
      <c r="U27" s="39">
        <f>+'3. Segment Analysis'!U174</f>
        <v>-207</v>
      </c>
      <c r="V27" s="40">
        <f>+'3. Segment Analysis'!V174</f>
        <v>-805</v>
      </c>
      <c r="W27" s="39">
        <f>+'3. Segment Analysis'!W174</f>
        <v>-195</v>
      </c>
      <c r="X27" s="39">
        <f>+'3. Segment Analysis'!X174</f>
        <v>-208</v>
      </c>
      <c r="Y27" s="39">
        <f>+'3. Segment Analysis'!Y174</f>
        <v>-242</v>
      </c>
      <c r="Z27" s="39">
        <f>+'3. Segment Analysis'!Z174</f>
        <v>-271</v>
      </c>
      <c r="AA27" s="40">
        <f>+'3. Segment Analysis'!AA174</f>
        <v>-916</v>
      </c>
      <c r="AB27" s="40"/>
      <c r="AC27" s="39">
        <f>+'3. Segment Analysis'!AC174</f>
        <v>-196</v>
      </c>
      <c r="AD27" s="39">
        <f>+'3. Segment Analysis'!AD174</f>
        <v>-214</v>
      </c>
      <c r="AE27" s="39">
        <f>+'3. Segment Analysis'!AE174</f>
        <v>-207</v>
      </c>
      <c r="AF27" s="39">
        <f>+'3. Segment Analysis'!AF174</f>
        <v>-267</v>
      </c>
      <c r="AG27" s="40">
        <f>AG53</f>
        <v>-884</v>
      </c>
      <c r="AH27" s="39">
        <f>+'3. Segment Analysis'!AH174</f>
        <v>-218</v>
      </c>
      <c r="AI27" s="39">
        <f>+'3. Segment Analysis'!AI174</f>
        <v>-220</v>
      </c>
      <c r="AJ27" s="39">
        <f>+'3. Segment Analysis'!AJ174</f>
        <v>-282</v>
      </c>
      <c r="AK27" s="39">
        <f>+'3. Segment Analysis'!AK174</f>
        <v>-301</v>
      </c>
      <c r="AL27" s="40">
        <f>+'3. Segment Analysis'!AL174</f>
        <v>-1021</v>
      </c>
      <c r="AM27" s="39">
        <f>+'3. Segment Analysis'!AM174</f>
        <v>-242</v>
      </c>
      <c r="AN27" s="39">
        <f>+'3. Segment Analysis'!AN174</f>
        <v>-273</v>
      </c>
      <c r="AO27" s="39">
        <f>+'3. Segment Analysis'!AO174</f>
        <v>-281</v>
      </c>
      <c r="AP27" s="39">
        <f>+'3. Segment Analysis'!AP174</f>
        <v>-301</v>
      </c>
      <c r="AQ27" s="40">
        <f>+'3. Segment Analysis'!AQ174</f>
        <v>-1097</v>
      </c>
      <c r="AR27" s="43">
        <f>+'3. Segment Analysis'!AR174</f>
        <v>-323</v>
      </c>
      <c r="AS27" s="43">
        <f>+'3. Segment Analysis'!AS174</f>
        <v>-365</v>
      </c>
      <c r="AT27" s="43">
        <f>+'3. Segment Analysis'!AT174</f>
        <v>-264</v>
      </c>
      <c r="AU27" s="43">
        <f>+'3. Segment Analysis'!AU174</f>
        <v>-221</v>
      </c>
      <c r="AV27" s="36">
        <f>+'3. Segment Analysis'!AV174</f>
        <v>-1173</v>
      </c>
      <c r="AW27" s="43">
        <f>+'3. Segment Analysis'!AW174</f>
        <v>-163</v>
      </c>
      <c r="AX27" s="43">
        <f>+'3. Segment Analysis'!AX174</f>
        <v>-196</v>
      </c>
      <c r="AY27" s="43">
        <f>+'3. Segment Analysis'!AY174</f>
        <v>-119</v>
      </c>
      <c r="AZ27" s="43">
        <f>+'3. Segment Analysis'!AZ174</f>
        <v>-246</v>
      </c>
      <c r="BA27" s="36">
        <f>+'3. Segment Analysis'!BA174</f>
        <v>-724</v>
      </c>
      <c r="BB27" s="43">
        <f>+'3. Segment Analysis'!BB174</f>
        <v>-433</v>
      </c>
      <c r="BC27" s="43">
        <f>+'3. Segment Analysis'!BC174</f>
        <v>-343</v>
      </c>
      <c r="BD27" s="43">
        <f>+'3. Segment Analysis'!BD174</f>
        <v>-299</v>
      </c>
      <c r="BE27" s="43">
        <f>+'3. Segment Analysis'!BE174</f>
        <v>-381</v>
      </c>
      <c r="BF27" s="36">
        <f>+'3. Segment Analysis'!BF174</f>
        <v>-1456</v>
      </c>
      <c r="BG27" s="43">
        <f>+'3. Segment Analysis'!BG174</f>
        <v>-402</v>
      </c>
      <c r="BH27" s="43">
        <f>+'3. Segment Analysis'!BH174</f>
        <v>-423</v>
      </c>
      <c r="BI27" s="43">
        <f>+'3. Segment Analysis'!BI174</f>
        <v>-420</v>
      </c>
      <c r="BJ27" s="43">
        <f>+'3. Segment Analysis'!BJ174</f>
        <v>-565</v>
      </c>
      <c r="BK27" s="36">
        <f>+'3. Segment Analysis'!BK174</f>
        <v>-1810</v>
      </c>
      <c r="BL27" s="43">
        <f>+'3. Segment Analysis'!BL174</f>
        <v>-424</v>
      </c>
      <c r="BM27" s="43">
        <f>+'3. Segment Analysis'!BM174</f>
        <v>-413</v>
      </c>
      <c r="BN27" s="43">
        <f>+'3. Segment Analysis'!BN174</f>
        <v>-763</v>
      </c>
      <c r="BO27" s="43">
        <f>+'3. Segment Analysis'!BO174</f>
        <v>-367</v>
      </c>
      <c r="BP27" s="36">
        <f>+'3. Segment Analysis'!BP174</f>
        <v>-1967</v>
      </c>
      <c r="BQ27" s="43">
        <f>+'3. Segment Analysis'!BQ174</f>
        <v>-497</v>
      </c>
      <c r="BR27" s="43">
        <f>+'3. Segment Analysis'!BR174</f>
        <v>-718</v>
      </c>
      <c r="BS27" s="43">
        <f>+'3. Segment Analysis'!BS174</f>
        <v>-482</v>
      </c>
      <c r="BT27" s="43">
        <f>+'3. Segment Analysis'!BT174</f>
        <v>-564</v>
      </c>
      <c r="BU27" s="36">
        <f>+'3. Segment Analysis'!BU174</f>
        <v>-2261</v>
      </c>
      <c r="BV27" s="43">
        <f>+'3. Segment Analysis'!BV174</f>
        <v>-545</v>
      </c>
      <c r="BW27" s="43">
        <f>+'3. Segment Analysis'!BW174</f>
        <v>-503</v>
      </c>
      <c r="BX27" s="43">
        <f>+'3. Segment Analysis'!BX174</f>
        <v>-412</v>
      </c>
      <c r="BY27" s="43">
        <f>+'3. Segment Analysis'!BY174</f>
        <v>-759</v>
      </c>
      <c r="BZ27" s="36">
        <f>+'3. Segment Analysis'!BZ174</f>
        <v>-2219</v>
      </c>
      <c r="CA27" s="43">
        <f>+'3. Segment Analysis'!CA174</f>
        <v>-574</v>
      </c>
      <c r="CB27" s="43">
        <f>+'3. Segment Analysis'!CB174</f>
        <v>-744</v>
      </c>
      <c r="CC27" s="43">
        <f>+'3. Segment Analysis'!CC174</f>
        <v>-696</v>
      </c>
      <c r="CD27" s="43">
        <f>+'3. Segment Analysis'!CD174</f>
        <v>-826</v>
      </c>
      <c r="CE27" s="36">
        <f>+'3. Segment Analysis'!CE174</f>
        <v>-2840</v>
      </c>
      <c r="CF27" s="43">
        <f>+'3. Segment Analysis'!CF174</f>
        <v>-651</v>
      </c>
      <c r="CG27" s="43">
        <f>+'3. Segment Analysis'!CG174</f>
        <v>-535</v>
      </c>
      <c r="CH27" s="43">
        <f>+'3. Segment Analysis'!CH174</f>
        <v>-471</v>
      </c>
      <c r="CI27" s="43">
        <f>+'3. Segment Analysis'!CI174</f>
        <v>-519</v>
      </c>
      <c r="CJ27" s="36">
        <f>+'3. Segment Analysis'!CJ174</f>
        <v>-2176</v>
      </c>
      <c r="CK27" s="43">
        <f>+'3. Segment Analysis'!CK174</f>
        <v>-542</v>
      </c>
      <c r="CL27" s="43">
        <f>+'3. Segment Analysis'!CL174</f>
        <v>-565</v>
      </c>
      <c r="CM27" s="43">
        <f>+'3. Segment Analysis'!CM174</f>
        <v>-470</v>
      </c>
      <c r="CN27" s="43">
        <f>+'3. Segment Analysis'!CN174</f>
        <v>-625</v>
      </c>
      <c r="CO27" s="36">
        <f>+'3. Segment Analysis'!CO174</f>
        <v>-2202</v>
      </c>
      <c r="CP27" s="43">
        <f>+'3. Segment Analysis'!CP174</f>
        <v>-539</v>
      </c>
      <c r="CQ27" s="43">
        <f>+'3. Segment Analysis'!CQ174</f>
        <v>-508</v>
      </c>
      <c r="CR27" s="43">
        <f>+'3. Segment Analysis'!CR174</f>
        <v>-411</v>
      </c>
      <c r="CS27" s="43">
        <f>+'3. Segment Analysis'!CS174</f>
        <v>-565</v>
      </c>
      <c r="CT27" s="36">
        <f>+'3. Segment Analysis'!CT174</f>
        <v>-2023</v>
      </c>
      <c r="CU27" s="43">
        <f>+'3. Segment Analysis'!CU174</f>
        <v>-312.66173701348339</v>
      </c>
      <c r="CV27" s="43">
        <f>+'3. Segment Analysis'!CV174</f>
        <v>-559.4808269854268</v>
      </c>
      <c r="CW27" s="43">
        <f>+'3. Segment Analysis'!CW174</f>
        <v>-398.36659244889279</v>
      </c>
      <c r="CX27" s="43">
        <f>+'3. Segment Analysis'!CX174</f>
        <v>-1084.6797928610652</v>
      </c>
      <c r="CY27" s="36">
        <f>+'3. Segment Analysis'!CY174</f>
        <v>-2355.1889493088684</v>
      </c>
      <c r="CZ27" s="43">
        <f>+'3. Segment Analysis'!CZ174</f>
        <v>-325.51924724885339</v>
      </c>
      <c r="DA27" s="43">
        <f>+'3. Segment Analysis'!DA174</f>
        <v>-697.80657727441599</v>
      </c>
      <c r="DB27" s="43">
        <f>+'3. Segment Analysis'!DB174</f>
        <v>-490.28495190350054</v>
      </c>
      <c r="DC27" s="43">
        <f>+'3. Segment Analysis'!DC174</f>
        <v>-1164.5793670544626</v>
      </c>
      <c r="DD27" s="36">
        <f>+'3. Segment Analysis'!DD174</f>
        <v>-2678.1901434812326</v>
      </c>
      <c r="DE27" s="43">
        <f>+'3. Segment Analysis'!DE174</f>
        <v>-362.86296585741911</v>
      </c>
      <c r="DF27" s="43">
        <f>+'3. Segment Analysis'!DF174</f>
        <v>-743.56911057182333</v>
      </c>
      <c r="DG27" s="43">
        <f>+'3. Segment Analysis'!DG174</f>
        <v>-537.01879005176397</v>
      </c>
      <c r="DH27" s="43">
        <f>+'3. Segment Analysis'!DH174</f>
        <v>-1209.4804045372857</v>
      </c>
      <c r="DI27" s="36">
        <f>+'3. Segment Analysis'!DI174</f>
        <v>-2852.9312710182921</v>
      </c>
    </row>
    <row r="28" spans="1:121" s="117" customFormat="1" ht="12" customHeight="1">
      <c r="A28" s="239"/>
      <c r="B28" s="362" t="s">
        <v>5</v>
      </c>
      <c r="C28" s="360" t="s">
        <v>1</v>
      </c>
      <c r="D28" s="361" t="s">
        <v>1</v>
      </c>
      <c r="E28" s="360" t="s">
        <v>1</v>
      </c>
      <c r="F28" s="361" t="s">
        <v>1</v>
      </c>
      <c r="G28" s="360" t="s">
        <v>1</v>
      </c>
      <c r="H28" s="361" t="s">
        <v>1</v>
      </c>
      <c r="I28" s="360" t="s">
        <v>1</v>
      </c>
      <c r="J28" s="361" t="s">
        <v>1</v>
      </c>
      <c r="K28" s="360" t="s">
        <v>1</v>
      </c>
      <c r="L28" s="361" t="s">
        <v>1</v>
      </c>
      <c r="M28" s="360" t="s">
        <v>1</v>
      </c>
      <c r="N28" s="361" t="s">
        <v>1</v>
      </c>
      <c r="O28" s="361" t="s">
        <v>1</v>
      </c>
      <c r="P28" s="363">
        <f>SUM(P25:P27)</f>
        <v>2543.2999999999997</v>
      </c>
      <c r="Q28" s="364">
        <f>SUM(Q25:Q27)</f>
        <v>2523.1999999999998</v>
      </c>
      <c r="R28" s="363">
        <f t="shared" ref="R28:AA28" si="27">+R25+R26+R27</f>
        <v>754</v>
      </c>
      <c r="S28" s="363">
        <f t="shared" si="27"/>
        <v>610</v>
      </c>
      <c r="T28" s="363">
        <f t="shared" si="27"/>
        <v>707</v>
      </c>
      <c r="U28" s="363">
        <f t="shared" si="27"/>
        <v>777</v>
      </c>
      <c r="V28" s="364">
        <f t="shared" si="27"/>
        <v>2848</v>
      </c>
      <c r="W28" s="363">
        <f t="shared" si="27"/>
        <v>852</v>
      </c>
      <c r="X28" s="363">
        <f t="shared" si="27"/>
        <v>621</v>
      </c>
      <c r="Y28" s="363">
        <f t="shared" si="27"/>
        <v>770</v>
      </c>
      <c r="Z28" s="363">
        <f t="shared" si="27"/>
        <v>743</v>
      </c>
      <c r="AA28" s="364">
        <f t="shared" si="27"/>
        <v>2986</v>
      </c>
      <c r="AB28" s="364"/>
      <c r="AC28" s="363">
        <f>+AC25+AC26+AC27</f>
        <v>792</v>
      </c>
      <c r="AD28" s="363">
        <f>+AD25+AD26+AD27</f>
        <v>709</v>
      </c>
      <c r="AE28" s="363">
        <f>+AE25+AE26+AE27</f>
        <v>854</v>
      </c>
      <c r="AF28" s="363">
        <f>+AF25+AF26+AF27</f>
        <v>898</v>
      </c>
      <c r="AG28" s="364">
        <f>SUM(AG25:AG27)</f>
        <v>3253</v>
      </c>
      <c r="AH28" s="363">
        <f t="shared" ref="AH28:BM28" si="28">+AH25+AH26+AH27</f>
        <v>1048</v>
      </c>
      <c r="AI28" s="363">
        <f t="shared" si="28"/>
        <v>725</v>
      </c>
      <c r="AJ28" s="363">
        <f t="shared" si="28"/>
        <v>889</v>
      </c>
      <c r="AK28" s="363">
        <f t="shared" si="28"/>
        <v>928</v>
      </c>
      <c r="AL28" s="364">
        <f t="shared" si="28"/>
        <v>3590</v>
      </c>
      <c r="AM28" s="363">
        <f t="shared" si="28"/>
        <v>1238</v>
      </c>
      <c r="AN28" s="363">
        <f t="shared" si="28"/>
        <v>887</v>
      </c>
      <c r="AO28" s="363">
        <f t="shared" si="28"/>
        <v>1052</v>
      </c>
      <c r="AP28" s="363">
        <f t="shared" si="28"/>
        <v>1056</v>
      </c>
      <c r="AQ28" s="364">
        <f t="shared" si="28"/>
        <v>4233</v>
      </c>
      <c r="AR28" s="363">
        <f t="shared" si="28"/>
        <v>1449</v>
      </c>
      <c r="AS28" s="363">
        <f t="shared" si="28"/>
        <v>975</v>
      </c>
      <c r="AT28" s="363">
        <f t="shared" si="28"/>
        <v>1140</v>
      </c>
      <c r="AU28" s="363">
        <f t="shared" si="28"/>
        <v>1078</v>
      </c>
      <c r="AV28" s="364">
        <f t="shared" si="28"/>
        <v>4642</v>
      </c>
      <c r="AW28" s="363">
        <f t="shared" si="28"/>
        <v>1288</v>
      </c>
      <c r="AX28" s="363">
        <f t="shared" si="28"/>
        <v>1129</v>
      </c>
      <c r="AY28" s="363">
        <f t="shared" si="28"/>
        <v>1342</v>
      </c>
      <c r="AZ28" s="363">
        <f t="shared" si="28"/>
        <v>1186</v>
      </c>
      <c r="BA28" s="364">
        <f t="shared" si="28"/>
        <v>4945</v>
      </c>
      <c r="BB28" s="363">
        <f t="shared" si="28"/>
        <v>1088</v>
      </c>
      <c r="BC28" s="363">
        <f t="shared" si="28"/>
        <v>892</v>
      </c>
      <c r="BD28" s="363">
        <f t="shared" si="28"/>
        <v>1172</v>
      </c>
      <c r="BE28" s="363">
        <f t="shared" si="28"/>
        <v>1227</v>
      </c>
      <c r="BF28" s="364">
        <f t="shared" si="28"/>
        <v>4379</v>
      </c>
      <c r="BG28" s="363">
        <f t="shared" si="28"/>
        <v>1281</v>
      </c>
      <c r="BH28" s="363">
        <f t="shared" si="28"/>
        <v>1011</v>
      </c>
      <c r="BI28" s="363">
        <f t="shared" si="28"/>
        <v>1303</v>
      </c>
      <c r="BJ28" s="363">
        <f t="shared" si="28"/>
        <v>1255</v>
      </c>
      <c r="BK28" s="364">
        <f t="shared" si="28"/>
        <v>4850</v>
      </c>
      <c r="BL28" s="363">
        <f t="shared" si="28"/>
        <v>1576</v>
      </c>
      <c r="BM28" s="363">
        <f t="shared" si="28"/>
        <v>1261</v>
      </c>
      <c r="BN28" s="363">
        <f t="shared" ref="BN28:CJ28" si="29">+BN25+BN26+BN27</f>
        <v>893</v>
      </c>
      <c r="BO28" s="363">
        <f t="shared" si="29"/>
        <v>-754</v>
      </c>
      <c r="BP28" s="364">
        <f t="shared" si="29"/>
        <v>2976</v>
      </c>
      <c r="BQ28" s="363">
        <f t="shared" si="29"/>
        <v>1780</v>
      </c>
      <c r="BR28" s="363">
        <f t="shared" si="29"/>
        <v>1526</v>
      </c>
      <c r="BS28" s="363">
        <f t="shared" si="29"/>
        <v>1700</v>
      </c>
      <c r="BT28" s="363">
        <f t="shared" si="29"/>
        <v>1917</v>
      </c>
      <c r="BU28" s="364">
        <f t="shared" si="29"/>
        <v>6923</v>
      </c>
      <c r="BV28" s="363">
        <f t="shared" si="29"/>
        <v>2163</v>
      </c>
      <c r="BW28" s="363">
        <f t="shared" si="29"/>
        <v>1556</v>
      </c>
      <c r="BX28" s="363">
        <f t="shared" si="29"/>
        <v>1723</v>
      </c>
      <c r="BY28" s="363">
        <f t="shared" si="29"/>
        <v>1414</v>
      </c>
      <c r="BZ28" s="364">
        <f t="shared" si="29"/>
        <v>6856</v>
      </c>
      <c r="CA28" s="363">
        <f t="shared" si="29"/>
        <v>1841</v>
      </c>
      <c r="CB28" s="363">
        <f t="shared" si="29"/>
        <v>1666</v>
      </c>
      <c r="CC28" s="363">
        <f t="shared" ref="CC28" si="30">+CC25+CC26+CC27</f>
        <v>1470</v>
      </c>
      <c r="CD28" s="363">
        <f t="shared" si="29"/>
        <v>1218</v>
      </c>
      <c r="CE28" s="364">
        <f t="shared" si="29"/>
        <v>6195</v>
      </c>
      <c r="CF28" s="363">
        <f t="shared" si="29"/>
        <v>1614</v>
      </c>
      <c r="CG28" s="363">
        <f t="shared" si="29"/>
        <v>1900</v>
      </c>
      <c r="CH28" s="363">
        <f t="shared" si="29"/>
        <v>1755</v>
      </c>
      <c r="CI28" s="363">
        <f t="shared" si="29"/>
        <v>1713</v>
      </c>
      <c r="CJ28" s="364">
        <f t="shared" si="29"/>
        <v>6982</v>
      </c>
      <c r="CK28" s="363">
        <f t="shared" ref="CK28:CO28" si="31">+CK25+CK26+CK27</f>
        <v>1264</v>
      </c>
      <c r="CL28" s="363">
        <f t="shared" si="31"/>
        <v>1392</v>
      </c>
      <c r="CM28" s="363">
        <f t="shared" si="31"/>
        <v>826</v>
      </c>
      <c r="CN28" s="363">
        <f t="shared" si="31"/>
        <v>296</v>
      </c>
      <c r="CO28" s="364">
        <f t="shared" si="31"/>
        <v>3778</v>
      </c>
      <c r="CP28" s="363">
        <f t="shared" ref="CP28:CT28" si="32">+CP25+CP26+CP27</f>
        <v>904</v>
      </c>
      <c r="CQ28" s="363">
        <f t="shared" si="32"/>
        <v>990</v>
      </c>
      <c r="CR28" s="363">
        <f t="shared" si="32"/>
        <v>635</v>
      </c>
      <c r="CS28" s="363">
        <f t="shared" si="32"/>
        <v>1321</v>
      </c>
      <c r="CT28" s="364">
        <f t="shared" si="32"/>
        <v>3850</v>
      </c>
      <c r="CU28" s="363">
        <f t="shared" ref="CU28:CY28" si="33">+CU25+CU26+CU27</f>
        <v>907</v>
      </c>
      <c r="CV28" s="363">
        <f t="shared" si="33"/>
        <v>710.68443187684397</v>
      </c>
      <c r="CW28" s="363">
        <f t="shared" si="33"/>
        <v>546.05875314247487</v>
      </c>
      <c r="CX28" s="363">
        <f t="shared" si="33"/>
        <v>271.77623577904296</v>
      </c>
      <c r="CY28" s="364">
        <f t="shared" si="33"/>
        <v>2435.5194207983623</v>
      </c>
      <c r="CZ28" s="363">
        <f t="shared" ref="CZ28:DD28" si="34">+CZ25+CZ26+CZ27</f>
        <v>853.75251239867339</v>
      </c>
      <c r="DA28" s="363">
        <f t="shared" si="34"/>
        <v>618.67917587351076</v>
      </c>
      <c r="DB28" s="363">
        <f t="shared" si="34"/>
        <v>526.61326477286639</v>
      </c>
      <c r="DC28" s="363">
        <f t="shared" si="34"/>
        <v>260.19005796992178</v>
      </c>
      <c r="DD28" s="364">
        <f t="shared" si="34"/>
        <v>2259.2350110149719</v>
      </c>
      <c r="DE28" s="363">
        <f t="shared" ref="DE28:DI28" si="35">+DE25+DE26+DE27</f>
        <v>911.06539847721524</v>
      </c>
      <c r="DF28" s="363">
        <f t="shared" si="35"/>
        <v>676.92520969207635</v>
      </c>
      <c r="DG28" s="363">
        <f t="shared" si="35"/>
        <v>585.6919827032948</v>
      </c>
      <c r="DH28" s="363">
        <f t="shared" si="35"/>
        <v>315.3091079963574</v>
      </c>
      <c r="DI28" s="364">
        <f t="shared" si="35"/>
        <v>2488.9916988689447</v>
      </c>
    </row>
    <row r="29" spans="1:121" ht="12" hidden="1" customHeight="1" outlineLevel="1">
      <c r="A29" s="219"/>
      <c r="B29" s="365"/>
      <c r="C29" s="366"/>
      <c r="D29" s="367"/>
      <c r="E29" s="366"/>
      <c r="F29" s="367"/>
      <c r="G29" s="366"/>
      <c r="H29" s="367"/>
      <c r="I29" s="366"/>
      <c r="J29" s="367"/>
      <c r="K29" s="366"/>
      <c r="L29" s="367"/>
      <c r="M29" s="366"/>
      <c r="N29" s="367"/>
      <c r="O29" s="367"/>
      <c r="P29" s="366"/>
      <c r="Q29" s="367"/>
      <c r="R29" s="366"/>
      <c r="S29" s="366"/>
      <c r="T29" s="366"/>
      <c r="U29" s="366"/>
      <c r="V29" s="12"/>
      <c r="W29" s="366"/>
      <c r="X29" s="366"/>
      <c r="Y29" s="366"/>
      <c r="Z29" s="366"/>
      <c r="AA29" s="12"/>
      <c r="AB29" s="367"/>
      <c r="AC29" s="366"/>
      <c r="AD29" s="366"/>
      <c r="AE29" s="366"/>
      <c r="AF29" s="366"/>
      <c r="AG29" s="12"/>
      <c r="AH29" s="366"/>
      <c r="AI29" s="366"/>
      <c r="AJ29" s="366"/>
      <c r="AK29" s="366"/>
      <c r="AL29" s="12"/>
      <c r="AM29" s="366"/>
      <c r="AN29" s="366"/>
      <c r="AO29" s="366"/>
      <c r="AP29" s="366"/>
      <c r="AQ29" s="12"/>
      <c r="AR29" s="366"/>
      <c r="AS29" s="366"/>
      <c r="AT29" s="366"/>
      <c r="AU29" s="366"/>
      <c r="AV29" s="12"/>
      <c r="AW29" s="366"/>
      <c r="AX29" s="366"/>
      <c r="AY29" s="366"/>
      <c r="AZ29" s="366"/>
      <c r="BA29" s="12"/>
      <c r="BB29" s="366"/>
      <c r="BC29" s="366"/>
      <c r="BD29" s="366"/>
      <c r="BE29" s="366"/>
      <c r="BF29" s="12"/>
      <c r="BG29" s="366"/>
      <c r="BH29" s="366"/>
      <c r="BI29" s="366"/>
      <c r="BJ29" s="366"/>
      <c r="BK29" s="12"/>
      <c r="BL29" s="366"/>
      <c r="BM29" s="366"/>
      <c r="BN29" s="366"/>
      <c r="BO29" s="366"/>
      <c r="BP29" s="367"/>
      <c r="BQ29" s="366"/>
      <c r="BR29" s="366"/>
      <c r="BS29" s="366"/>
      <c r="BT29" s="366"/>
      <c r="BU29" s="367"/>
      <c r="BV29" s="366"/>
      <c r="BW29" s="366"/>
      <c r="BX29" s="366"/>
      <c r="BY29" s="366"/>
      <c r="BZ29" s="367"/>
      <c r="CA29" s="366"/>
      <c r="CB29" s="366"/>
      <c r="CC29" s="366"/>
      <c r="CD29" s="366"/>
      <c r="CE29" s="367"/>
      <c r="CF29" s="366"/>
      <c r="CG29" s="366"/>
      <c r="CH29" s="366"/>
      <c r="CI29" s="366"/>
      <c r="CJ29" s="367"/>
      <c r="CK29" s="366"/>
      <c r="CL29" s="366"/>
      <c r="CM29" s="366"/>
      <c r="CN29" s="366"/>
      <c r="CO29" s="248"/>
      <c r="CP29" s="366"/>
      <c r="CQ29" s="366"/>
      <c r="CR29" s="366"/>
      <c r="CS29" s="366"/>
      <c r="CT29" s="367"/>
      <c r="CU29" s="366"/>
      <c r="CV29" s="366"/>
      <c r="CW29" s="366"/>
      <c r="CX29" s="366"/>
      <c r="CY29" s="367"/>
      <c r="CZ29" s="366"/>
      <c r="DA29" s="366"/>
      <c r="DB29" s="366"/>
      <c r="DC29" s="366"/>
      <c r="DD29" s="367"/>
      <c r="DE29" s="366"/>
      <c r="DF29" s="366"/>
      <c r="DG29" s="366"/>
      <c r="DH29" s="366"/>
      <c r="DI29" s="367"/>
    </row>
    <row r="30" spans="1:121" ht="12" hidden="1" customHeight="1" outlineLevel="1">
      <c r="A30" s="219"/>
      <c r="B30" s="368" t="s">
        <v>157</v>
      </c>
      <c r="C30" s="9"/>
      <c r="D30" s="41"/>
      <c r="E30" s="9"/>
      <c r="F30" s="41"/>
      <c r="G30" s="9"/>
      <c r="H30" s="41"/>
      <c r="I30" s="9"/>
      <c r="J30" s="41"/>
      <c r="K30" s="9"/>
      <c r="L30" s="41"/>
      <c r="M30" s="9"/>
      <c r="N30" s="41"/>
      <c r="O30" s="41"/>
      <c r="P30" s="9"/>
      <c r="Q30" s="41"/>
      <c r="R30" s="9"/>
      <c r="S30" s="9"/>
      <c r="T30" s="9"/>
      <c r="U30" s="9"/>
      <c r="V30" s="41"/>
      <c r="W30" s="9"/>
      <c r="X30" s="9"/>
      <c r="Y30" s="9"/>
      <c r="Z30" s="9"/>
      <c r="AA30" s="41"/>
      <c r="AB30" s="41"/>
      <c r="AC30" s="9"/>
      <c r="AD30" s="9"/>
      <c r="AE30" s="9"/>
      <c r="AF30" s="9"/>
      <c r="AG30" s="41"/>
      <c r="AH30" s="9"/>
      <c r="AI30" s="9"/>
      <c r="AJ30" s="9"/>
      <c r="AK30" s="9"/>
      <c r="AL30" s="42"/>
      <c r="AM30" s="49"/>
      <c r="AN30" s="49"/>
      <c r="AO30" s="49"/>
      <c r="AP30" s="49"/>
      <c r="AQ30" s="42"/>
      <c r="AR30" s="49"/>
      <c r="AS30" s="49"/>
      <c r="AT30" s="49"/>
      <c r="AU30" s="49"/>
      <c r="AV30" s="42"/>
      <c r="AW30" s="49"/>
      <c r="AX30" s="49"/>
      <c r="AY30" s="49"/>
      <c r="AZ30" s="49"/>
      <c r="BA30" s="41"/>
      <c r="BB30" s="9"/>
      <c r="BC30" s="9"/>
      <c r="BD30" s="9"/>
      <c r="BE30" s="9"/>
      <c r="BF30" s="41"/>
      <c r="BG30" s="9"/>
      <c r="BH30" s="9"/>
      <c r="BI30" s="9"/>
      <c r="BJ30" s="9"/>
      <c r="BK30" s="41"/>
      <c r="BL30" s="9"/>
      <c r="BM30" s="9"/>
      <c r="BN30" s="9"/>
      <c r="BO30" s="9"/>
      <c r="BP30" s="41"/>
      <c r="BQ30" s="9"/>
      <c r="BR30" s="9"/>
      <c r="BS30" s="9"/>
      <c r="BT30" s="9"/>
      <c r="BU30" s="41"/>
      <c r="BV30" s="9"/>
      <c r="BW30" s="9"/>
      <c r="BX30" s="9"/>
      <c r="BY30" s="9"/>
      <c r="BZ30" s="41"/>
      <c r="CA30" s="9"/>
      <c r="CB30" s="9"/>
      <c r="CC30" s="9"/>
      <c r="CD30" s="9"/>
      <c r="CE30" s="41"/>
      <c r="CF30" s="9"/>
      <c r="CG30" s="9"/>
      <c r="CH30" s="9"/>
      <c r="CI30" s="9"/>
      <c r="CJ30" s="41"/>
      <c r="CK30" s="9"/>
      <c r="CL30" s="9"/>
      <c r="CM30" s="9"/>
      <c r="CN30" s="9"/>
      <c r="CO30" s="41"/>
      <c r="CP30" s="9"/>
      <c r="CQ30" s="9"/>
      <c r="CR30" s="9"/>
      <c r="CS30" s="9"/>
      <c r="CT30" s="41"/>
      <c r="CU30" s="9"/>
      <c r="CV30" s="9"/>
      <c r="CW30" s="9"/>
      <c r="CX30" s="9"/>
      <c r="CY30" s="41"/>
      <c r="CZ30" s="9"/>
      <c r="DA30" s="9"/>
      <c r="DB30" s="9"/>
      <c r="DC30" s="9"/>
      <c r="DD30" s="41"/>
      <c r="DE30" s="9"/>
      <c r="DF30" s="9"/>
      <c r="DG30" s="9"/>
      <c r="DH30" s="9"/>
      <c r="DI30" s="41"/>
    </row>
    <row r="31" spans="1:121" ht="12" hidden="1" customHeight="1" outlineLevel="1">
      <c r="A31" s="219"/>
      <c r="B31" s="74" t="s">
        <v>87</v>
      </c>
      <c r="C31" s="358">
        <v>3615.0619999999999</v>
      </c>
      <c r="D31" s="359">
        <v>5201.6239999999998</v>
      </c>
      <c r="E31" s="358">
        <v>5139.4120000000003</v>
      </c>
      <c r="F31" s="359">
        <v>4750.7109999999993</v>
      </c>
      <c r="G31" s="358">
        <v>4732.0730000000003</v>
      </c>
      <c r="H31" s="359">
        <v>4819</v>
      </c>
      <c r="I31" s="358">
        <v>4669.6000000000004</v>
      </c>
      <c r="J31" s="359">
        <v>4658.5</v>
      </c>
      <c r="K31" s="358">
        <v>4786.2999999999993</v>
      </c>
      <c r="L31" s="359">
        <v>5129.2999999999993</v>
      </c>
      <c r="M31" s="358">
        <v>5722.5</v>
      </c>
      <c r="N31" s="359">
        <v>6107.0999999999995</v>
      </c>
      <c r="O31" s="359">
        <v>6414.5</v>
      </c>
      <c r="P31" s="43">
        <v>6778.3</v>
      </c>
      <c r="Q31" s="36">
        <v>6696</v>
      </c>
      <c r="R31" s="43">
        <v>1903</v>
      </c>
      <c r="S31" s="43">
        <v>1701</v>
      </c>
      <c r="T31" s="43">
        <v>1836</v>
      </c>
      <c r="U31" s="43">
        <v>2139</v>
      </c>
      <c r="V31" s="36">
        <f t="shared" ref="V31:V41" si="36">SUM(R31:U31)</f>
        <v>7579</v>
      </c>
      <c r="W31" s="43">
        <v>2200</v>
      </c>
      <c r="X31" s="43">
        <v>2066</v>
      </c>
      <c r="Y31" s="43">
        <v>2149</v>
      </c>
      <c r="Z31" s="43">
        <v>2424</v>
      </c>
      <c r="AA31" s="36">
        <f t="shared" ref="AA31:AA41" si="37">SUM(W31:Z31)</f>
        <v>8839</v>
      </c>
      <c r="AB31" s="36"/>
      <c r="AC31" s="43">
        <v>2866</v>
      </c>
      <c r="AD31" s="43">
        <v>2564</v>
      </c>
      <c r="AE31" s="43">
        <v>2737</v>
      </c>
      <c r="AF31" s="43">
        <v>2991</v>
      </c>
      <c r="AG31" s="36">
        <f t="shared" ref="AG31:AG41" si="38">SUM(AC31:AF31)</f>
        <v>11158</v>
      </c>
      <c r="AH31" s="43">
        <v>3135</v>
      </c>
      <c r="AI31" s="369">
        <v>2801</v>
      </c>
      <c r="AJ31" s="43">
        <v>3069</v>
      </c>
      <c r="AK31" s="43">
        <v>3294</v>
      </c>
      <c r="AL31" s="36">
        <f t="shared" ref="AL31:AL41" si="39">SUM(AH31:AK31)</f>
        <v>12299</v>
      </c>
      <c r="AM31" s="369">
        <v>3513</v>
      </c>
      <c r="AN31" s="43">
        <v>3241</v>
      </c>
      <c r="AO31" s="43">
        <v>3254</v>
      </c>
      <c r="AP31" s="43">
        <v>3732</v>
      </c>
      <c r="AQ31" s="36">
        <f t="shared" ref="AQ31:AQ41" si="40">SUM(AM31:AP31)</f>
        <v>13740</v>
      </c>
      <c r="AR31" s="43">
        <v>3799</v>
      </c>
      <c r="AS31" s="43">
        <v>3547</v>
      </c>
      <c r="AT31" s="43">
        <v>3683</v>
      </c>
      <c r="AU31" s="43">
        <v>3735</v>
      </c>
      <c r="AV31" s="36">
        <f t="shared" ref="AV31:AV41" si="41">SUM(AR31:AU31)</f>
        <v>14764</v>
      </c>
      <c r="AW31" s="43">
        <v>4031</v>
      </c>
      <c r="AX31" s="43">
        <v>3650</v>
      </c>
      <c r="AY31" s="43">
        <v>3782</v>
      </c>
      <c r="AZ31" s="43">
        <v>3753</v>
      </c>
      <c r="BA31" s="36">
        <f t="shared" ref="BA31:BA41" si="42">SUM(AW31:AZ31)</f>
        <v>15216</v>
      </c>
      <c r="BB31" s="39" t="s">
        <v>126</v>
      </c>
      <c r="BC31" s="43" t="s">
        <v>126</v>
      </c>
      <c r="BD31" s="43" t="s">
        <v>126</v>
      </c>
      <c r="BE31" s="43" t="s">
        <v>126</v>
      </c>
      <c r="BF31" s="36" t="s">
        <v>126</v>
      </c>
      <c r="BG31" s="39" t="s">
        <v>126</v>
      </c>
      <c r="BH31" s="43" t="s">
        <v>126</v>
      </c>
      <c r="BI31" s="43" t="s">
        <v>126</v>
      </c>
      <c r="BJ31" s="43" t="s">
        <v>126</v>
      </c>
      <c r="BK31" s="36" t="s">
        <v>126</v>
      </c>
      <c r="BL31" s="39" t="s">
        <v>126</v>
      </c>
      <c r="BM31" s="43" t="s">
        <v>126</v>
      </c>
      <c r="BN31" s="43" t="s">
        <v>126</v>
      </c>
      <c r="BO31" s="43" t="s">
        <v>126</v>
      </c>
      <c r="BP31" s="36" t="s">
        <v>126</v>
      </c>
      <c r="BQ31" s="39" t="s">
        <v>126</v>
      </c>
      <c r="BR31" s="43" t="s">
        <v>126</v>
      </c>
      <c r="BS31" s="43" t="s">
        <v>126</v>
      </c>
      <c r="BT31" s="43" t="s">
        <v>126</v>
      </c>
      <c r="BU31" s="36" t="s">
        <v>126</v>
      </c>
      <c r="BV31" s="39" t="s">
        <v>126</v>
      </c>
      <c r="BW31" s="43" t="s">
        <v>126</v>
      </c>
      <c r="BX31" s="43" t="s">
        <v>126</v>
      </c>
      <c r="BY31" s="43" t="s">
        <v>126</v>
      </c>
      <c r="BZ31" s="36" t="s">
        <v>126</v>
      </c>
      <c r="CA31" s="39" t="s">
        <v>126</v>
      </c>
      <c r="CB31" s="43" t="s">
        <v>126</v>
      </c>
      <c r="CC31" s="43" t="s">
        <v>126</v>
      </c>
      <c r="CD31" s="43" t="s">
        <v>126</v>
      </c>
      <c r="CE31" s="36" t="s">
        <v>126</v>
      </c>
      <c r="CF31" s="39" t="s">
        <v>126</v>
      </c>
      <c r="CG31" s="43" t="s">
        <v>126</v>
      </c>
      <c r="CH31" s="43" t="s">
        <v>126</v>
      </c>
      <c r="CI31" s="43" t="s">
        <v>126</v>
      </c>
      <c r="CJ31" s="36" t="s">
        <v>126</v>
      </c>
      <c r="CK31" s="39" t="s">
        <v>126</v>
      </c>
      <c r="CL31" s="43" t="s">
        <v>126</v>
      </c>
      <c r="CM31" s="43" t="s">
        <v>126</v>
      </c>
      <c r="CN31" s="43" t="s">
        <v>126</v>
      </c>
      <c r="CO31" s="36" t="s">
        <v>126</v>
      </c>
      <c r="CP31" s="39" t="s">
        <v>126</v>
      </c>
      <c r="CQ31" s="43" t="s">
        <v>126</v>
      </c>
      <c r="CR31" s="43" t="s">
        <v>126</v>
      </c>
      <c r="CS31" s="43" t="s">
        <v>126</v>
      </c>
      <c r="CT31" s="36" t="s">
        <v>126</v>
      </c>
      <c r="CU31" s="39" t="s">
        <v>126</v>
      </c>
      <c r="CV31" s="43" t="s">
        <v>126</v>
      </c>
      <c r="CW31" s="43" t="s">
        <v>126</v>
      </c>
      <c r="CX31" s="43" t="s">
        <v>126</v>
      </c>
      <c r="CY31" s="36" t="s">
        <v>126</v>
      </c>
      <c r="CZ31" s="39" t="s">
        <v>126</v>
      </c>
      <c r="DA31" s="43" t="s">
        <v>126</v>
      </c>
      <c r="DB31" s="43" t="s">
        <v>126</v>
      </c>
      <c r="DC31" s="43" t="s">
        <v>126</v>
      </c>
      <c r="DD31" s="36" t="s">
        <v>126</v>
      </c>
      <c r="DE31" s="39" t="s">
        <v>126</v>
      </c>
      <c r="DF31" s="43" t="s">
        <v>126</v>
      </c>
      <c r="DG31" s="43" t="s">
        <v>126</v>
      </c>
      <c r="DH31" s="43" t="s">
        <v>126</v>
      </c>
      <c r="DI31" s="36" t="s">
        <v>126</v>
      </c>
    </row>
    <row r="32" spans="1:121" ht="12" hidden="1" customHeight="1" outlineLevel="1">
      <c r="A32" s="219"/>
      <c r="B32" s="74" t="s">
        <v>98</v>
      </c>
      <c r="C32" s="39" t="s">
        <v>1</v>
      </c>
      <c r="D32" s="40" t="s">
        <v>1</v>
      </c>
      <c r="E32" s="39" t="s">
        <v>1</v>
      </c>
      <c r="F32" s="40" t="s">
        <v>1</v>
      </c>
      <c r="G32" s="39" t="s">
        <v>1</v>
      </c>
      <c r="H32" s="40" t="s">
        <v>1</v>
      </c>
      <c r="I32" s="39" t="s">
        <v>1</v>
      </c>
      <c r="J32" s="40" t="s">
        <v>1</v>
      </c>
      <c r="K32" s="39" t="s">
        <v>1</v>
      </c>
      <c r="L32" s="40" t="s">
        <v>1</v>
      </c>
      <c r="M32" s="39" t="s">
        <v>1</v>
      </c>
      <c r="N32" s="40" t="s">
        <v>1</v>
      </c>
      <c r="O32" s="40" t="s">
        <v>1</v>
      </c>
      <c r="P32" s="43">
        <v>4139.0999999999995</v>
      </c>
      <c r="Q32" s="36">
        <v>3892</v>
      </c>
      <c r="R32" s="43">
        <v>1066</v>
      </c>
      <c r="S32" s="43">
        <v>853</v>
      </c>
      <c r="T32" s="43">
        <v>922</v>
      </c>
      <c r="U32" s="43">
        <v>1017</v>
      </c>
      <c r="V32" s="36">
        <f t="shared" si="36"/>
        <v>3858</v>
      </c>
      <c r="W32" s="43">
        <v>1228</v>
      </c>
      <c r="X32" s="43">
        <v>915</v>
      </c>
      <c r="Y32" s="43">
        <v>962</v>
      </c>
      <c r="Z32" s="43">
        <v>1039</v>
      </c>
      <c r="AA32" s="36">
        <f t="shared" si="37"/>
        <v>4144</v>
      </c>
      <c r="AB32" s="36"/>
      <c r="AC32" s="43">
        <v>1176</v>
      </c>
      <c r="AD32" s="43">
        <v>908</v>
      </c>
      <c r="AE32" s="43">
        <v>1057</v>
      </c>
      <c r="AF32" s="43">
        <v>1052</v>
      </c>
      <c r="AG32" s="36">
        <f t="shared" si="38"/>
        <v>4193</v>
      </c>
      <c r="AH32" s="43">
        <v>1301</v>
      </c>
      <c r="AI32" s="369">
        <v>1074</v>
      </c>
      <c r="AJ32" s="43">
        <v>1292</v>
      </c>
      <c r="AK32" s="43">
        <v>1312</v>
      </c>
      <c r="AL32" s="36">
        <f t="shared" si="39"/>
        <v>4979</v>
      </c>
      <c r="AM32" s="369">
        <v>1714</v>
      </c>
      <c r="AN32" s="43">
        <v>1312</v>
      </c>
      <c r="AO32" s="43">
        <v>1413</v>
      </c>
      <c r="AP32" s="43">
        <v>1267</v>
      </c>
      <c r="AQ32" s="36">
        <f t="shared" si="40"/>
        <v>5706</v>
      </c>
      <c r="AR32" s="43">
        <v>1641</v>
      </c>
      <c r="AS32" s="43">
        <v>1299</v>
      </c>
      <c r="AT32" s="43">
        <v>1442</v>
      </c>
      <c r="AU32" s="43">
        <v>1502</v>
      </c>
      <c r="AV32" s="36">
        <f t="shared" si="41"/>
        <v>5884</v>
      </c>
      <c r="AW32" s="43">
        <v>1763</v>
      </c>
      <c r="AX32" s="43">
        <v>1385</v>
      </c>
      <c r="AY32" s="43">
        <v>1499</v>
      </c>
      <c r="AZ32" s="43">
        <v>1564</v>
      </c>
      <c r="BA32" s="36">
        <f t="shared" si="42"/>
        <v>6211</v>
      </c>
      <c r="BB32" s="39" t="s">
        <v>126</v>
      </c>
      <c r="BC32" s="43" t="s">
        <v>126</v>
      </c>
      <c r="BD32" s="43" t="s">
        <v>126</v>
      </c>
      <c r="BE32" s="43" t="s">
        <v>126</v>
      </c>
      <c r="BF32" s="36" t="s">
        <v>126</v>
      </c>
      <c r="BG32" s="39" t="s">
        <v>126</v>
      </c>
      <c r="BH32" s="43" t="s">
        <v>126</v>
      </c>
      <c r="BI32" s="43" t="s">
        <v>126</v>
      </c>
      <c r="BJ32" s="43" t="s">
        <v>126</v>
      </c>
      <c r="BK32" s="36" t="s">
        <v>126</v>
      </c>
      <c r="BL32" s="39" t="s">
        <v>126</v>
      </c>
      <c r="BM32" s="43" t="s">
        <v>126</v>
      </c>
      <c r="BN32" s="43" t="s">
        <v>126</v>
      </c>
      <c r="BO32" s="43" t="s">
        <v>126</v>
      </c>
      <c r="BP32" s="36" t="s">
        <v>126</v>
      </c>
      <c r="BQ32" s="39" t="s">
        <v>126</v>
      </c>
      <c r="BR32" s="43" t="s">
        <v>126</v>
      </c>
      <c r="BS32" s="43" t="s">
        <v>126</v>
      </c>
      <c r="BT32" s="43" t="s">
        <v>126</v>
      </c>
      <c r="BU32" s="36" t="s">
        <v>126</v>
      </c>
      <c r="BV32" s="39" t="s">
        <v>126</v>
      </c>
      <c r="BW32" s="43" t="s">
        <v>126</v>
      </c>
      <c r="BX32" s="43" t="s">
        <v>126</v>
      </c>
      <c r="BY32" s="43" t="s">
        <v>126</v>
      </c>
      <c r="BZ32" s="36" t="s">
        <v>126</v>
      </c>
      <c r="CA32" s="39" t="s">
        <v>126</v>
      </c>
      <c r="CB32" s="43" t="s">
        <v>126</v>
      </c>
      <c r="CC32" s="43" t="s">
        <v>126</v>
      </c>
      <c r="CD32" s="43" t="s">
        <v>126</v>
      </c>
      <c r="CE32" s="36" t="s">
        <v>126</v>
      </c>
      <c r="CF32" s="39" t="s">
        <v>126</v>
      </c>
      <c r="CG32" s="43" t="s">
        <v>126</v>
      </c>
      <c r="CH32" s="43" t="s">
        <v>126</v>
      </c>
      <c r="CI32" s="43" t="s">
        <v>126</v>
      </c>
      <c r="CJ32" s="36" t="s">
        <v>126</v>
      </c>
      <c r="CK32" s="39" t="s">
        <v>126</v>
      </c>
      <c r="CL32" s="43" t="s">
        <v>126</v>
      </c>
      <c r="CM32" s="43" t="s">
        <v>126</v>
      </c>
      <c r="CN32" s="43" t="s">
        <v>126</v>
      </c>
      <c r="CO32" s="36" t="s">
        <v>126</v>
      </c>
      <c r="CP32" s="39" t="s">
        <v>126</v>
      </c>
      <c r="CQ32" s="43" t="s">
        <v>126</v>
      </c>
      <c r="CR32" s="43" t="s">
        <v>126</v>
      </c>
      <c r="CS32" s="43" t="s">
        <v>126</v>
      </c>
      <c r="CT32" s="36" t="s">
        <v>126</v>
      </c>
      <c r="CU32" s="39" t="s">
        <v>126</v>
      </c>
      <c r="CV32" s="43" t="s">
        <v>126</v>
      </c>
      <c r="CW32" s="43" t="s">
        <v>126</v>
      </c>
      <c r="CX32" s="43" t="s">
        <v>126</v>
      </c>
      <c r="CY32" s="36" t="s">
        <v>126</v>
      </c>
      <c r="CZ32" s="39" t="s">
        <v>126</v>
      </c>
      <c r="DA32" s="43" t="s">
        <v>126</v>
      </c>
      <c r="DB32" s="43" t="s">
        <v>126</v>
      </c>
      <c r="DC32" s="43" t="s">
        <v>126</v>
      </c>
      <c r="DD32" s="36" t="s">
        <v>126</v>
      </c>
      <c r="DE32" s="39" t="s">
        <v>126</v>
      </c>
      <c r="DF32" s="43" t="s">
        <v>126</v>
      </c>
      <c r="DG32" s="43" t="s">
        <v>126</v>
      </c>
      <c r="DH32" s="43" t="s">
        <v>126</v>
      </c>
      <c r="DI32" s="36" t="s">
        <v>126</v>
      </c>
    </row>
    <row r="33" spans="1:132" ht="12" hidden="1" customHeight="1" outlineLevel="1">
      <c r="A33" s="219"/>
      <c r="B33" s="74" t="s">
        <v>88</v>
      </c>
      <c r="C33" s="39" t="s">
        <v>1</v>
      </c>
      <c r="D33" s="40" t="s">
        <v>1</v>
      </c>
      <c r="E33" s="39" t="s">
        <v>1</v>
      </c>
      <c r="F33" s="40" t="s">
        <v>1</v>
      </c>
      <c r="G33" s="39" t="s">
        <v>1</v>
      </c>
      <c r="H33" s="40" t="s">
        <v>1</v>
      </c>
      <c r="I33" s="39" t="s">
        <v>1</v>
      </c>
      <c r="J33" s="40" t="s">
        <v>1</v>
      </c>
      <c r="K33" s="39" t="s">
        <v>1</v>
      </c>
      <c r="L33" s="40" t="s">
        <v>1</v>
      </c>
      <c r="M33" s="39" t="s">
        <v>1</v>
      </c>
      <c r="N33" s="40" t="s">
        <v>1</v>
      </c>
      <c r="O33" s="40" t="s">
        <v>1</v>
      </c>
      <c r="P33" s="43">
        <v>1373.1999999999998</v>
      </c>
      <c r="Q33" s="36">
        <v>1149.9000000000001</v>
      </c>
      <c r="R33" s="43">
        <v>269</v>
      </c>
      <c r="S33" s="43">
        <v>224</v>
      </c>
      <c r="T33" s="43">
        <v>253</v>
      </c>
      <c r="U33" s="43">
        <v>294</v>
      </c>
      <c r="V33" s="36">
        <f t="shared" si="36"/>
        <v>1040</v>
      </c>
      <c r="W33" s="43">
        <v>334</v>
      </c>
      <c r="X33" s="43">
        <v>261</v>
      </c>
      <c r="Y33" s="43">
        <v>275</v>
      </c>
      <c r="Z33" s="43">
        <v>330</v>
      </c>
      <c r="AA33" s="36">
        <f t="shared" si="37"/>
        <v>1200</v>
      </c>
      <c r="AB33" s="36"/>
      <c r="AC33" s="43">
        <v>327</v>
      </c>
      <c r="AD33" s="43">
        <v>252</v>
      </c>
      <c r="AE33" s="43">
        <v>303</v>
      </c>
      <c r="AF33" s="43">
        <v>347</v>
      </c>
      <c r="AG33" s="36">
        <f t="shared" si="38"/>
        <v>1229</v>
      </c>
      <c r="AH33" s="43">
        <v>366</v>
      </c>
      <c r="AI33" s="369">
        <v>295</v>
      </c>
      <c r="AJ33" s="43">
        <v>356</v>
      </c>
      <c r="AK33" s="43">
        <v>370</v>
      </c>
      <c r="AL33" s="36">
        <f t="shared" si="39"/>
        <v>1387</v>
      </c>
      <c r="AM33" s="369">
        <v>392</v>
      </c>
      <c r="AN33" s="43">
        <v>347</v>
      </c>
      <c r="AO33" s="43">
        <v>321</v>
      </c>
      <c r="AP33" s="43">
        <v>360</v>
      </c>
      <c r="AQ33" s="36">
        <f t="shared" si="40"/>
        <v>1420</v>
      </c>
      <c r="AR33" s="43">
        <v>401</v>
      </c>
      <c r="AS33" s="43">
        <v>326</v>
      </c>
      <c r="AT33" s="43">
        <v>359</v>
      </c>
      <c r="AU33" s="43">
        <v>345</v>
      </c>
      <c r="AV33" s="36">
        <f t="shared" si="41"/>
        <v>1431</v>
      </c>
      <c r="AW33" s="43">
        <v>440</v>
      </c>
      <c r="AX33" s="43">
        <v>328</v>
      </c>
      <c r="AY33" s="43">
        <v>362</v>
      </c>
      <c r="AZ33" s="43">
        <v>357</v>
      </c>
      <c r="BA33" s="36">
        <f t="shared" si="42"/>
        <v>1487</v>
      </c>
      <c r="BB33" s="39" t="s">
        <v>126</v>
      </c>
      <c r="BC33" s="43" t="s">
        <v>126</v>
      </c>
      <c r="BD33" s="43" t="s">
        <v>126</v>
      </c>
      <c r="BE33" s="43" t="s">
        <v>126</v>
      </c>
      <c r="BF33" s="36" t="s">
        <v>126</v>
      </c>
      <c r="BG33" s="39" t="s">
        <v>126</v>
      </c>
      <c r="BH33" s="43" t="s">
        <v>126</v>
      </c>
      <c r="BI33" s="43" t="s">
        <v>126</v>
      </c>
      <c r="BJ33" s="43" t="s">
        <v>126</v>
      </c>
      <c r="BK33" s="36" t="s">
        <v>126</v>
      </c>
      <c r="BL33" s="39" t="s">
        <v>126</v>
      </c>
      <c r="BM33" s="43" t="s">
        <v>126</v>
      </c>
      <c r="BN33" s="43" t="s">
        <v>126</v>
      </c>
      <c r="BO33" s="43" t="s">
        <v>126</v>
      </c>
      <c r="BP33" s="36" t="s">
        <v>126</v>
      </c>
      <c r="BQ33" s="39" t="s">
        <v>126</v>
      </c>
      <c r="BR33" s="43" t="s">
        <v>126</v>
      </c>
      <c r="BS33" s="43" t="s">
        <v>126</v>
      </c>
      <c r="BT33" s="43" t="s">
        <v>126</v>
      </c>
      <c r="BU33" s="36" t="s">
        <v>126</v>
      </c>
      <c r="BV33" s="39" t="s">
        <v>126</v>
      </c>
      <c r="BW33" s="43" t="s">
        <v>126</v>
      </c>
      <c r="BX33" s="43" t="s">
        <v>126</v>
      </c>
      <c r="BY33" s="43" t="s">
        <v>126</v>
      </c>
      <c r="BZ33" s="36" t="s">
        <v>126</v>
      </c>
      <c r="CA33" s="39" t="s">
        <v>126</v>
      </c>
      <c r="CB33" s="43" t="s">
        <v>126</v>
      </c>
      <c r="CC33" s="43" t="s">
        <v>126</v>
      </c>
      <c r="CD33" s="43" t="s">
        <v>126</v>
      </c>
      <c r="CE33" s="36" t="s">
        <v>126</v>
      </c>
      <c r="CF33" s="39" t="s">
        <v>126</v>
      </c>
      <c r="CG33" s="43" t="s">
        <v>126</v>
      </c>
      <c r="CH33" s="43" t="s">
        <v>126</v>
      </c>
      <c r="CI33" s="43" t="s">
        <v>126</v>
      </c>
      <c r="CJ33" s="36" t="s">
        <v>126</v>
      </c>
      <c r="CK33" s="39" t="s">
        <v>126</v>
      </c>
      <c r="CL33" s="43" t="s">
        <v>126</v>
      </c>
      <c r="CM33" s="43" t="s">
        <v>126</v>
      </c>
      <c r="CN33" s="43" t="s">
        <v>126</v>
      </c>
      <c r="CO33" s="36" t="s">
        <v>126</v>
      </c>
      <c r="CP33" s="39" t="s">
        <v>126</v>
      </c>
      <c r="CQ33" s="43" t="s">
        <v>126</v>
      </c>
      <c r="CR33" s="43" t="s">
        <v>126</v>
      </c>
      <c r="CS33" s="43" t="s">
        <v>126</v>
      </c>
      <c r="CT33" s="36" t="s">
        <v>126</v>
      </c>
      <c r="CU33" s="39" t="s">
        <v>126</v>
      </c>
      <c r="CV33" s="43" t="s">
        <v>126</v>
      </c>
      <c r="CW33" s="43" t="s">
        <v>126</v>
      </c>
      <c r="CX33" s="43" t="s">
        <v>126</v>
      </c>
      <c r="CY33" s="36" t="s">
        <v>126</v>
      </c>
      <c r="CZ33" s="39" t="s">
        <v>126</v>
      </c>
      <c r="DA33" s="43" t="s">
        <v>126</v>
      </c>
      <c r="DB33" s="43" t="s">
        <v>126</v>
      </c>
      <c r="DC33" s="43" t="s">
        <v>126</v>
      </c>
      <c r="DD33" s="36" t="s">
        <v>126</v>
      </c>
      <c r="DE33" s="39" t="s">
        <v>126</v>
      </c>
      <c r="DF33" s="43" t="s">
        <v>126</v>
      </c>
      <c r="DG33" s="43" t="s">
        <v>126</v>
      </c>
      <c r="DH33" s="43" t="s">
        <v>126</v>
      </c>
      <c r="DI33" s="36" t="s">
        <v>126</v>
      </c>
      <c r="DX33" s="370"/>
      <c r="EB33" s="370"/>
    </row>
    <row r="34" spans="1:132" ht="12" hidden="1" customHeight="1" outlineLevel="1">
      <c r="A34" s="219"/>
      <c r="B34" s="74" t="s">
        <v>89</v>
      </c>
      <c r="C34" s="39" t="s">
        <v>1</v>
      </c>
      <c r="D34" s="40" t="s">
        <v>1</v>
      </c>
      <c r="E34" s="39" t="s">
        <v>1</v>
      </c>
      <c r="F34" s="40" t="s">
        <v>1</v>
      </c>
      <c r="G34" s="39" t="s">
        <v>1</v>
      </c>
      <c r="H34" s="40" t="s">
        <v>1</v>
      </c>
      <c r="I34" s="39" t="s">
        <v>1</v>
      </c>
      <c r="J34" s="40" t="s">
        <v>1</v>
      </c>
      <c r="K34" s="39" t="s">
        <v>1</v>
      </c>
      <c r="L34" s="40" t="s">
        <v>1</v>
      </c>
      <c r="M34" s="39" t="s">
        <v>1</v>
      </c>
      <c r="N34" s="359">
        <f>O34/1.5</f>
        <v>902.66666666666663</v>
      </c>
      <c r="O34" s="359">
        <v>1354</v>
      </c>
      <c r="P34" s="43">
        <v>1743.3</v>
      </c>
      <c r="Q34" s="36">
        <v>1741.8000000000002</v>
      </c>
      <c r="R34" s="43">
        <v>460</v>
      </c>
      <c r="S34" s="43">
        <v>482</v>
      </c>
      <c r="T34" s="43">
        <v>554</v>
      </c>
      <c r="U34" s="43">
        <v>564</v>
      </c>
      <c r="V34" s="36">
        <f t="shared" si="36"/>
        <v>2060</v>
      </c>
      <c r="W34" s="43">
        <v>528</v>
      </c>
      <c r="X34" s="43">
        <v>650</v>
      </c>
      <c r="Y34" s="43">
        <v>694</v>
      </c>
      <c r="Z34" s="43">
        <v>667</v>
      </c>
      <c r="AA34" s="36">
        <f t="shared" si="37"/>
        <v>2539</v>
      </c>
      <c r="AB34" s="36"/>
      <c r="AC34" s="43">
        <v>577</v>
      </c>
      <c r="AD34" s="43">
        <v>582</v>
      </c>
      <c r="AE34" s="43">
        <v>641</v>
      </c>
      <c r="AF34" s="43">
        <v>678</v>
      </c>
      <c r="AG34" s="36">
        <f t="shared" si="38"/>
        <v>2478</v>
      </c>
      <c r="AH34" s="43">
        <v>574</v>
      </c>
      <c r="AI34" s="369">
        <v>629</v>
      </c>
      <c r="AJ34" s="43">
        <v>697</v>
      </c>
      <c r="AK34" s="43">
        <v>702</v>
      </c>
      <c r="AL34" s="36">
        <f t="shared" si="39"/>
        <v>2602</v>
      </c>
      <c r="AM34" s="369">
        <v>679</v>
      </c>
      <c r="AN34" s="43">
        <v>758</v>
      </c>
      <c r="AO34" s="43">
        <v>801</v>
      </c>
      <c r="AP34" s="43">
        <v>829</v>
      </c>
      <c r="AQ34" s="36">
        <f t="shared" si="40"/>
        <v>3067</v>
      </c>
      <c r="AR34" s="43">
        <v>886</v>
      </c>
      <c r="AS34" s="43">
        <v>938</v>
      </c>
      <c r="AT34" s="43">
        <v>982</v>
      </c>
      <c r="AU34" s="43">
        <v>979</v>
      </c>
      <c r="AV34" s="36">
        <f t="shared" si="41"/>
        <v>3785</v>
      </c>
      <c r="AW34" s="43">
        <v>1020</v>
      </c>
      <c r="AX34" s="43">
        <v>1055</v>
      </c>
      <c r="AY34" s="43">
        <v>1075</v>
      </c>
      <c r="AZ34" s="43">
        <v>1087</v>
      </c>
      <c r="BA34" s="36">
        <f t="shared" si="42"/>
        <v>4237</v>
      </c>
      <c r="BB34" s="39" t="s">
        <v>126</v>
      </c>
      <c r="BC34" s="43" t="s">
        <v>126</v>
      </c>
      <c r="BD34" s="43" t="s">
        <v>126</v>
      </c>
      <c r="BE34" s="43" t="s">
        <v>126</v>
      </c>
      <c r="BF34" s="36" t="s">
        <v>126</v>
      </c>
      <c r="BG34" s="39" t="s">
        <v>126</v>
      </c>
      <c r="BH34" s="43" t="s">
        <v>126</v>
      </c>
      <c r="BI34" s="43" t="s">
        <v>126</v>
      </c>
      <c r="BJ34" s="43" t="s">
        <v>126</v>
      </c>
      <c r="BK34" s="36" t="s">
        <v>126</v>
      </c>
      <c r="BL34" s="39" t="s">
        <v>126</v>
      </c>
      <c r="BM34" s="43" t="s">
        <v>126</v>
      </c>
      <c r="BN34" s="43" t="s">
        <v>126</v>
      </c>
      <c r="BO34" s="43" t="s">
        <v>126</v>
      </c>
      <c r="BP34" s="36" t="s">
        <v>126</v>
      </c>
      <c r="BQ34" s="39" t="s">
        <v>126</v>
      </c>
      <c r="BR34" s="43" t="s">
        <v>126</v>
      </c>
      <c r="BS34" s="43" t="s">
        <v>126</v>
      </c>
      <c r="BT34" s="43" t="s">
        <v>126</v>
      </c>
      <c r="BU34" s="36" t="s">
        <v>126</v>
      </c>
      <c r="BV34" s="39" t="s">
        <v>126</v>
      </c>
      <c r="BW34" s="43" t="s">
        <v>126</v>
      </c>
      <c r="BX34" s="43" t="s">
        <v>126</v>
      </c>
      <c r="BY34" s="43" t="s">
        <v>126</v>
      </c>
      <c r="BZ34" s="36" t="s">
        <v>126</v>
      </c>
      <c r="CA34" s="39" t="s">
        <v>126</v>
      </c>
      <c r="CB34" s="43" t="s">
        <v>126</v>
      </c>
      <c r="CC34" s="43" t="s">
        <v>126</v>
      </c>
      <c r="CD34" s="43" t="s">
        <v>126</v>
      </c>
      <c r="CE34" s="36" t="s">
        <v>126</v>
      </c>
      <c r="CF34" s="39" t="s">
        <v>126</v>
      </c>
      <c r="CG34" s="43" t="s">
        <v>126</v>
      </c>
      <c r="CH34" s="43" t="s">
        <v>126</v>
      </c>
      <c r="CI34" s="43" t="s">
        <v>126</v>
      </c>
      <c r="CJ34" s="36" t="s">
        <v>126</v>
      </c>
      <c r="CK34" s="39" t="s">
        <v>126</v>
      </c>
      <c r="CL34" s="43" t="s">
        <v>126</v>
      </c>
      <c r="CM34" s="43" t="s">
        <v>126</v>
      </c>
      <c r="CN34" s="43" t="s">
        <v>126</v>
      </c>
      <c r="CO34" s="36" t="s">
        <v>126</v>
      </c>
      <c r="CP34" s="39" t="s">
        <v>126</v>
      </c>
      <c r="CQ34" s="43" t="s">
        <v>126</v>
      </c>
      <c r="CR34" s="43" t="s">
        <v>126</v>
      </c>
      <c r="CS34" s="43" t="s">
        <v>126</v>
      </c>
      <c r="CT34" s="36" t="s">
        <v>126</v>
      </c>
      <c r="CU34" s="39" t="s">
        <v>126</v>
      </c>
      <c r="CV34" s="43" t="s">
        <v>126</v>
      </c>
      <c r="CW34" s="43" t="s">
        <v>126</v>
      </c>
      <c r="CX34" s="43" t="s">
        <v>126</v>
      </c>
      <c r="CY34" s="36" t="s">
        <v>126</v>
      </c>
      <c r="CZ34" s="39" t="s">
        <v>126</v>
      </c>
      <c r="DA34" s="43" t="s">
        <v>126</v>
      </c>
      <c r="DB34" s="43" t="s">
        <v>126</v>
      </c>
      <c r="DC34" s="43" t="s">
        <v>126</v>
      </c>
      <c r="DD34" s="36" t="s">
        <v>126</v>
      </c>
      <c r="DE34" s="39" t="s">
        <v>126</v>
      </c>
      <c r="DF34" s="43" t="s">
        <v>126</v>
      </c>
      <c r="DG34" s="43" t="s">
        <v>126</v>
      </c>
      <c r="DH34" s="43" t="s">
        <v>126</v>
      </c>
      <c r="DI34" s="36" t="s">
        <v>126</v>
      </c>
    </row>
    <row r="35" spans="1:132" ht="12" hidden="1" customHeight="1" outlineLevel="1">
      <c r="A35" s="219"/>
      <c r="B35" s="74" t="s">
        <v>90</v>
      </c>
      <c r="C35" s="39" t="s">
        <v>1</v>
      </c>
      <c r="D35" s="40" t="s">
        <v>1</v>
      </c>
      <c r="E35" s="39" t="s">
        <v>1</v>
      </c>
      <c r="F35" s="40" t="s">
        <v>1</v>
      </c>
      <c r="G35" s="39" t="s">
        <v>1</v>
      </c>
      <c r="H35" s="40" t="s">
        <v>1</v>
      </c>
      <c r="I35" s="39" t="s">
        <v>1</v>
      </c>
      <c r="J35" s="40" t="s">
        <v>1</v>
      </c>
      <c r="K35" s="39" t="s">
        <v>1</v>
      </c>
      <c r="L35" s="40" t="s">
        <v>1</v>
      </c>
      <c r="M35" s="39" t="s">
        <v>1</v>
      </c>
      <c r="N35" s="40" t="s">
        <v>1</v>
      </c>
      <c r="O35" s="40" t="s">
        <v>1</v>
      </c>
      <c r="P35" s="43">
        <v>925.90000000000009</v>
      </c>
      <c r="Q35" s="36">
        <v>882</v>
      </c>
      <c r="R35" s="43">
        <v>163</v>
      </c>
      <c r="S35" s="43">
        <v>192</v>
      </c>
      <c r="T35" s="43">
        <v>195</v>
      </c>
      <c r="U35" s="43">
        <v>216</v>
      </c>
      <c r="V35" s="36">
        <f t="shared" si="36"/>
        <v>766</v>
      </c>
      <c r="W35" s="43">
        <v>191</v>
      </c>
      <c r="X35" s="43">
        <v>197</v>
      </c>
      <c r="Y35" s="43">
        <v>201</v>
      </c>
      <c r="Z35" s="43">
        <v>240</v>
      </c>
      <c r="AA35" s="36">
        <f t="shared" si="37"/>
        <v>829</v>
      </c>
      <c r="AB35" s="36"/>
      <c r="AC35" s="43">
        <v>197</v>
      </c>
      <c r="AD35" s="43">
        <v>240</v>
      </c>
      <c r="AE35" s="43">
        <v>195</v>
      </c>
      <c r="AF35" s="43">
        <v>244</v>
      </c>
      <c r="AG35" s="36">
        <f t="shared" si="38"/>
        <v>876</v>
      </c>
      <c r="AH35" s="43">
        <v>158</v>
      </c>
      <c r="AI35" s="369">
        <v>210</v>
      </c>
      <c r="AJ35" s="43">
        <v>177</v>
      </c>
      <c r="AK35" s="43">
        <v>226</v>
      </c>
      <c r="AL35" s="36">
        <f t="shared" si="39"/>
        <v>771</v>
      </c>
      <c r="AM35" s="369">
        <v>160</v>
      </c>
      <c r="AN35" s="43">
        <v>199</v>
      </c>
      <c r="AO35" s="43">
        <v>166</v>
      </c>
      <c r="AP35" s="43">
        <v>230</v>
      </c>
      <c r="AQ35" s="36">
        <f t="shared" si="40"/>
        <v>755</v>
      </c>
      <c r="AR35" s="43">
        <v>179</v>
      </c>
      <c r="AS35" s="43">
        <v>205</v>
      </c>
      <c r="AT35" s="43">
        <v>205</v>
      </c>
      <c r="AU35" s="43">
        <v>280</v>
      </c>
      <c r="AV35" s="36">
        <f t="shared" si="41"/>
        <v>869</v>
      </c>
      <c r="AW35" s="43">
        <v>245</v>
      </c>
      <c r="AX35" s="43">
        <v>238</v>
      </c>
      <c r="AY35" s="43">
        <v>236</v>
      </c>
      <c r="AZ35" s="43">
        <v>295</v>
      </c>
      <c r="BA35" s="36">
        <f t="shared" si="42"/>
        <v>1014</v>
      </c>
      <c r="BB35" s="39" t="s">
        <v>126</v>
      </c>
      <c r="BC35" s="43" t="s">
        <v>126</v>
      </c>
      <c r="BD35" s="43" t="s">
        <v>126</v>
      </c>
      <c r="BE35" s="43" t="s">
        <v>126</v>
      </c>
      <c r="BF35" s="36" t="s">
        <v>126</v>
      </c>
      <c r="BG35" s="39" t="s">
        <v>126</v>
      </c>
      <c r="BH35" s="43" t="s">
        <v>126</v>
      </c>
      <c r="BI35" s="43" t="s">
        <v>126</v>
      </c>
      <c r="BJ35" s="43" t="s">
        <v>126</v>
      </c>
      <c r="BK35" s="36" t="s">
        <v>126</v>
      </c>
      <c r="BL35" s="39" t="s">
        <v>126</v>
      </c>
      <c r="BM35" s="43" t="s">
        <v>126</v>
      </c>
      <c r="BN35" s="43" t="s">
        <v>126</v>
      </c>
      <c r="BO35" s="43" t="s">
        <v>126</v>
      </c>
      <c r="BP35" s="36" t="s">
        <v>126</v>
      </c>
      <c r="BQ35" s="39" t="s">
        <v>126</v>
      </c>
      <c r="BR35" s="43" t="s">
        <v>126</v>
      </c>
      <c r="BS35" s="43" t="s">
        <v>126</v>
      </c>
      <c r="BT35" s="43" t="s">
        <v>126</v>
      </c>
      <c r="BU35" s="36" t="s">
        <v>126</v>
      </c>
      <c r="BV35" s="39" t="s">
        <v>126</v>
      </c>
      <c r="BW35" s="43" t="s">
        <v>126</v>
      </c>
      <c r="BX35" s="43" t="s">
        <v>126</v>
      </c>
      <c r="BY35" s="43" t="s">
        <v>126</v>
      </c>
      <c r="BZ35" s="36" t="s">
        <v>126</v>
      </c>
      <c r="CA35" s="39" t="s">
        <v>126</v>
      </c>
      <c r="CB35" s="43" t="s">
        <v>126</v>
      </c>
      <c r="CC35" s="43" t="s">
        <v>126</v>
      </c>
      <c r="CD35" s="43" t="s">
        <v>126</v>
      </c>
      <c r="CE35" s="36" t="s">
        <v>126</v>
      </c>
      <c r="CF35" s="39" t="s">
        <v>126</v>
      </c>
      <c r="CG35" s="43" t="s">
        <v>126</v>
      </c>
      <c r="CH35" s="43" t="s">
        <v>126</v>
      </c>
      <c r="CI35" s="43" t="s">
        <v>126</v>
      </c>
      <c r="CJ35" s="36" t="s">
        <v>126</v>
      </c>
      <c r="CK35" s="39" t="s">
        <v>126</v>
      </c>
      <c r="CL35" s="43" t="s">
        <v>126</v>
      </c>
      <c r="CM35" s="43" t="s">
        <v>126</v>
      </c>
      <c r="CN35" s="43" t="s">
        <v>126</v>
      </c>
      <c r="CO35" s="36" t="s">
        <v>126</v>
      </c>
      <c r="CP35" s="39" t="s">
        <v>126</v>
      </c>
      <c r="CQ35" s="43" t="s">
        <v>126</v>
      </c>
      <c r="CR35" s="43" t="s">
        <v>126</v>
      </c>
      <c r="CS35" s="43" t="s">
        <v>126</v>
      </c>
      <c r="CT35" s="36" t="s">
        <v>126</v>
      </c>
      <c r="CU35" s="39" t="s">
        <v>126</v>
      </c>
      <c r="CV35" s="43" t="s">
        <v>126</v>
      </c>
      <c r="CW35" s="43" t="s">
        <v>126</v>
      </c>
      <c r="CX35" s="43" t="s">
        <v>126</v>
      </c>
      <c r="CY35" s="36" t="s">
        <v>126</v>
      </c>
      <c r="CZ35" s="39" t="s">
        <v>126</v>
      </c>
      <c r="DA35" s="43" t="s">
        <v>126</v>
      </c>
      <c r="DB35" s="43" t="s">
        <v>126</v>
      </c>
      <c r="DC35" s="43" t="s">
        <v>126</v>
      </c>
      <c r="DD35" s="36" t="s">
        <v>126</v>
      </c>
      <c r="DE35" s="39" t="s">
        <v>126</v>
      </c>
      <c r="DF35" s="43" t="s">
        <v>126</v>
      </c>
      <c r="DG35" s="43" t="s">
        <v>126</v>
      </c>
      <c r="DH35" s="43" t="s">
        <v>126</v>
      </c>
      <c r="DI35" s="36" t="s">
        <v>126</v>
      </c>
    </row>
    <row r="36" spans="1:132" ht="12" hidden="1" customHeight="1" outlineLevel="1">
      <c r="A36" s="219"/>
      <c r="B36" s="74" t="s">
        <v>91</v>
      </c>
      <c r="C36" s="39" t="s">
        <v>1</v>
      </c>
      <c r="D36" s="40" t="s">
        <v>1</v>
      </c>
      <c r="E36" s="39" t="s">
        <v>1</v>
      </c>
      <c r="F36" s="40" t="s">
        <v>1</v>
      </c>
      <c r="G36" s="39" t="s">
        <v>1</v>
      </c>
      <c r="H36" s="40" t="s">
        <v>1</v>
      </c>
      <c r="I36" s="39" t="s">
        <v>1</v>
      </c>
      <c r="J36" s="40" t="s">
        <v>1</v>
      </c>
      <c r="K36" s="39" t="s">
        <v>1</v>
      </c>
      <c r="L36" s="40" t="s">
        <v>1</v>
      </c>
      <c r="M36" s="39" t="s">
        <v>1</v>
      </c>
      <c r="N36" s="40" t="s">
        <v>1</v>
      </c>
      <c r="O36" s="40" t="s">
        <v>1</v>
      </c>
      <c r="P36" s="43">
        <v>1702</v>
      </c>
      <c r="Q36" s="36">
        <v>2041.6000000000001</v>
      </c>
      <c r="R36" s="43">
        <v>591</v>
      </c>
      <c r="S36" s="43">
        <v>755</v>
      </c>
      <c r="T36" s="43">
        <v>643</v>
      </c>
      <c r="U36" s="43">
        <v>747</v>
      </c>
      <c r="V36" s="36">
        <f t="shared" si="36"/>
        <v>2736</v>
      </c>
      <c r="W36" s="43">
        <v>799</v>
      </c>
      <c r="X36" s="43">
        <v>948</v>
      </c>
      <c r="Y36" s="43">
        <v>793</v>
      </c>
      <c r="Z36" s="43">
        <v>870</v>
      </c>
      <c r="AA36" s="36">
        <f t="shared" si="37"/>
        <v>3410</v>
      </c>
      <c r="AB36" s="36"/>
      <c r="AC36" s="43">
        <v>897</v>
      </c>
      <c r="AD36" s="43">
        <v>1074</v>
      </c>
      <c r="AE36" s="43">
        <v>867</v>
      </c>
      <c r="AF36" s="43">
        <v>994</v>
      </c>
      <c r="AG36" s="36">
        <f t="shared" si="38"/>
        <v>3832</v>
      </c>
      <c r="AH36" s="43">
        <v>902</v>
      </c>
      <c r="AI36" s="369">
        <v>1030</v>
      </c>
      <c r="AJ36" s="43">
        <v>937</v>
      </c>
      <c r="AK36" s="43">
        <v>1080</v>
      </c>
      <c r="AL36" s="36">
        <f t="shared" si="39"/>
        <v>3949</v>
      </c>
      <c r="AM36" s="369">
        <v>934</v>
      </c>
      <c r="AN36" s="43">
        <v>1075</v>
      </c>
      <c r="AO36" s="43">
        <v>955</v>
      </c>
      <c r="AP36" s="43">
        <v>934</v>
      </c>
      <c r="AQ36" s="36">
        <f t="shared" si="40"/>
        <v>3898</v>
      </c>
      <c r="AR36" s="43">
        <v>966</v>
      </c>
      <c r="AS36" s="43">
        <v>984</v>
      </c>
      <c r="AT36" s="43">
        <v>879</v>
      </c>
      <c r="AU36" s="43">
        <v>872</v>
      </c>
      <c r="AV36" s="36">
        <f t="shared" si="41"/>
        <v>3701</v>
      </c>
      <c r="AW36" s="43">
        <v>945</v>
      </c>
      <c r="AX36" s="43">
        <v>1047</v>
      </c>
      <c r="AY36" s="43">
        <v>950</v>
      </c>
      <c r="AZ36" s="43">
        <v>1053</v>
      </c>
      <c r="BA36" s="36">
        <f t="shared" si="42"/>
        <v>3995</v>
      </c>
      <c r="BB36" s="39" t="s">
        <v>126</v>
      </c>
      <c r="BC36" s="43" t="s">
        <v>126</v>
      </c>
      <c r="BD36" s="43" t="s">
        <v>126</v>
      </c>
      <c r="BE36" s="43" t="s">
        <v>126</v>
      </c>
      <c r="BF36" s="36" t="s">
        <v>126</v>
      </c>
      <c r="BG36" s="39" t="s">
        <v>126</v>
      </c>
      <c r="BH36" s="43" t="s">
        <v>126</v>
      </c>
      <c r="BI36" s="43" t="s">
        <v>126</v>
      </c>
      <c r="BJ36" s="43" t="s">
        <v>126</v>
      </c>
      <c r="BK36" s="36" t="s">
        <v>126</v>
      </c>
      <c r="BL36" s="39" t="s">
        <v>126</v>
      </c>
      <c r="BM36" s="43" t="s">
        <v>126</v>
      </c>
      <c r="BN36" s="43" t="s">
        <v>126</v>
      </c>
      <c r="BO36" s="43" t="s">
        <v>126</v>
      </c>
      <c r="BP36" s="36" t="s">
        <v>126</v>
      </c>
      <c r="BQ36" s="39" t="s">
        <v>126</v>
      </c>
      <c r="BR36" s="43" t="s">
        <v>126</v>
      </c>
      <c r="BS36" s="43" t="s">
        <v>126</v>
      </c>
      <c r="BT36" s="43" t="s">
        <v>126</v>
      </c>
      <c r="BU36" s="36" t="s">
        <v>126</v>
      </c>
      <c r="BV36" s="39" t="s">
        <v>126</v>
      </c>
      <c r="BW36" s="43" t="s">
        <v>126</v>
      </c>
      <c r="BX36" s="43" t="s">
        <v>126</v>
      </c>
      <c r="BY36" s="43" t="s">
        <v>126</v>
      </c>
      <c r="BZ36" s="36" t="s">
        <v>126</v>
      </c>
      <c r="CA36" s="39" t="s">
        <v>126</v>
      </c>
      <c r="CB36" s="43" t="s">
        <v>126</v>
      </c>
      <c r="CC36" s="43" t="s">
        <v>126</v>
      </c>
      <c r="CD36" s="43" t="s">
        <v>126</v>
      </c>
      <c r="CE36" s="36" t="s">
        <v>126</v>
      </c>
      <c r="CF36" s="39" t="s">
        <v>126</v>
      </c>
      <c r="CG36" s="43" t="s">
        <v>126</v>
      </c>
      <c r="CH36" s="43" t="s">
        <v>126</v>
      </c>
      <c r="CI36" s="43" t="s">
        <v>126</v>
      </c>
      <c r="CJ36" s="36" t="s">
        <v>126</v>
      </c>
      <c r="CK36" s="39" t="s">
        <v>126</v>
      </c>
      <c r="CL36" s="43" t="s">
        <v>126</v>
      </c>
      <c r="CM36" s="43" t="s">
        <v>126</v>
      </c>
      <c r="CN36" s="43" t="s">
        <v>126</v>
      </c>
      <c r="CO36" s="36" t="s">
        <v>126</v>
      </c>
      <c r="CP36" s="39" t="s">
        <v>126</v>
      </c>
      <c r="CQ36" s="43" t="s">
        <v>126</v>
      </c>
      <c r="CR36" s="43" t="s">
        <v>126</v>
      </c>
      <c r="CS36" s="43" t="s">
        <v>126</v>
      </c>
      <c r="CT36" s="36" t="s">
        <v>126</v>
      </c>
      <c r="CU36" s="39" t="s">
        <v>126</v>
      </c>
      <c r="CV36" s="43" t="s">
        <v>126</v>
      </c>
      <c r="CW36" s="43" t="s">
        <v>126</v>
      </c>
      <c r="CX36" s="43" t="s">
        <v>126</v>
      </c>
      <c r="CY36" s="36" t="s">
        <v>126</v>
      </c>
      <c r="CZ36" s="39" t="s">
        <v>126</v>
      </c>
      <c r="DA36" s="43" t="s">
        <v>126</v>
      </c>
      <c r="DB36" s="43" t="s">
        <v>126</v>
      </c>
      <c r="DC36" s="43" t="s">
        <v>126</v>
      </c>
      <c r="DD36" s="36" t="s">
        <v>126</v>
      </c>
      <c r="DE36" s="39" t="s">
        <v>126</v>
      </c>
      <c r="DF36" s="43" t="s">
        <v>126</v>
      </c>
      <c r="DG36" s="43" t="s">
        <v>126</v>
      </c>
      <c r="DH36" s="43" t="s">
        <v>126</v>
      </c>
      <c r="DI36" s="36" t="s">
        <v>126</v>
      </c>
      <c r="DY36" s="180"/>
    </row>
    <row r="37" spans="1:132" ht="12" hidden="1" customHeight="1" outlineLevel="1">
      <c r="A37" s="219"/>
      <c r="B37" s="74" t="s">
        <v>92</v>
      </c>
      <c r="C37" s="39" t="s">
        <v>1</v>
      </c>
      <c r="D37" s="40" t="s">
        <v>1</v>
      </c>
      <c r="E37" s="39" t="s">
        <v>1</v>
      </c>
      <c r="F37" s="40" t="s">
        <v>1</v>
      </c>
      <c r="G37" s="39" t="s">
        <v>1</v>
      </c>
      <c r="H37" s="40" t="s">
        <v>1</v>
      </c>
      <c r="I37" s="39" t="s">
        <v>1</v>
      </c>
      <c r="J37" s="40" t="s">
        <v>1</v>
      </c>
      <c r="K37" s="39" t="s">
        <v>1</v>
      </c>
      <c r="L37" s="40" t="s">
        <v>1</v>
      </c>
      <c r="M37" s="39" t="s">
        <v>1</v>
      </c>
      <c r="N37" s="40" t="s">
        <v>1</v>
      </c>
      <c r="O37" s="40" t="s">
        <v>1</v>
      </c>
      <c r="P37" s="43">
        <v>95.300000000000011</v>
      </c>
      <c r="Q37" s="36">
        <v>105.3</v>
      </c>
      <c r="R37" s="43">
        <v>31</v>
      </c>
      <c r="S37" s="43">
        <v>24</v>
      </c>
      <c r="T37" s="43">
        <v>22</v>
      </c>
      <c r="U37" s="43">
        <v>29</v>
      </c>
      <c r="V37" s="36">
        <f t="shared" si="36"/>
        <v>106</v>
      </c>
      <c r="W37" s="43">
        <v>33</v>
      </c>
      <c r="X37" s="43">
        <v>25</v>
      </c>
      <c r="Y37" s="43">
        <v>27</v>
      </c>
      <c r="Z37" s="43">
        <v>26</v>
      </c>
      <c r="AA37" s="36">
        <f t="shared" si="37"/>
        <v>111</v>
      </c>
      <c r="AB37" s="36"/>
      <c r="AC37" s="43">
        <v>27</v>
      </c>
      <c r="AD37" s="43">
        <v>28</v>
      </c>
      <c r="AE37" s="43">
        <v>29</v>
      </c>
      <c r="AF37" s="43">
        <v>31</v>
      </c>
      <c r="AG37" s="36">
        <f t="shared" si="38"/>
        <v>115</v>
      </c>
      <c r="AH37" s="43">
        <v>32</v>
      </c>
      <c r="AI37" s="369">
        <v>31</v>
      </c>
      <c r="AJ37" s="43">
        <v>26</v>
      </c>
      <c r="AK37" s="43">
        <v>36</v>
      </c>
      <c r="AL37" s="36">
        <f t="shared" si="39"/>
        <v>125</v>
      </c>
      <c r="AM37" s="369">
        <v>29</v>
      </c>
      <c r="AN37" s="43">
        <v>27</v>
      </c>
      <c r="AO37" s="43">
        <v>29</v>
      </c>
      <c r="AP37" s="43">
        <v>30</v>
      </c>
      <c r="AQ37" s="36">
        <f t="shared" si="40"/>
        <v>115</v>
      </c>
      <c r="AR37" s="43">
        <v>26</v>
      </c>
      <c r="AS37" s="43">
        <v>18</v>
      </c>
      <c r="AT37" s="43">
        <v>17</v>
      </c>
      <c r="AU37" s="43">
        <v>12</v>
      </c>
      <c r="AV37" s="36">
        <f t="shared" si="41"/>
        <v>73</v>
      </c>
      <c r="AW37" s="43">
        <v>15</v>
      </c>
      <c r="AX37" s="43">
        <v>21</v>
      </c>
      <c r="AY37" s="43">
        <v>19</v>
      </c>
      <c r="AZ37" s="43">
        <v>18</v>
      </c>
      <c r="BA37" s="36">
        <f t="shared" si="42"/>
        <v>73</v>
      </c>
      <c r="BB37" s="39" t="s">
        <v>126</v>
      </c>
      <c r="BC37" s="43" t="s">
        <v>126</v>
      </c>
      <c r="BD37" s="43" t="s">
        <v>126</v>
      </c>
      <c r="BE37" s="43" t="s">
        <v>126</v>
      </c>
      <c r="BF37" s="36" t="s">
        <v>126</v>
      </c>
      <c r="BG37" s="39" t="s">
        <v>126</v>
      </c>
      <c r="BH37" s="43" t="s">
        <v>126</v>
      </c>
      <c r="BI37" s="43" t="s">
        <v>126</v>
      </c>
      <c r="BJ37" s="43" t="s">
        <v>126</v>
      </c>
      <c r="BK37" s="36" t="s">
        <v>126</v>
      </c>
      <c r="BL37" s="39" t="s">
        <v>126</v>
      </c>
      <c r="BM37" s="43" t="s">
        <v>126</v>
      </c>
      <c r="BN37" s="43" t="s">
        <v>126</v>
      </c>
      <c r="BO37" s="43" t="s">
        <v>126</v>
      </c>
      <c r="BP37" s="36" t="s">
        <v>126</v>
      </c>
      <c r="BQ37" s="39" t="s">
        <v>126</v>
      </c>
      <c r="BR37" s="43" t="s">
        <v>126</v>
      </c>
      <c r="BS37" s="43" t="s">
        <v>126</v>
      </c>
      <c r="BT37" s="43" t="s">
        <v>126</v>
      </c>
      <c r="BU37" s="36" t="s">
        <v>126</v>
      </c>
      <c r="BV37" s="39" t="s">
        <v>126</v>
      </c>
      <c r="BW37" s="43" t="s">
        <v>126</v>
      </c>
      <c r="BX37" s="43" t="s">
        <v>126</v>
      </c>
      <c r="BY37" s="43" t="s">
        <v>126</v>
      </c>
      <c r="BZ37" s="36" t="s">
        <v>126</v>
      </c>
      <c r="CA37" s="39" t="s">
        <v>126</v>
      </c>
      <c r="CB37" s="43" t="s">
        <v>126</v>
      </c>
      <c r="CC37" s="43" t="s">
        <v>126</v>
      </c>
      <c r="CD37" s="43" t="s">
        <v>126</v>
      </c>
      <c r="CE37" s="36" t="s">
        <v>126</v>
      </c>
      <c r="CF37" s="39" t="s">
        <v>126</v>
      </c>
      <c r="CG37" s="43" t="s">
        <v>126</v>
      </c>
      <c r="CH37" s="43" t="s">
        <v>126</v>
      </c>
      <c r="CI37" s="43" t="s">
        <v>126</v>
      </c>
      <c r="CJ37" s="36" t="s">
        <v>126</v>
      </c>
      <c r="CK37" s="39" t="s">
        <v>126</v>
      </c>
      <c r="CL37" s="43" t="s">
        <v>126</v>
      </c>
      <c r="CM37" s="43" t="s">
        <v>126</v>
      </c>
      <c r="CN37" s="43" t="s">
        <v>126</v>
      </c>
      <c r="CO37" s="36" t="s">
        <v>126</v>
      </c>
      <c r="CP37" s="39" t="s">
        <v>126</v>
      </c>
      <c r="CQ37" s="43" t="s">
        <v>126</v>
      </c>
      <c r="CR37" s="43" t="s">
        <v>126</v>
      </c>
      <c r="CS37" s="43" t="s">
        <v>126</v>
      </c>
      <c r="CT37" s="36" t="s">
        <v>126</v>
      </c>
      <c r="CU37" s="39" t="s">
        <v>126</v>
      </c>
      <c r="CV37" s="43" t="s">
        <v>126</v>
      </c>
      <c r="CW37" s="43" t="s">
        <v>126</v>
      </c>
      <c r="CX37" s="43" t="s">
        <v>126</v>
      </c>
      <c r="CY37" s="36" t="s">
        <v>126</v>
      </c>
      <c r="CZ37" s="39" t="s">
        <v>126</v>
      </c>
      <c r="DA37" s="43" t="s">
        <v>126</v>
      </c>
      <c r="DB37" s="43" t="s">
        <v>126</v>
      </c>
      <c r="DC37" s="43" t="s">
        <v>126</v>
      </c>
      <c r="DD37" s="36" t="s">
        <v>126</v>
      </c>
      <c r="DE37" s="39" t="s">
        <v>126</v>
      </c>
      <c r="DF37" s="43" t="s">
        <v>126</v>
      </c>
      <c r="DG37" s="43" t="s">
        <v>126</v>
      </c>
      <c r="DH37" s="43" t="s">
        <v>126</v>
      </c>
      <c r="DI37" s="36" t="s">
        <v>126</v>
      </c>
    </row>
    <row r="38" spans="1:132" s="4" customFormat="1" ht="12" hidden="1" customHeight="1" outlineLevel="1">
      <c r="A38" s="219"/>
      <c r="B38" s="75" t="s">
        <v>105</v>
      </c>
      <c r="C38" s="360" t="s">
        <v>1</v>
      </c>
      <c r="D38" s="361" t="s">
        <v>1</v>
      </c>
      <c r="E38" s="360" t="s">
        <v>1</v>
      </c>
      <c r="F38" s="361" t="s">
        <v>1</v>
      </c>
      <c r="G38" s="360" t="s">
        <v>1</v>
      </c>
      <c r="H38" s="361" t="s">
        <v>1</v>
      </c>
      <c r="I38" s="360" t="s">
        <v>1</v>
      </c>
      <c r="J38" s="361" t="s">
        <v>1</v>
      </c>
      <c r="K38" s="360" t="s">
        <v>1</v>
      </c>
      <c r="L38" s="361" t="s">
        <v>1</v>
      </c>
      <c r="M38" s="360" t="s">
        <v>1</v>
      </c>
      <c r="N38" s="361" t="s">
        <v>1</v>
      </c>
      <c r="O38" s="361" t="s">
        <v>1</v>
      </c>
      <c r="P38" s="371">
        <f t="shared" ref="P38:U38" si="43">SUM(P31:P37)</f>
        <v>16757.099999999995</v>
      </c>
      <c r="Q38" s="372">
        <f t="shared" si="43"/>
        <v>16508.599999999999</v>
      </c>
      <c r="R38" s="363">
        <f t="shared" si="43"/>
        <v>4483</v>
      </c>
      <c r="S38" s="363">
        <f t="shared" si="43"/>
        <v>4231</v>
      </c>
      <c r="T38" s="363">
        <f t="shared" si="43"/>
        <v>4425</v>
      </c>
      <c r="U38" s="363">
        <f t="shared" si="43"/>
        <v>5006</v>
      </c>
      <c r="V38" s="364">
        <f t="shared" si="36"/>
        <v>18145</v>
      </c>
      <c r="W38" s="363">
        <f>SUM(W31:W37)</f>
        <v>5313</v>
      </c>
      <c r="X38" s="363">
        <f>SUM(X31:X37)</f>
        <v>5062</v>
      </c>
      <c r="Y38" s="363">
        <f>SUM(Y31:Y37)</f>
        <v>5101</v>
      </c>
      <c r="Z38" s="363">
        <f>SUM(Z31:Z37)</f>
        <v>5596</v>
      </c>
      <c r="AA38" s="364">
        <f t="shared" si="37"/>
        <v>21072</v>
      </c>
      <c r="AB38" s="364"/>
      <c r="AC38" s="363">
        <f>SUM(AC31:AC37)</f>
        <v>6067</v>
      </c>
      <c r="AD38" s="363">
        <f>SUM(AD31:AD37)</f>
        <v>5648</v>
      </c>
      <c r="AE38" s="363">
        <f>SUM(AE31:AE37)</f>
        <v>5829</v>
      </c>
      <c r="AF38" s="363">
        <f>SUM(AF31:AF37)</f>
        <v>6337</v>
      </c>
      <c r="AG38" s="364">
        <f t="shared" si="38"/>
        <v>23881</v>
      </c>
      <c r="AH38" s="363">
        <f>SUM(AH31:AH37)</f>
        <v>6468</v>
      </c>
      <c r="AI38" s="371">
        <f>SUM(AI31:AI37)</f>
        <v>6070</v>
      </c>
      <c r="AJ38" s="363">
        <f>SUM(AJ31:AJ37)</f>
        <v>6554</v>
      </c>
      <c r="AK38" s="363">
        <f>SUM(AK31:AK37)</f>
        <v>7020</v>
      </c>
      <c r="AL38" s="364">
        <f t="shared" si="39"/>
        <v>26112</v>
      </c>
      <c r="AM38" s="371">
        <f>SUM(AM31:AM37)</f>
        <v>7421</v>
      </c>
      <c r="AN38" s="363">
        <f>SUM(AN31:AN37)</f>
        <v>6959</v>
      </c>
      <c r="AO38" s="363">
        <f>SUM(AO31:AO37)</f>
        <v>6939</v>
      </c>
      <c r="AP38" s="363">
        <f>SUM(AP31:AP37)</f>
        <v>7382</v>
      </c>
      <c r="AQ38" s="364">
        <f t="shared" si="40"/>
        <v>28701</v>
      </c>
      <c r="AR38" s="363">
        <f>SUM(AR31:AR37)</f>
        <v>7898</v>
      </c>
      <c r="AS38" s="363">
        <f>SUM(AS31:AS37)</f>
        <v>7317</v>
      </c>
      <c r="AT38" s="363">
        <f>SUM(AT31:AT37)</f>
        <v>7567</v>
      </c>
      <c r="AU38" s="363">
        <f>SUM(AU31:AU37)</f>
        <v>7725</v>
      </c>
      <c r="AV38" s="364">
        <f t="shared" si="41"/>
        <v>30507</v>
      </c>
      <c r="AW38" s="363">
        <f>SUM(AW31:AW37)</f>
        <v>8459</v>
      </c>
      <c r="AX38" s="363">
        <f>SUM(AX31:AX37)</f>
        <v>7724</v>
      </c>
      <c r="AY38" s="363">
        <f>SUM(AY31:AY37)</f>
        <v>7923</v>
      </c>
      <c r="AZ38" s="363">
        <f>SUM(AZ31:AZ37)</f>
        <v>8127</v>
      </c>
      <c r="BA38" s="364">
        <f t="shared" si="42"/>
        <v>32233</v>
      </c>
      <c r="BB38" s="360" t="s">
        <v>126</v>
      </c>
      <c r="BC38" s="363" t="s">
        <v>126</v>
      </c>
      <c r="BD38" s="363" t="s">
        <v>126</v>
      </c>
      <c r="BE38" s="363" t="s">
        <v>126</v>
      </c>
      <c r="BF38" s="364" t="s">
        <v>126</v>
      </c>
      <c r="BG38" s="360" t="s">
        <v>126</v>
      </c>
      <c r="BH38" s="363" t="s">
        <v>126</v>
      </c>
      <c r="BI38" s="363" t="s">
        <v>126</v>
      </c>
      <c r="BJ38" s="363" t="s">
        <v>126</v>
      </c>
      <c r="BK38" s="364" t="s">
        <v>126</v>
      </c>
      <c r="BL38" s="360" t="s">
        <v>126</v>
      </c>
      <c r="BM38" s="363" t="s">
        <v>126</v>
      </c>
      <c r="BN38" s="363" t="s">
        <v>126</v>
      </c>
      <c r="BO38" s="363" t="s">
        <v>126</v>
      </c>
      <c r="BP38" s="364" t="s">
        <v>126</v>
      </c>
      <c r="BQ38" s="360" t="s">
        <v>126</v>
      </c>
      <c r="BR38" s="363" t="s">
        <v>126</v>
      </c>
      <c r="BS38" s="363" t="s">
        <v>126</v>
      </c>
      <c r="BT38" s="363" t="s">
        <v>126</v>
      </c>
      <c r="BU38" s="364" t="s">
        <v>126</v>
      </c>
      <c r="BV38" s="360" t="s">
        <v>126</v>
      </c>
      <c r="BW38" s="363" t="s">
        <v>126</v>
      </c>
      <c r="BX38" s="363" t="s">
        <v>126</v>
      </c>
      <c r="BY38" s="363" t="s">
        <v>126</v>
      </c>
      <c r="BZ38" s="364" t="s">
        <v>126</v>
      </c>
      <c r="CA38" s="360" t="s">
        <v>126</v>
      </c>
      <c r="CB38" s="363" t="s">
        <v>126</v>
      </c>
      <c r="CC38" s="363" t="s">
        <v>126</v>
      </c>
      <c r="CD38" s="363" t="s">
        <v>126</v>
      </c>
      <c r="CE38" s="364" t="s">
        <v>126</v>
      </c>
      <c r="CF38" s="360" t="s">
        <v>126</v>
      </c>
      <c r="CG38" s="363" t="s">
        <v>126</v>
      </c>
      <c r="CH38" s="363" t="s">
        <v>126</v>
      </c>
      <c r="CI38" s="363" t="s">
        <v>126</v>
      </c>
      <c r="CJ38" s="364" t="s">
        <v>126</v>
      </c>
      <c r="CK38" s="360" t="s">
        <v>126</v>
      </c>
      <c r="CL38" s="363" t="s">
        <v>126</v>
      </c>
      <c r="CM38" s="363" t="s">
        <v>126</v>
      </c>
      <c r="CN38" s="363" t="s">
        <v>126</v>
      </c>
      <c r="CO38" s="364" t="s">
        <v>126</v>
      </c>
      <c r="CP38" s="360" t="s">
        <v>126</v>
      </c>
      <c r="CQ38" s="363" t="s">
        <v>126</v>
      </c>
      <c r="CR38" s="363" t="s">
        <v>126</v>
      </c>
      <c r="CS38" s="363" t="s">
        <v>126</v>
      </c>
      <c r="CT38" s="364" t="s">
        <v>126</v>
      </c>
      <c r="CU38" s="360" t="s">
        <v>126</v>
      </c>
      <c r="CV38" s="363" t="s">
        <v>126</v>
      </c>
      <c r="CW38" s="363" t="s">
        <v>126</v>
      </c>
      <c r="CX38" s="363" t="s">
        <v>126</v>
      </c>
      <c r="CY38" s="364" t="s">
        <v>126</v>
      </c>
      <c r="CZ38" s="360" t="s">
        <v>126</v>
      </c>
      <c r="DA38" s="363" t="s">
        <v>126</v>
      </c>
      <c r="DB38" s="363" t="s">
        <v>126</v>
      </c>
      <c r="DC38" s="363" t="s">
        <v>126</v>
      </c>
      <c r="DD38" s="364" t="s">
        <v>126</v>
      </c>
      <c r="DE38" s="360" t="s">
        <v>126</v>
      </c>
      <c r="DF38" s="363" t="s">
        <v>126</v>
      </c>
      <c r="DG38" s="363" t="s">
        <v>126</v>
      </c>
      <c r="DH38" s="363" t="s">
        <v>126</v>
      </c>
      <c r="DI38" s="364" t="s">
        <v>126</v>
      </c>
    </row>
    <row r="39" spans="1:132" ht="12" hidden="1" customHeight="1" outlineLevel="1">
      <c r="A39" s="219"/>
      <c r="B39" s="74" t="s">
        <v>93</v>
      </c>
      <c r="C39" s="39" t="s">
        <v>1</v>
      </c>
      <c r="D39" s="40" t="s">
        <v>1</v>
      </c>
      <c r="E39" s="39" t="s">
        <v>1</v>
      </c>
      <c r="F39" s="40" t="s">
        <v>1</v>
      </c>
      <c r="G39" s="39" t="s">
        <v>1</v>
      </c>
      <c r="H39" s="40" t="s">
        <v>1</v>
      </c>
      <c r="I39" s="39" t="s">
        <v>1</v>
      </c>
      <c r="J39" s="40" t="s">
        <v>1</v>
      </c>
      <c r="K39" s="39" t="s">
        <v>1</v>
      </c>
      <c r="L39" s="40" t="s">
        <v>1</v>
      </c>
      <c r="M39" s="39" t="s">
        <v>1</v>
      </c>
      <c r="N39" s="40" t="s">
        <v>1</v>
      </c>
      <c r="O39" s="40" t="s">
        <v>1</v>
      </c>
      <c r="P39" s="43">
        <v>2419</v>
      </c>
      <c r="Q39" s="36">
        <v>2529.5</v>
      </c>
      <c r="R39" s="43">
        <v>694</v>
      </c>
      <c r="S39" s="43">
        <v>639</v>
      </c>
      <c r="T39" s="43">
        <v>680</v>
      </c>
      <c r="U39" s="43">
        <v>773</v>
      </c>
      <c r="V39" s="36">
        <f t="shared" si="36"/>
        <v>2786</v>
      </c>
      <c r="W39" s="43">
        <f>585+188</f>
        <v>773</v>
      </c>
      <c r="X39" s="43">
        <v>673</v>
      </c>
      <c r="Y39" s="43">
        <v>753</v>
      </c>
      <c r="Z39" s="43">
        <v>896</v>
      </c>
      <c r="AA39" s="36">
        <f t="shared" si="37"/>
        <v>3095</v>
      </c>
      <c r="AB39" s="36"/>
      <c r="AC39" s="43">
        <v>418</v>
      </c>
      <c r="AD39" s="43">
        <v>316</v>
      </c>
      <c r="AE39" s="43">
        <v>361</v>
      </c>
      <c r="AF39" s="43">
        <v>354</v>
      </c>
      <c r="AG39" s="36">
        <f t="shared" si="38"/>
        <v>1449</v>
      </c>
      <c r="AH39" s="43">
        <v>494</v>
      </c>
      <c r="AI39" s="369">
        <v>360</v>
      </c>
      <c r="AJ39" s="43">
        <v>420</v>
      </c>
      <c r="AK39" s="43">
        <v>410</v>
      </c>
      <c r="AL39" s="36">
        <f t="shared" si="39"/>
        <v>1684</v>
      </c>
      <c r="AM39" s="369">
        <v>575</v>
      </c>
      <c r="AN39" s="43">
        <v>434</v>
      </c>
      <c r="AO39" s="43">
        <v>538</v>
      </c>
      <c r="AP39" s="43">
        <v>435</v>
      </c>
      <c r="AQ39" s="36">
        <f t="shared" si="40"/>
        <v>1982</v>
      </c>
      <c r="AR39" s="43">
        <v>555</v>
      </c>
      <c r="AS39" s="43">
        <v>398</v>
      </c>
      <c r="AT39" s="43">
        <v>489</v>
      </c>
      <c r="AU39" s="43">
        <v>513</v>
      </c>
      <c r="AV39" s="36">
        <f t="shared" si="41"/>
        <v>1955</v>
      </c>
      <c r="AW39" s="43">
        <v>574</v>
      </c>
      <c r="AX39" s="43">
        <v>416</v>
      </c>
      <c r="AY39" s="43">
        <v>498</v>
      </c>
      <c r="AZ39" s="43">
        <v>554</v>
      </c>
      <c r="BA39" s="36">
        <f t="shared" si="42"/>
        <v>2042</v>
      </c>
      <c r="BB39" s="39" t="s">
        <v>126</v>
      </c>
      <c r="BC39" s="43" t="s">
        <v>126</v>
      </c>
      <c r="BD39" s="43" t="s">
        <v>126</v>
      </c>
      <c r="BE39" s="43" t="s">
        <v>126</v>
      </c>
      <c r="BF39" s="36" t="s">
        <v>126</v>
      </c>
      <c r="BG39" s="39" t="s">
        <v>126</v>
      </c>
      <c r="BH39" s="43" t="s">
        <v>126</v>
      </c>
      <c r="BI39" s="43" t="s">
        <v>126</v>
      </c>
      <c r="BJ39" s="43" t="s">
        <v>126</v>
      </c>
      <c r="BK39" s="36" t="s">
        <v>126</v>
      </c>
      <c r="BL39" s="39" t="s">
        <v>126</v>
      </c>
      <c r="BM39" s="43" t="s">
        <v>126</v>
      </c>
      <c r="BN39" s="43" t="s">
        <v>126</v>
      </c>
      <c r="BO39" s="43" t="s">
        <v>126</v>
      </c>
      <c r="BP39" s="36" t="s">
        <v>126</v>
      </c>
      <c r="BQ39" s="39" t="s">
        <v>126</v>
      </c>
      <c r="BR39" s="43" t="s">
        <v>126</v>
      </c>
      <c r="BS39" s="43" t="s">
        <v>126</v>
      </c>
      <c r="BT39" s="43" t="s">
        <v>126</v>
      </c>
      <c r="BU39" s="36" t="s">
        <v>126</v>
      </c>
      <c r="BV39" s="39" t="s">
        <v>126</v>
      </c>
      <c r="BW39" s="43" t="s">
        <v>126</v>
      </c>
      <c r="BX39" s="43" t="s">
        <v>126</v>
      </c>
      <c r="BY39" s="43" t="s">
        <v>126</v>
      </c>
      <c r="BZ39" s="36" t="s">
        <v>126</v>
      </c>
      <c r="CA39" s="39" t="s">
        <v>126</v>
      </c>
      <c r="CB39" s="43" t="s">
        <v>126</v>
      </c>
      <c r="CC39" s="43" t="s">
        <v>126</v>
      </c>
      <c r="CD39" s="43" t="s">
        <v>126</v>
      </c>
      <c r="CE39" s="36" t="s">
        <v>126</v>
      </c>
      <c r="CF39" s="39" t="s">
        <v>126</v>
      </c>
      <c r="CG39" s="43" t="s">
        <v>126</v>
      </c>
      <c r="CH39" s="43" t="s">
        <v>126</v>
      </c>
      <c r="CI39" s="43" t="s">
        <v>126</v>
      </c>
      <c r="CJ39" s="36" t="s">
        <v>126</v>
      </c>
      <c r="CK39" s="39" t="s">
        <v>126</v>
      </c>
      <c r="CL39" s="43" t="s">
        <v>126</v>
      </c>
      <c r="CM39" s="43" t="s">
        <v>126</v>
      </c>
      <c r="CN39" s="43" t="s">
        <v>126</v>
      </c>
      <c r="CO39" s="36" t="s">
        <v>126</v>
      </c>
      <c r="CP39" s="39" t="s">
        <v>126</v>
      </c>
      <c r="CQ39" s="43" t="s">
        <v>126</v>
      </c>
      <c r="CR39" s="43" t="s">
        <v>126</v>
      </c>
      <c r="CS39" s="43" t="s">
        <v>126</v>
      </c>
      <c r="CT39" s="36" t="s">
        <v>126</v>
      </c>
      <c r="CU39" s="39" t="s">
        <v>126</v>
      </c>
      <c r="CV39" s="43" t="s">
        <v>126</v>
      </c>
      <c r="CW39" s="43" t="s">
        <v>126</v>
      </c>
      <c r="CX39" s="43" t="s">
        <v>126</v>
      </c>
      <c r="CY39" s="36" t="s">
        <v>126</v>
      </c>
      <c r="CZ39" s="39" t="s">
        <v>126</v>
      </c>
      <c r="DA39" s="43" t="s">
        <v>126</v>
      </c>
      <c r="DB39" s="43" t="s">
        <v>126</v>
      </c>
      <c r="DC39" s="43" t="s">
        <v>126</v>
      </c>
      <c r="DD39" s="36" t="s">
        <v>126</v>
      </c>
      <c r="DE39" s="39" t="s">
        <v>126</v>
      </c>
      <c r="DF39" s="43" t="s">
        <v>126</v>
      </c>
      <c r="DG39" s="43" t="s">
        <v>126</v>
      </c>
      <c r="DH39" s="43" t="s">
        <v>126</v>
      </c>
      <c r="DI39" s="36" t="s">
        <v>126</v>
      </c>
    </row>
    <row r="40" spans="1:132" ht="12" hidden="1" customHeight="1" outlineLevel="1">
      <c r="A40" s="219"/>
      <c r="B40" s="74" t="s">
        <v>94</v>
      </c>
      <c r="C40" s="39" t="s">
        <v>1</v>
      </c>
      <c r="D40" s="40" t="s">
        <v>1</v>
      </c>
      <c r="E40" s="39" t="s">
        <v>1</v>
      </c>
      <c r="F40" s="40" t="s">
        <v>1</v>
      </c>
      <c r="G40" s="39" t="s">
        <v>1</v>
      </c>
      <c r="H40" s="40" t="s">
        <v>1</v>
      </c>
      <c r="I40" s="39" t="s">
        <v>1</v>
      </c>
      <c r="J40" s="40" t="s">
        <v>1</v>
      </c>
      <c r="K40" s="39" t="s">
        <v>1</v>
      </c>
      <c r="L40" s="40" t="s">
        <v>1</v>
      </c>
      <c r="M40" s="39" t="s">
        <v>1</v>
      </c>
      <c r="N40" s="40" t="s">
        <v>1</v>
      </c>
      <c r="O40" s="40" t="s">
        <v>1</v>
      </c>
      <c r="P40" s="43">
        <v>0</v>
      </c>
      <c r="Q40" s="36">
        <v>-24.1</v>
      </c>
      <c r="R40" s="43">
        <v>-2</v>
      </c>
      <c r="S40" s="43">
        <v>-28</v>
      </c>
      <c r="T40" s="43">
        <v>-26</v>
      </c>
      <c r="U40" s="43">
        <v>-13</v>
      </c>
      <c r="V40" s="36">
        <f t="shared" si="36"/>
        <v>-69</v>
      </c>
      <c r="W40" s="43">
        <v>-5</v>
      </c>
      <c r="X40" s="43">
        <v>-4</v>
      </c>
      <c r="Y40" s="43">
        <v>-8</v>
      </c>
      <c r="Z40" s="43">
        <v>-22</v>
      </c>
      <c r="AA40" s="36">
        <f t="shared" si="37"/>
        <v>-39</v>
      </c>
      <c r="AB40" s="36"/>
      <c r="AC40" s="43">
        <v>-11</v>
      </c>
      <c r="AD40" s="43">
        <v>-9</v>
      </c>
      <c r="AE40" s="43">
        <v>-3</v>
      </c>
      <c r="AF40" s="43">
        <v>6</v>
      </c>
      <c r="AG40" s="36">
        <f t="shared" si="38"/>
        <v>-17</v>
      </c>
      <c r="AH40" s="43">
        <v>9</v>
      </c>
      <c r="AI40" s="369">
        <v>1</v>
      </c>
      <c r="AJ40" s="43">
        <v>-2</v>
      </c>
      <c r="AK40" s="43">
        <v>-5</v>
      </c>
      <c r="AL40" s="36">
        <f t="shared" si="39"/>
        <v>3</v>
      </c>
      <c r="AM40" s="369">
        <v>-14</v>
      </c>
      <c r="AN40" s="43">
        <v>-13</v>
      </c>
      <c r="AO40" s="43">
        <v>-17</v>
      </c>
      <c r="AP40" s="43">
        <v>-38</v>
      </c>
      <c r="AQ40" s="36">
        <f t="shared" si="40"/>
        <v>-82</v>
      </c>
      <c r="AR40" s="43">
        <v>-39</v>
      </c>
      <c r="AS40" s="43">
        <v>-29</v>
      </c>
      <c r="AT40" s="43">
        <v>-24</v>
      </c>
      <c r="AU40" s="43">
        <v>6</v>
      </c>
      <c r="AV40" s="36">
        <f t="shared" si="41"/>
        <v>-86</v>
      </c>
      <c r="AW40" s="43">
        <v>28</v>
      </c>
      <c r="AX40" s="43">
        <v>40</v>
      </c>
      <c r="AY40" s="43">
        <v>11</v>
      </c>
      <c r="AZ40" s="43">
        <v>-4</v>
      </c>
      <c r="BA40" s="36">
        <f t="shared" si="42"/>
        <v>75</v>
      </c>
      <c r="BB40" s="39" t="s">
        <v>126</v>
      </c>
      <c r="BC40" s="43" t="s">
        <v>126</v>
      </c>
      <c r="BD40" s="43" t="s">
        <v>126</v>
      </c>
      <c r="BE40" s="43" t="s">
        <v>126</v>
      </c>
      <c r="BF40" s="36" t="s">
        <v>126</v>
      </c>
      <c r="BG40" s="39" t="s">
        <v>126</v>
      </c>
      <c r="BH40" s="43" t="s">
        <v>126</v>
      </c>
      <c r="BI40" s="43" t="s">
        <v>126</v>
      </c>
      <c r="BJ40" s="43" t="s">
        <v>126</v>
      </c>
      <c r="BK40" s="36" t="s">
        <v>126</v>
      </c>
      <c r="BL40" s="39" t="s">
        <v>126</v>
      </c>
      <c r="BM40" s="43" t="s">
        <v>126</v>
      </c>
      <c r="BN40" s="43" t="s">
        <v>126</v>
      </c>
      <c r="BO40" s="43" t="s">
        <v>126</v>
      </c>
      <c r="BP40" s="36" t="s">
        <v>126</v>
      </c>
      <c r="BQ40" s="39" t="s">
        <v>126</v>
      </c>
      <c r="BR40" s="43" t="s">
        <v>126</v>
      </c>
      <c r="BS40" s="43" t="s">
        <v>126</v>
      </c>
      <c r="BT40" s="43" t="s">
        <v>126</v>
      </c>
      <c r="BU40" s="36" t="s">
        <v>126</v>
      </c>
      <c r="BV40" s="39" t="s">
        <v>126</v>
      </c>
      <c r="BW40" s="43" t="s">
        <v>126</v>
      </c>
      <c r="BX40" s="43" t="s">
        <v>126</v>
      </c>
      <c r="BY40" s="43" t="s">
        <v>126</v>
      </c>
      <c r="BZ40" s="36" t="s">
        <v>126</v>
      </c>
      <c r="CA40" s="39" t="s">
        <v>126</v>
      </c>
      <c r="CB40" s="43" t="s">
        <v>126</v>
      </c>
      <c r="CC40" s="43" t="s">
        <v>126</v>
      </c>
      <c r="CD40" s="43" t="s">
        <v>126</v>
      </c>
      <c r="CE40" s="36" t="s">
        <v>126</v>
      </c>
      <c r="CF40" s="39" t="s">
        <v>126</v>
      </c>
      <c r="CG40" s="43" t="s">
        <v>126</v>
      </c>
      <c r="CH40" s="43" t="s">
        <v>126</v>
      </c>
      <c r="CI40" s="43" t="s">
        <v>126</v>
      </c>
      <c r="CJ40" s="36" t="s">
        <v>126</v>
      </c>
      <c r="CK40" s="39" t="s">
        <v>126</v>
      </c>
      <c r="CL40" s="43" t="s">
        <v>126</v>
      </c>
      <c r="CM40" s="43" t="s">
        <v>126</v>
      </c>
      <c r="CN40" s="43" t="s">
        <v>126</v>
      </c>
      <c r="CO40" s="36" t="s">
        <v>126</v>
      </c>
      <c r="CP40" s="39" t="s">
        <v>126</v>
      </c>
      <c r="CQ40" s="43" t="s">
        <v>126</v>
      </c>
      <c r="CR40" s="43" t="s">
        <v>126</v>
      </c>
      <c r="CS40" s="43" t="s">
        <v>126</v>
      </c>
      <c r="CT40" s="36" t="s">
        <v>126</v>
      </c>
      <c r="CU40" s="39" t="s">
        <v>126</v>
      </c>
      <c r="CV40" s="43" t="s">
        <v>126</v>
      </c>
      <c r="CW40" s="43" t="s">
        <v>126</v>
      </c>
      <c r="CX40" s="43" t="s">
        <v>126</v>
      </c>
      <c r="CY40" s="36" t="s">
        <v>126</v>
      </c>
      <c r="CZ40" s="39" t="s">
        <v>126</v>
      </c>
      <c r="DA40" s="43" t="s">
        <v>126</v>
      </c>
      <c r="DB40" s="43" t="s">
        <v>126</v>
      </c>
      <c r="DC40" s="43" t="s">
        <v>126</v>
      </c>
      <c r="DD40" s="36" t="s">
        <v>126</v>
      </c>
      <c r="DE40" s="39" t="s">
        <v>126</v>
      </c>
      <c r="DF40" s="43" t="s">
        <v>126</v>
      </c>
      <c r="DG40" s="43" t="s">
        <v>126</v>
      </c>
      <c r="DH40" s="43" t="s">
        <v>126</v>
      </c>
      <c r="DI40" s="36" t="s">
        <v>126</v>
      </c>
    </row>
    <row r="41" spans="1:132" s="4" customFormat="1" ht="12" hidden="1" customHeight="1" outlineLevel="1">
      <c r="A41" s="219"/>
      <c r="B41" s="75" t="s">
        <v>13</v>
      </c>
      <c r="C41" s="360">
        <f t="shared" ref="C41:O41" si="44">C57</f>
        <v>6470.625</v>
      </c>
      <c r="D41" s="361">
        <f t="shared" si="44"/>
        <v>9186.5390000000007</v>
      </c>
      <c r="E41" s="360">
        <f t="shared" si="44"/>
        <v>9553.0999999999985</v>
      </c>
      <c r="F41" s="361">
        <f t="shared" si="44"/>
        <v>8776.9000000000015</v>
      </c>
      <c r="G41" s="360">
        <f t="shared" si="44"/>
        <v>8995.1</v>
      </c>
      <c r="H41" s="361">
        <f t="shared" si="44"/>
        <v>9488.7999999999993</v>
      </c>
      <c r="I41" s="360">
        <f t="shared" si="44"/>
        <v>9893</v>
      </c>
      <c r="J41" s="361">
        <f t="shared" si="44"/>
        <v>10697</v>
      </c>
      <c r="K41" s="360">
        <f t="shared" si="44"/>
        <v>12253.1</v>
      </c>
      <c r="L41" s="361">
        <f t="shared" si="44"/>
        <v>13739.699999999999</v>
      </c>
      <c r="M41" s="360">
        <f t="shared" si="44"/>
        <v>14954.9</v>
      </c>
      <c r="N41" s="361">
        <f t="shared" si="44"/>
        <v>16325.900000000001</v>
      </c>
      <c r="O41" s="361">
        <f t="shared" si="44"/>
        <v>18627</v>
      </c>
      <c r="P41" s="363">
        <f t="shared" ref="P41:U41" si="45">SUM(P38:P40)</f>
        <v>19176.099999999995</v>
      </c>
      <c r="Q41" s="364">
        <f t="shared" si="45"/>
        <v>19014</v>
      </c>
      <c r="R41" s="363">
        <f t="shared" si="45"/>
        <v>5175</v>
      </c>
      <c r="S41" s="363">
        <f t="shared" si="45"/>
        <v>4842</v>
      </c>
      <c r="T41" s="363">
        <f t="shared" si="45"/>
        <v>5079</v>
      </c>
      <c r="U41" s="363">
        <f t="shared" si="45"/>
        <v>5766</v>
      </c>
      <c r="V41" s="364">
        <f t="shared" si="36"/>
        <v>20862</v>
      </c>
      <c r="W41" s="363">
        <f>SUM(W38:W40)</f>
        <v>6081</v>
      </c>
      <c r="X41" s="363">
        <f>SUM(X38:X40)</f>
        <v>5731</v>
      </c>
      <c r="Y41" s="363">
        <f>SUM(Y38:Y40)</f>
        <v>5846</v>
      </c>
      <c r="Z41" s="363">
        <f>SUM(Z38:Z40)</f>
        <v>6470</v>
      </c>
      <c r="AA41" s="364">
        <f t="shared" si="37"/>
        <v>24128</v>
      </c>
      <c r="AB41" s="364"/>
      <c r="AC41" s="363">
        <f>SUM(AC38:AC40)</f>
        <v>6474</v>
      </c>
      <c r="AD41" s="363">
        <f>SUM(AD38:AD40)</f>
        <v>5955</v>
      </c>
      <c r="AE41" s="363">
        <f>SUM(AE38:AE40)</f>
        <v>6187</v>
      </c>
      <c r="AF41" s="363">
        <f>SUM(AF38:AF40)</f>
        <v>6697</v>
      </c>
      <c r="AG41" s="364">
        <f t="shared" si="38"/>
        <v>25313</v>
      </c>
      <c r="AH41" s="363">
        <f>SUM(AH38:AH40)</f>
        <v>6971</v>
      </c>
      <c r="AI41" s="371">
        <f>SUM(AI38:AI40)</f>
        <v>6431</v>
      </c>
      <c r="AJ41" s="363">
        <f>SUM(AJ38:AJ40)</f>
        <v>6972</v>
      </c>
      <c r="AK41" s="363">
        <f>SUM(AK38:AK40)</f>
        <v>7425</v>
      </c>
      <c r="AL41" s="364">
        <f t="shared" si="39"/>
        <v>27799</v>
      </c>
      <c r="AM41" s="371">
        <f>SUM(AM38:AM40)</f>
        <v>7982</v>
      </c>
      <c r="AN41" s="363">
        <f>SUM(AN38:AN40)</f>
        <v>7380</v>
      </c>
      <c r="AO41" s="363">
        <f>SUM(AO38:AO40)</f>
        <v>7460</v>
      </c>
      <c r="AP41" s="363">
        <f>SUM(AP38:AP40)</f>
        <v>7779</v>
      </c>
      <c r="AQ41" s="364">
        <f t="shared" si="40"/>
        <v>30601</v>
      </c>
      <c r="AR41" s="363">
        <f>SUM(AR38:AR40)</f>
        <v>8414</v>
      </c>
      <c r="AS41" s="363">
        <f>SUM(AS38:AS40)</f>
        <v>7686</v>
      </c>
      <c r="AT41" s="363">
        <f>SUM(AT38:AT40)</f>
        <v>8032</v>
      </c>
      <c r="AU41" s="363">
        <f>SUM(AU38:AU40)</f>
        <v>8244</v>
      </c>
      <c r="AV41" s="364">
        <f t="shared" si="41"/>
        <v>32376</v>
      </c>
      <c r="AW41" s="363">
        <f>SUM(AW38:AW40)</f>
        <v>9061</v>
      </c>
      <c r="AX41" s="363">
        <f>SUM(AX38:AX40)</f>
        <v>8180</v>
      </c>
      <c r="AY41" s="363">
        <f>SUM(AY38:AY40)</f>
        <v>8432</v>
      </c>
      <c r="AZ41" s="363">
        <f>SUM(AZ38:AZ40)</f>
        <v>8677</v>
      </c>
      <c r="BA41" s="364">
        <f t="shared" si="42"/>
        <v>34350</v>
      </c>
      <c r="BB41" s="360" t="s">
        <v>126</v>
      </c>
      <c r="BC41" s="363" t="s">
        <v>126</v>
      </c>
      <c r="BD41" s="363" t="s">
        <v>126</v>
      </c>
      <c r="BE41" s="363" t="s">
        <v>126</v>
      </c>
      <c r="BF41" s="364" t="s">
        <v>126</v>
      </c>
      <c r="BG41" s="360" t="s">
        <v>126</v>
      </c>
      <c r="BH41" s="363" t="s">
        <v>126</v>
      </c>
      <c r="BI41" s="363" t="s">
        <v>126</v>
      </c>
      <c r="BJ41" s="363" t="s">
        <v>126</v>
      </c>
      <c r="BK41" s="364" t="s">
        <v>126</v>
      </c>
      <c r="BL41" s="360" t="s">
        <v>126</v>
      </c>
      <c r="BM41" s="363" t="s">
        <v>126</v>
      </c>
      <c r="BN41" s="363" t="s">
        <v>126</v>
      </c>
      <c r="BO41" s="363" t="s">
        <v>126</v>
      </c>
      <c r="BP41" s="364" t="s">
        <v>126</v>
      </c>
      <c r="BQ41" s="360" t="s">
        <v>126</v>
      </c>
      <c r="BR41" s="363" t="s">
        <v>126</v>
      </c>
      <c r="BS41" s="363" t="s">
        <v>126</v>
      </c>
      <c r="BT41" s="363" t="s">
        <v>126</v>
      </c>
      <c r="BU41" s="364" t="s">
        <v>126</v>
      </c>
      <c r="BV41" s="360" t="s">
        <v>126</v>
      </c>
      <c r="BW41" s="363" t="s">
        <v>126</v>
      </c>
      <c r="BX41" s="363" t="s">
        <v>126</v>
      </c>
      <c r="BY41" s="363" t="s">
        <v>126</v>
      </c>
      <c r="BZ41" s="364" t="s">
        <v>126</v>
      </c>
      <c r="CA41" s="360" t="s">
        <v>126</v>
      </c>
      <c r="CB41" s="363" t="s">
        <v>126</v>
      </c>
      <c r="CC41" s="363" t="s">
        <v>126</v>
      </c>
      <c r="CD41" s="363" t="s">
        <v>126</v>
      </c>
      <c r="CE41" s="364" t="s">
        <v>126</v>
      </c>
      <c r="CF41" s="360" t="s">
        <v>126</v>
      </c>
      <c r="CG41" s="363" t="s">
        <v>126</v>
      </c>
      <c r="CH41" s="363" t="s">
        <v>126</v>
      </c>
      <c r="CI41" s="363" t="s">
        <v>126</v>
      </c>
      <c r="CJ41" s="364" t="s">
        <v>126</v>
      </c>
      <c r="CK41" s="360" t="s">
        <v>126</v>
      </c>
      <c r="CL41" s="363" t="s">
        <v>126</v>
      </c>
      <c r="CM41" s="363" t="s">
        <v>126</v>
      </c>
      <c r="CN41" s="363" t="s">
        <v>126</v>
      </c>
      <c r="CO41" s="364" t="s">
        <v>126</v>
      </c>
      <c r="CP41" s="360" t="s">
        <v>126</v>
      </c>
      <c r="CQ41" s="363" t="s">
        <v>126</v>
      </c>
      <c r="CR41" s="363" t="s">
        <v>126</v>
      </c>
      <c r="CS41" s="363" t="s">
        <v>126</v>
      </c>
      <c r="CT41" s="364" t="s">
        <v>126</v>
      </c>
      <c r="CU41" s="360" t="s">
        <v>126</v>
      </c>
      <c r="CV41" s="363" t="s">
        <v>126</v>
      </c>
      <c r="CW41" s="363" t="s">
        <v>126</v>
      </c>
      <c r="CX41" s="363" t="s">
        <v>126</v>
      </c>
      <c r="CY41" s="364" t="s">
        <v>126</v>
      </c>
      <c r="CZ41" s="360" t="s">
        <v>126</v>
      </c>
      <c r="DA41" s="363" t="s">
        <v>126</v>
      </c>
      <c r="DB41" s="363" t="s">
        <v>126</v>
      </c>
      <c r="DC41" s="363" t="s">
        <v>126</v>
      </c>
      <c r="DD41" s="364" t="s">
        <v>126</v>
      </c>
      <c r="DE41" s="360" t="s">
        <v>126</v>
      </c>
      <c r="DF41" s="363" t="s">
        <v>126</v>
      </c>
      <c r="DG41" s="363" t="s">
        <v>126</v>
      </c>
      <c r="DH41" s="363" t="s">
        <v>126</v>
      </c>
      <c r="DI41" s="364" t="s">
        <v>126</v>
      </c>
    </row>
    <row r="42" spans="1:132" ht="12" hidden="1" customHeight="1" outlineLevel="1">
      <c r="A42" s="219"/>
      <c r="B42" s="74"/>
      <c r="C42" s="43"/>
      <c r="D42" s="36"/>
      <c r="E42" s="43"/>
      <c r="F42" s="36"/>
      <c r="G42" s="43"/>
      <c r="H42" s="36"/>
      <c r="I42" s="43"/>
      <c r="J42" s="36"/>
      <c r="K42" s="43"/>
      <c r="L42" s="36"/>
      <c r="M42" s="43"/>
      <c r="N42" s="36"/>
      <c r="O42" s="36"/>
      <c r="P42" s="43"/>
      <c r="Q42" s="36"/>
      <c r="R42" s="43"/>
      <c r="S42" s="43"/>
      <c r="T42" s="43"/>
      <c r="U42" s="43"/>
      <c r="V42" s="211"/>
      <c r="W42" s="43"/>
      <c r="X42" s="43"/>
      <c r="Y42" s="43"/>
      <c r="Z42" s="43"/>
      <c r="AA42" s="211"/>
      <c r="AB42" s="36"/>
      <c r="AC42" s="43"/>
      <c r="AD42" s="43"/>
      <c r="AE42" s="43"/>
      <c r="AF42" s="43"/>
      <c r="AG42" s="211"/>
      <c r="AH42" s="43"/>
      <c r="AI42" s="43"/>
      <c r="AJ42" s="43"/>
      <c r="AK42" s="43"/>
      <c r="AL42" s="211"/>
      <c r="AM42" s="43"/>
      <c r="AN42" s="43"/>
      <c r="AO42" s="43"/>
      <c r="AP42" s="43"/>
      <c r="AQ42" s="211"/>
      <c r="AR42" s="43"/>
      <c r="AS42" s="43"/>
      <c r="AT42" s="43"/>
      <c r="AU42" s="43"/>
      <c r="AV42" s="211"/>
      <c r="AW42" s="43"/>
      <c r="AX42" s="43"/>
      <c r="AY42" s="43"/>
      <c r="AZ42" s="43"/>
      <c r="BA42" s="211"/>
      <c r="BB42" s="43"/>
      <c r="BC42" s="43"/>
      <c r="BD42" s="43"/>
      <c r="BE42" s="43"/>
      <c r="BF42" s="211"/>
      <c r="BG42" s="43"/>
      <c r="BH42" s="43"/>
      <c r="BI42" s="43"/>
      <c r="BJ42" s="43"/>
      <c r="BK42" s="211"/>
      <c r="BL42" s="43"/>
      <c r="BM42" s="43"/>
      <c r="BN42" s="43"/>
      <c r="BO42" s="43"/>
      <c r="BP42" s="211"/>
      <c r="BQ42" s="43"/>
      <c r="BR42" s="43"/>
      <c r="BS42" s="43"/>
      <c r="BT42" s="43"/>
      <c r="BU42" s="211"/>
      <c r="BV42" s="43"/>
      <c r="BW42" s="43"/>
      <c r="BX42" s="43"/>
      <c r="BY42" s="43"/>
      <c r="BZ42" s="211"/>
      <c r="CA42" s="43"/>
      <c r="CB42" s="43"/>
      <c r="CC42" s="43"/>
      <c r="CD42" s="43"/>
      <c r="CE42" s="211"/>
      <c r="CF42" s="43"/>
      <c r="CG42" s="43"/>
      <c r="CH42" s="43"/>
      <c r="CI42" s="43"/>
      <c r="CJ42" s="211"/>
      <c r="CK42" s="43"/>
      <c r="CL42" s="43"/>
      <c r="CM42" s="43"/>
      <c r="CN42" s="43"/>
      <c r="CO42" s="211"/>
      <c r="CP42" s="43"/>
      <c r="CQ42" s="43"/>
      <c r="CR42" s="43"/>
      <c r="CS42" s="43"/>
      <c r="CT42" s="211"/>
      <c r="CU42" s="43"/>
      <c r="CV42" s="43"/>
      <c r="CW42" s="43"/>
      <c r="CX42" s="43"/>
      <c r="CY42" s="211"/>
      <c r="CZ42" s="43"/>
      <c r="DA42" s="43"/>
      <c r="DB42" s="43"/>
      <c r="DC42" s="43"/>
      <c r="DD42" s="211"/>
      <c r="DE42" s="43"/>
      <c r="DF42" s="43"/>
      <c r="DG42" s="43"/>
      <c r="DH42" s="43"/>
      <c r="DI42" s="211"/>
    </row>
    <row r="43" spans="1:132" ht="12" hidden="1" customHeight="1" outlineLevel="1">
      <c r="A43" s="219"/>
      <c r="B43" s="368" t="s">
        <v>158</v>
      </c>
      <c r="C43" s="43"/>
      <c r="D43" s="36"/>
      <c r="E43" s="43"/>
      <c r="F43" s="36"/>
      <c r="G43" s="43"/>
      <c r="H43" s="36"/>
      <c r="I43" s="43"/>
      <c r="J43" s="36"/>
      <c r="K43" s="43"/>
      <c r="L43" s="36"/>
      <c r="M43" s="43"/>
      <c r="N43" s="36"/>
      <c r="O43" s="36"/>
      <c r="P43" s="43"/>
      <c r="Q43" s="36"/>
      <c r="R43" s="43"/>
      <c r="S43" s="43"/>
      <c r="T43" s="43"/>
      <c r="U43" s="43"/>
      <c r="V43" s="36"/>
      <c r="W43" s="43"/>
      <c r="X43" s="43"/>
      <c r="Y43" s="43"/>
      <c r="Z43" s="43"/>
      <c r="AA43" s="36"/>
      <c r="AB43" s="36"/>
      <c r="AC43" s="43"/>
      <c r="AD43" s="43"/>
      <c r="AE43" s="43"/>
      <c r="AF43" s="43"/>
      <c r="AG43" s="36"/>
      <c r="AH43" s="43"/>
      <c r="AI43" s="43"/>
      <c r="AJ43" s="43"/>
      <c r="AK43" s="43"/>
      <c r="AL43" s="36"/>
      <c r="AM43" s="43"/>
      <c r="AN43" s="43"/>
      <c r="AO43" s="43"/>
      <c r="AP43" s="43"/>
      <c r="AQ43" s="36"/>
      <c r="AR43" s="43"/>
      <c r="AS43" s="43"/>
      <c r="AT43" s="43"/>
      <c r="AU43" s="43"/>
      <c r="AV43" s="36"/>
      <c r="AW43" s="43"/>
      <c r="AX43" s="43"/>
      <c r="AY43" s="43"/>
      <c r="AZ43" s="43"/>
      <c r="BA43" s="36"/>
      <c r="BB43" s="43"/>
      <c r="BC43" s="43"/>
      <c r="BD43" s="43"/>
      <c r="BE43" s="43"/>
      <c r="BF43" s="36"/>
      <c r="BG43" s="43"/>
      <c r="BH43" s="43"/>
      <c r="BI43" s="43"/>
      <c r="BJ43" s="43"/>
      <c r="BK43" s="36"/>
      <c r="BL43" s="43"/>
      <c r="BM43" s="43"/>
      <c r="BN43" s="43"/>
      <c r="BO43" s="43"/>
      <c r="BP43" s="36"/>
      <c r="BQ43" s="43"/>
      <c r="BR43" s="43"/>
      <c r="BS43" s="43"/>
      <c r="BT43" s="43"/>
      <c r="BU43" s="36"/>
      <c r="BV43" s="43"/>
      <c r="BW43" s="43"/>
      <c r="BX43" s="43"/>
      <c r="BY43" s="43"/>
      <c r="BZ43" s="36"/>
      <c r="CA43" s="43"/>
      <c r="CB43" s="43"/>
      <c r="CC43" s="43"/>
      <c r="CD43" s="43"/>
      <c r="CE43" s="36"/>
      <c r="CF43" s="43"/>
      <c r="CG43" s="43"/>
      <c r="CH43" s="43"/>
      <c r="CI43" s="43"/>
      <c r="CJ43" s="36"/>
      <c r="CK43" s="43"/>
      <c r="CL43" s="43"/>
      <c r="CM43" s="43"/>
      <c r="CN43" s="43"/>
      <c r="CO43" s="36"/>
      <c r="CP43" s="43"/>
      <c r="CQ43" s="43"/>
      <c r="CR43" s="43"/>
      <c r="CS43" s="43"/>
      <c r="CT43" s="36"/>
      <c r="CU43" s="43"/>
      <c r="CV43" s="43"/>
      <c r="CW43" s="43"/>
      <c r="CX43" s="43"/>
      <c r="CY43" s="36"/>
      <c r="CZ43" s="43"/>
      <c r="DA43" s="43"/>
      <c r="DB43" s="43"/>
      <c r="DC43" s="43"/>
      <c r="DD43" s="36"/>
      <c r="DE43" s="43"/>
      <c r="DF43" s="43"/>
      <c r="DG43" s="43"/>
      <c r="DH43" s="43"/>
      <c r="DI43" s="36"/>
    </row>
    <row r="44" spans="1:132" ht="12" hidden="1" customHeight="1" outlineLevel="1">
      <c r="A44" s="219"/>
      <c r="B44" s="74" t="s">
        <v>87</v>
      </c>
      <c r="C44" s="39" t="s">
        <v>1</v>
      </c>
      <c r="D44" s="40" t="s">
        <v>1</v>
      </c>
      <c r="E44" s="39" t="s">
        <v>1</v>
      </c>
      <c r="F44" s="40" t="s">
        <v>1</v>
      </c>
      <c r="G44" s="39" t="s">
        <v>1</v>
      </c>
      <c r="H44" s="40" t="s">
        <v>1</v>
      </c>
      <c r="I44" s="39" t="s">
        <v>1</v>
      </c>
      <c r="J44" s="40" t="s">
        <v>1</v>
      </c>
      <c r="K44" s="39" t="s">
        <v>1</v>
      </c>
      <c r="L44" s="40" t="s">
        <v>1</v>
      </c>
      <c r="M44" s="39" t="s">
        <v>1</v>
      </c>
      <c r="N44" s="40" t="s">
        <v>1</v>
      </c>
      <c r="O44" s="40" t="s">
        <v>1</v>
      </c>
      <c r="P44" s="43">
        <v>1429.3000000000002</v>
      </c>
      <c r="Q44" s="36">
        <v>1538.1</v>
      </c>
      <c r="R44" s="43">
        <v>443</v>
      </c>
      <c r="S44" s="43">
        <v>356</v>
      </c>
      <c r="T44" s="43">
        <v>419</v>
      </c>
      <c r="U44" s="43">
        <v>518</v>
      </c>
      <c r="V44" s="36">
        <f t="shared" ref="V44:V54" si="46">SUM(R44:U44)</f>
        <v>1736</v>
      </c>
      <c r="W44" s="43">
        <v>534</v>
      </c>
      <c r="X44" s="43">
        <v>418</v>
      </c>
      <c r="Y44" s="43">
        <v>496</v>
      </c>
      <c r="Z44" s="43">
        <v>559</v>
      </c>
      <c r="AA44" s="36">
        <f t="shared" ref="AA44:AA54" si="47">SUM(W44:Z44)</f>
        <v>2007</v>
      </c>
      <c r="AB44" s="36"/>
      <c r="AC44" s="43">
        <v>645</v>
      </c>
      <c r="AD44" s="43">
        <v>565</v>
      </c>
      <c r="AE44" s="43">
        <v>653</v>
      </c>
      <c r="AF44" s="43">
        <v>778</v>
      </c>
      <c r="AG44" s="36">
        <f t="shared" ref="AG44:AG54" si="48">SUM(AC44:AF44)</f>
        <v>2641</v>
      </c>
      <c r="AH44" s="43">
        <v>813</v>
      </c>
      <c r="AI44" s="369">
        <v>649</v>
      </c>
      <c r="AJ44" s="43">
        <v>729</v>
      </c>
      <c r="AK44" s="43">
        <v>888</v>
      </c>
      <c r="AL44" s="36">
        <f t="shared" ref="AL44:AL54" si="49">SUM(AH44:AK44)</f>
        <v>3079</v>
      </c>
      <c r="AM44" s="369">
        <v>970</v>
      </c>
      <c r="AN44" s="43">
        <v>785</v>
      </c>
      <c r="AO44" s="43">
        <v>830</v>
      </c>
      <c r="AP44" s="43">
        <v>1060</v>
      </c>
      <c r="AQ44" s="36">
        <f t="shared" ref="AQ44:AQ54" si="50">SUM(AM44:AP44)</f>
        <v>3645</v>
      </c>
      <c r="AR44" s="43">
        <v>1042</v>
      </c>
      <c r="AS44" s="43">
        <v>882</v>
      </c>
      <c r="AT44" s="43">
        <v>903</v>
      </c>
      <c r="AU44" s="43">
        <v>936</v>
      </c>
      <c r="AV44" s="36">
        <f t="shared" ref="AV44:AV54" si="51">SUM(AR44:AU44)</f>
        <v>3763</v>
      </c>
      <c r="AW44" s="43">
        <v>1004</v>
      </c>
      <c r="AX44" s="43">
        <v>912</v>
      </c>
      <c r="AY44" s="43">
        <v>980</v>
      </c>
      <c r="AZ44" s="43">
        <v>979</v>
      </c>
      <c r="BA44" s="36">
        <f t="shared" ref="BA44:BA54" si="52">SUM(AW44:AZ44)</f>
        <v>3875</v>
      </c>
      <c r="BB44" s="39" t="s">
        <v>126</v>
      </c>
      <c r="BC44" s="43" t="s">
        <v>126</v>
      </c>
      <c r="BD44" s="43" t="s">
        <v>126</v>
      </c>
      <c r="BE44" s="43" t="s">
        <v>126</v>
      </c>
      <c r="BF44" s="36" t="s">
        <v>126</v>
      </c>
      <c r="BG44" s="39" t="s">
        <v>126</v>
      </c>
      <c r="BH44" s="43" t="s">
        <v>126</v>
      </c>
      <c r="BI44" s="43" t="s">
        <v>126</v>
      </c>
      <c r="BJ44" s="43" t="s">
        <v>126</v>
      </c>
      <c r="BK44" s="36" t="s">
        <v>126</v>
      </c>
      <c r="BL44" s="39" t="s">
        <v>126</v>
      </c>
      <c r="BM44" s="43" t="s">
        <v>126</v>
      </c>
      <c r="BN44" s="43" t="s">
        <v>126</v>
      </c>
      <c r="BO44" s="43" t="s">
        <v>126</v>
      </c>
      <c r="BP44" s="36" t="s">
        <v>126</v>
      </c>
      <c r="BQ44" s="39" t="s">
        <v>126</v>
      </c>
      <c r="BR44" s="43" t="s">
        <v>126</v>
      </c>
      <c r="BS44" s="43" t="s">
        <v>126</v>
      </c>
      <c r="BT44" s="43" t="s">
        <v>126</v>
      </c>
      <c r="BU44" s="36" t="s">
        <v>126</v>
      </c>
      <c r="BV44" s="39" t="s">
        <v>126</v>
      </c>
      <c r="BW44" s="43" t="s">
        <v>126</v>
      </c>
      <c r="BX44" s="43" t="s">
        <v>126</v>
      </c>
      <c r="BY44" s="43" t="s">
        <v>126</v>
      </c>
      <c r="BZ44" s="36" t="s">
        <v>126</v>
      </c>
      <c r="CA44" s="39" t="s">
        <v>126</v>
      </c>
      <c r="CB44" s="43" t="s">
        <v>126</v>
      </c>
      <c r="CC44" s="43" t="s">
        <v>126</v>
      </c>
      <c r="CD44" s="43" t="s">
        <v>126</v>
      </c>
      <c r="CE44" s="36" t="s">
        <v>126</v>
      </c>
      <c r="CF44" s="39" t="s">
        <v>126</v>
      </c>
      <c r="CG44" s="43" t="s">
        <v>126</v>
      </c>
      <c r="CH44" s="43" t="s">
        <v>126</v>
      </c>
      <c r="CI44" s="43" t="s">
        <v>126</v>
      </c>
      <c r="CJ44" s="36" t="s">
        <v>126</v>
      </c>
      <c r="CK44" s="39" t="s">
        <v>126</v>
      </c>
      <c r="CL44" s="43" t="s">
        <v>126</v>
      </c>
      <c r="CM44" s="43" t="s">
        <v>126</v>
      </c>
      <c r="CN44" s="43" t="s">
        <v>126</v>
      </c>
      <c r="CO44" s="36" t="s">
        <v>126</v>
      </c>
      <c r="CP44" s="39" t="s">
        <v>126</v>
      </c>
      <c r="CQ44" s="43" t="s">
        <v>126</v>
      </c>
      <c r="CR44" s="43" t="s">
        <v>126</v>
      </c>
      <c r="CS44" s="43" t="s">
        <v>126</v>
      </c>
      <c r="CT44" s="36" t="s">
        <v>126</v>
      </c>
      <c r="CU44" s="39" t="s">
        <v>126</v>
      </c>
      <c r="CV44" s="43" t="s">
        <v>126</v>
      </c>
      <c r="CW44" s="43" t="s">
        <v>126</v>
      </c>
      <c r="CX44" s="43" t="s">
        <v>126</v>
      </c>
      <c r="CY44" s="36" t="s">
        <v>126</v>
      </c>
      <c r="CZ44" s="39" t="s">
        <v>126</v>
      </c>
      <c r="DA44" s="43" t="s">
        <v>126</v>
      </c>
      <c r="DB44" s="43" t="s">
        <v>126</v>
      </c>
      <c r="DC44" s="43" t="s">
        <v>126</v>
      </c>
      <c r="DD44" s="36" t="s">
        <v>126</v>
      </c>
      <c r="DE44" s="39" t="s">
        <v>126</v>
      </c>
      <c r="DF44" s="43" t="s">
        <v>126</v>
      </c>
      <c r="DG44" s="43" t="s">
        <v>126</v>
      </c>
      <c r="DH44" s="43" t="s">
        <v>126</v>
      </c>
      <c r="DI44" s="36" t="s">
        <v>126</v>
      </c>
    </row>
    <row r="45" spans="1:132" ht="12" hidden="1" customHeight="1" outlineLevel="1">
      <c r="A45" s="219"/>
      <c r="B45" s="74" t="s">
        <v>98</v>
      </c>
      <c r="C45" s="39" t="s">
        <v>1</v>
      </c>
      <c r="D45" s="40" t="s">
        <v>1</v>
      </c>
      <c r="E45" s="39" t="s">
        <v>1</v>
      </c>
      <c r="F45" s="40" t="s">
        <v>1</v>
      </c>
      <c r="G45" s="39" t="s">
        <v>1</v>
      </c>
      <c r="H45" s="40" t="s">
        <v>1</v>
      </c>
      <c r="I45" s="39" t="s">
        <v>1</v>
      </c>
      <c r="J45" s="40" t="s">
        <v>1</v>
      </c>
      <c r="K45" s="39" t="s">
        <v>1</v>
      </c>
      <c r="L45" s="40" t="s">
        <v>1</v>
      </c>
      <c r="M45" s="39" t="s">
        <v>1</v>
      </c>
      <c r="N45" s="40" t="s">
        <v>1</v>
      </c>
      <c r="O45" s="40" t="s">
        <v>1</v>
      </c>
      <c r="P45" s="43">
        <v>939.09999999999991</v>
      </c>
      <c r="Q45" s="36">
        <v>855.7</v>
      </c>
      <c r="R45" s="43">
        <v>283</v>
      </c>
      <c r="S45" s="43">
        <v>142</v>
      </c>
      <c r="T45" s="43">
        <v>163</v>
      </c>
      <c r="U45" s="43">
        <v>142</v>
      </c>
      <c r="V45" s="36">
        <f t="shared" si="46"/>
        <v>730</v>
      </c>
      <c r="W45" s="43">
        <v>223</v>
      </c>
      <c r="X45" s="43">
        <v>92</v>
      </c>
      <c r="Y45" s="43">
        <v>149</v>
      </c>
      <c r="Z45" s="43">
        <v>133</v>
      </c>
      <c r="AA45" s="36">
        <f t="shared" si="47"/>
        <v>597</v>
      </c>
      <c r="AB45" s="36"/>
      <c r="AC45" s="43">
        <v>212</v>
      </c>
      <c r="AD45" s="43">
        <v>110</v>
      </c>
      <c r="AE45" s="43">
        <v>179</v>
      </c>
      <c r="AF45" s="43">
        <v>142</v>
      </c>
      <c r="AG45" s="36">
        <f t="shared" si="48"/>
        <v>643</v>
      </c>
      <c r="AH45" s="43">
        <v>265</v>
      </c>
      <c r="AI45" s="369">
        <v>123</v>
      </c>
      <c r="AJ45" s="43">
        <v>275</v>
      </c>
      <c r="AK45" s="43">
        <v>192</v>
      </c>
      <c r="AL45" s="36">
        <f t="shared" si="49"/>
        <v>855</v>
      </c>
      <c r="AM45" s="369">
        <v>404</v>
      </c>
      <c r="AN45" s="43">
        <v>261</v>
      </c>
      <c r="AO45" s="43">
        <v>333</v>
      </c>
      <c r="AP45" s="43">
        <v>277</v>
      </c>
      <c r="AQ45" s="36">
        <f t="shared" si="50"/>
        <v>1275</v>
      </c>
      <c r="AR45" s="43">
        <v>485</v>
      </c>
      <c r="AS45" s="43">
        <v>307</v>
      </c>
      <c r="AT45" s="43">
        <v>334</v>
      </c>
      <c r="AU45" s="43">
        <v>308</v>
      </c>
      <c r="AV45" s="36">
        <f t="shared" si="51"/>
        <v>1434</v>
      </c>
      <c r="AW45" s="43">
        <v>392</v>
      </c>
      <c r="AX45" s="43">
        <v>236</v>
      </c>
      <c r="AY45" s="43">
        <v>290</v>
      </c>
      <c r="AZ45" s="43">
        <v>285</v>
      </c>
      <c r="BA45" s="36">
        <f t="shared" si="52"/>
        <v>1203</v>
      </c>
      <c r="BB45" s="39" t="s">
        <v>126</v>
      </c>
      <c r="BC45" s="43" t="s">
        <v>126</v>
      </c>
      <c r="BD45" s="43" t="s">
        <v>126</v>
      </c>
      <c r="BE45" s="43" t="s">
        <v>126</v>
      </c>
      <c r="BF45" s="36" t="s">
        <v>126</v>
      </c>
      <c r="BG45" s="39" t="s">
        <v>126</v>
      </c>
      <c r="BH45" s="43" t="s">
        <v>126</v>
      </c>
      <c r="BI45" s="43" t="s">
        <v>126</v>
      </c>
      <c r="BJ45" s="43" t="s">
        <v>126</v>
      </c>
      <c r="BK45" s="36" t="s">
        <v>126</v>
      </c>
      <c r="BL45" s="39" t="s">
        <v>126</v>
      </c>
      <c r="BM45" s="43" t="s">
        <v>126</v>
      </c>
      <c r="BN45" s="43" t="s">
        <v>126</v>
      </c>
      <c r="BO45" s="43" t="s">
        <v>126</v>
      </c>
      <c r="BP45" s="36" t="s">
        <v>126</v>
      </c>
      <c r="BQ45" s="39" t="s">
        <v>126</v>
      </c>
      <c r="BR45" s="43" t="s">
        <v>126</v>
      </c>
      <c r="BS45" s="43" t="s">
        <v>126</v>
      </c>
      <c r="BT45" s="43" t="s">
        <v>126</v>
      </c>
      <c r="BU45" s="36" t="s">
        <v>126</v>
      </c>
      <c r="BV45" s="39" t="s">
        <v>126</v>
      </c>
      <c r="BW45" s="43" t="s">
        <v>126</v>
      </c>
      <c r="BX45" s="43" t="s">
        <v>126</v>
      </c>
      <c r="BY45" s="43" t="s">
        <v>126</v>
      </c>
      <c r="BZ45" s="36" t="s">
        <v>126</v>
      </c>
      <c r="CA45" s="39" t="s">
        <v>126</v>
      </c>
      <c r="CB45" s="43" t="s">
        <v>126</v>
      </c>
      <c r="CC45" s="43" t="s">
        <v>126</v>
      </c>
      <c r="CD45" s="43" t="s">
        <v>126</v>
      </c>
      <c r="CE45" s="36" t="s">
        <v>126</v>
      </c>
      <c r="CF45" s="39" t="s">
        <v>126</v>
      </c>
      <c r="CG45" s="43" t="s">
        <v>126</v>
      </c>
      <c r="CH45" s="43" t="s">
        <v>126</v>
      </c>
      <c r="CI45" s="43" t="s">
        <v>126</v>
      </c>
      <c r="CJ45" s="36" t="s">
        <v>126</v>
      </c>
      <c r="CK45" s="39" t="s">
        <v>126</v>
      </c>
      <c r="CL45" s="43" t="s">
        <v>126</v>
      </c>
      <c r="CM45" s="43" t="s">
        <v>126</v>
      </c>
      <c r="CN45" s="43" t="s">
        <v>126</v>
      </c>
      <c r="CO45" s="36" t="s">
        <v>126</v>
      </c>
      <c r="CP45" s="39" t="s">
        <v>126</v>
      </c>
      <c r="CQ45" s="43" t="s">
        <v>126</v>
      </c>
      <c r="CR45" s="43" t="s">
        <v>126</v>
      </c>
      <c r="CS45" s="43" t="s">
        <v>126</v>
      </c>
      <c r="CT45" s="36" t="s">
        <v>126</v>
      </c>
      <c r="CU45" s="39" t="s">
        <v>126</v>
      </c>
      <c r="CV45" s="43" t="s">
        <v>126</v>
      </c>
      <c r="CW45" s="43" t="s">
        <v>126</v>
      </c>
      <c r="CX45" s="43" t="s">
        <v>126</v>
      </c>
      <c r="CY45" s="36" t="s">
        <v>126</v>
      </c>
      <c r="CZ45" s="39" t="s">
        <v>126</v>
      </c>
      <c r="DA45" s="43" t="s">
        <v>126</v>
      </c>
      <c r="DB45" s="43" t="s">
        <v>126</v>
      </c>
      <c r="DC45" s="43" t="s">
        <v>126</v>
      </c>
      <c r="DD45" s="36" t="s">
        <v>126</v>
      </c>
      <c r="DE45" s="39" t="s">
        <v>126</v>
      </c>
      <c r="DF45" s="43" t="s">
        <v>126</v>
      </c>
      <c r="DG45" s="43" t="s">
        <v>126</v>
      </c>
      <c r="DH45" s="43" t="s">
        <v>126</v>
      </c>
      <c r="DI45" s="36" t="s">
        <v>126</v>
      </c>
    </row>
    <row r="46" spans="1:132" ht="12" hidden="1" customHeight="1" outlineLevel="1">
      <c r="A46" s="219"/>
      <c r="B46" s="74" t="s">
        <v>88</v>
      </c>
      <c r="C46" s="39" t="s">
        <v>1</v>
      </c>
      <c r="D46" s="40" t="s">
        <v>1</v>
      </c>
      <c r="E46" s="39" t="s">
        <v>1</v>
      </c>
      <c r="F46" s="40" t="s">
        <v>1</v>
      </c>
      <c r="G46" s="39" t="s">
        <v>1</v>
      </c>
      <c r="H46" s="40" t="s">
        <v>1</v>
      </c>
      <c r="I46" s="39" t="s">
        <v>1</v>
      </c>
      <c r="J46" s="40" t="s">
        <v>1</v>
      </c>
      <c r="K46" s="39" t="s">
        <v>1</v>
      </c>
      <c r="L46" s="40" t="s">
        <v>1</v>
      </c>
      <c r="M46" s="39" t="s">
        <v>1</v>
      </c>
      <c r="N46" s="40" t="s">
        <v>1</v>
      </c>
      <c r="O46" s="40" t="s">
        <v>1</v>
      </c>
      <c r="P46" s="43">
        <v>415.1</v>
      </c>
      <c r="Q46" s="36">
        <v>281.20000000000005</v>
      </c>
      <c r="R46" s="43">
        <v>70</v>
      </c>
      <c r="S46" s="43">
        <v>48</v>
      </c>
      <c r="T46" s="43">
        <v>59</v>
      </c>
      <c r="U46" s="43">
        <v>67</v>
      </c>
      <c r="V46" s="36">
        <f t="shared" si="46"/>
        <v>244</v>
      </c>
      <c r="W46" s="43">
        <v>70</v>
      </c>
      <c r="X46" s="43">
        <v>33</v>
      </c>
      <c r="Y46" s="43">
        <v>60</v>
      </c>
      <c r="Z46" s="43">
        <v>71</v>
      </c>
      <c r="AA46" s="36">
        <f t="shared" si="47"/>
        <v>234</v>
      </c>
      <c r="AB46" s="36"/>
      <c r="AC46" s="43">
        <v>54</v>
      </c>
      <c r="AD46" s="43">
        <v>37</v>
      </c>
      <c r="AE46" s="43">
        <v>64</v>
      </c>
      <c r="AF46" s="43">
        <v>79</v>
      </c>
      <c r="AG46" s="36">
        <f t="shared" si="48"/>
        <v>234</v>
      </c>
      <c r="AH46" s="43">
        <v>81</v>
      </c>
      <c r="AI46" s="369">
        <v>48</v>
      </c>
      <c r="AJ46" s="43">
        <v>79</v>
      </c>
      <c r="AK46" s="43">
        <v>71</v>
      </c>
      <c r="AL46" s="36">
        <f t="shared" si="49"/>
        <v>279</v>
      </c>
      <c r="AM46" s="369">
        <v>68</v>
      </c>
      <c r="AN46" s="43">
        <v>57</v>
      </c>
      <c r="AO46" s="43">
        <v>52</v>
      </c>
      <c r="AP46" s="43">
        <v>71</v>
      </c>
      <c r="AQ46" s="36">
        <f t="shared" si="50"/>
        <v>248</v>
      </c>
      <c r="AR46" s="43">
        <v>98</v>
      </c>
      <c r="AS46" s="43">
        <v>76</v>
      </c>
      <c r="AT46" s="43">
        <v>69</v>
      </c>
      <c r="AU46" s="43">
        <v>46</v>
      </c>
      <c r="AV46" s="36">
        <f t="shared" si="51"/>
        <v>289</v>
      </c>
      <c r="AW46" s="43">
        <v>81</v>
      </c>
      <c r="AX46" s="43">
        <v>58</v>
      </c>
      <c r="AY46" s="43">
        <v>57</v>
      </c>
      <c r="AZ46" s="43">
        <v>48</v>
      </c>
      <c r="BA46" s="36">
        <f t="shared" si="52"/>
        <v>244</v>
      </c>
      <c r="BB46" s="39" t="s">
        <v>126</v>
      </c>
      <c r="BC46" s="43" t="s">
        <v>126</v>
      </c>
      <c r="BD46" s="43" t="s">
        <v>126</v>
      </c>
      <c r="BE46" s="43" t="s">
        <v>126</v>
      </c>
      <c r="BF46" s="36" t="s">
        <v>126</v>
      </c>
      <c r="BG46" s="39" t="s">
        <v>126</v>
      </c>
      <c r="BH46" s="43" t="s">
        <v>126</v>
      </c>
      <c r="BI46" s="43" t="s">
        <v>126</v>
      </c>
      <c r="BJ46" s="43" t="s">
        <v>126</v>
      </c>
      <c r="BK46" s="36" t="s">
        <v>126</v>
      </c>
      <c r="BL46" s="39" t="s">
        <v>126</v>
      </c>
      <c r="BM46" s="43" t="s">
        <v>126</v>
      </c>
      <c r="BN46" s="43" t="s">
        <v>126</v>
      </c>
      <c r="BO46" s="43" t="s">
        <v>126</v>
      </c>
      <c r="BP46" s="36" t="s">
        <v>126</v>
      </c>
      <c r="BQ46" s="39" t="s">
        <v>126</v>
      </c>
      <c r="BR46" s="43" t="s">
        <v>126</v>
      </c>
      <c r="BS46" s="43" t="s">
        <v>126</v>
      </c>
      <c r="BT46" s="43" t="s">
        <v>126</v>
      </c>
      <c r="BU46" s="36" t="s">
        <v>126</v>
      </c>
      <c r="BV46" s="39" t="s">
        <v>126</v>
      </c>
      <c r="BW46" s="43" t="s">
        <v>126</v>
      </c>
      <c r="BX46" s="43" t="s">
        <v>126</v>
      </c>
      <c r="BY46" s="43" t="s">
        <v>126</v>
      </c>
      <c r="BZ46" s="36" t="s">
        <v>126</v>
      </c>
      <c r="CA46" s="39" t="s">
        <v>126</v>
      </c>
      <c r="CB46" s="43" t="s">
        <v>126</v>
      </c>
      <c r="CC46" s="43" t="s">
        <v>126</v>
      </c>
      <c r="CD46" s="43" t="s">
        <v>126</v>
      </c>
      <c r="CE46" s="36" t="s">
        <v>126</v>
      </c>
      <c r="CF46" s="39" t="s">
        <v>126</v>
      </c>
      <c r="CG46" s="43" t="s">
        <v>126</v>
      </c>
      <c r="CH46" s="43" t="s">
        <v>126</v>
      </c>
      <c r="CI46" s="43" t="s">
        <v>126</v>
      </c>
      <c r="CJ46" s="36" t="s">
        <v>126</v>
      </c>
      <c r="CK46" s="39" t="s">
        <v>126</v>
      </c>
      <c r="CL46" s="43" t="s">
        <v>126</v>
      </c>
      <c r="CM46" s="43" t="s">
        <v>126</v>
      </c>
      <c r="CN46" s="43" t="s">
        <v>126</v>
      </c>
      <c r="CO46" s="36" t="s">
        <v>126</v>
      </c>
      <c r="CP46" s="39" t="s">
        <v>126</v>
      </c>
      <c r="CQ46" s="43" t="s">
        <v>126</v>
      </c>
      <c r="CR46" s="43" t="s">
        <v>126</v>
      </c>
      <c r="CS46" s="43" t="s">
        <v>126</v>
      </c>
      <c r="CT46" s="36" t="s">
        <v>126</v>
      </c>
      <c r="CU46" s="39" t="s">
        <v>126</v>
      </c>
      <c r="CV46" s="43" t="s">
        <v>126</v>
      </c>
      <c r="CW46" s="43" t="s">
        <v>126</v>
      </c>
      <c r="CX46" s="43" t="s">
        <v>126</v>
      </c>
      <c r="CY46" s="36" t="s">
        <v>126</v>
      </c>
      <c r="CZ46" s="39" t="s">
        <v>126</v>
      </c>
      <c r="DA46" s="43" t="s">
        <v>126</v>
      </c>
      <c r="DB46" s="43" t="s">
        <v>126</v>
      </c>
      <c r="DC46" s="43" t="s">
        <v>126</v>
      </c>
      <c r="DD46" s="36" t="s">
        <v>126</v>
      </c>
      <c r="DE46" s="39" t="s">
        <v>126</v>
      </c>
      <c r="DF46" s="43" t="s">
        <v>126</v>
      </c>
      <c r="DG46" s="43" t="s">
        <v>126</v>
      </c>
      <c r="DH46" s="43" t="s">
        <v>126</v>
      </c>
      <c r="DI46" s="36" t="s">
        <v>126</v>
      </c>
    </row>
    <row r="47" spans="1:132" ht="12" hidden="1" customHeight="1" outlineLevel="1">
      <c r="A47" s="219"/>
      <c r="B47" s="74" t="s">
        <v>89</v>
      </c>
      <c r="C47" s="39" t="s">
        <v>1</v>
      </c>
      <c r="D47" s="40" t="s">
        <v>1</v>
      </c>
      <c r="E47" s="39" t="s">
        <v>1</v>
      </c>
      <c r="F47" s="40" t="s">
        <v>1</v>
      </c>
      <c r="G47" s="39" t="s">
        <v>1</v>
      </c>
      <c r="H47" s="40" t="s">
        <v>1</v>
      </c>
      <c r="I47" s="39" t="s">
        <v>1</v>
      </c>
      <c r="J47" s="40" t="s">
        <v>1</v>
      </c>
      <c r="K47" s="39" t="s">
        <v>1</v>
      </c>
      <c r="L47" s="40" t="s">
        <v>1</v>
      </c>
      <c r="M47" s="39" t="s">
        <v>1</v>
      </c>
      <c r="N47" s="40" t="s">
        <v>1</v>
      </c>
      <c r="O47" s="40" t="s">
        <v>1</v>
      </c>
      <c r="P47" s="43">
        <v>575.20000000000005</v>
      </c>
      <c r="Q47" s="36">
        <v>637.09999999999991</v>
      </c>
      <c r="R47" s="43">
        <v>164</v>
      </c>
      <c r="S47" s="43">
        <v>174</v>
      </c>
      <c r="T47" s="43">
        <v>213</v>
      </c>
      <c r="U47" s="43">
        <v>226</v>
      </c>
      <c r="V47" s="36">
        <f t="shared" si="46"/>
        <v>777</v>
      </c>
      <c r="W47" s="43">
        <v>171</v>
      </c>
      <c r="X47" s="43">
        <v>220</v>
      </c>
      <c r="Y47" s="43">
        <v>273</v>
      </c>
      <c r="Z47" s="43">
        <v>247</v>
      </c>
      <c r="AA47" s="36">
        <f t="shared" si="47"/>
        <v>911</v>
      </c>
      <c r="AB47" s="36"/>
      <c r="AC47" s="43">
        <v>165</v>
      </c>
      <c r="AD47" s="43">
        <v>187</v>
      </c>
      <c r="AE47" s="43">
        <v>218</v>
      </c>
      <c r="AF47" s="43">
        <v>243</v>
      </c>
      <c r="AG47" s="36">
        <f t="shared" si="48"/>
        <v>813</v>
      </c>
      <c r="AH47" s="43">
        <v>170</v>
      </c>
      <c r="AI47" s="369">
        <v>197</v>
      </c>
      <c r="AJ47" s="43">
        <v>234</v>
      </c>
      <c r="AK47" s="43">
        <v>215</v>
      </c>
      <c r="AL47" s="36">
        <f t="shared" si="49"/>
        <v>816</v>
      </c>
      <c r="AM47" s="369">
        <v>218</v>
      </c>
      <c r="AN47" s="43">
        <v>258</v>
      </c>
      <c r="AO47" s="43">
        <v>251</v>
      </c>
      <c r="AP47" s="43">
        <v>266</v>
      </c>
      <c r="AQ47" s="36">
        <f t="shared" si="50"/>
        <v>993</v>
      </c>
      <c r="AR47" s="43">
        <v>330</v>
      </c>
      <c r="AS47" s="43">
        <v>327</v>
      </c>
      <c r="AT47" s="43">
        <v>358</v>
      </c>
      <c r="AU47" s="43">
        <v>357</v>
      </c>
      <c r="AV47" s="36">
        <f t="shared" si="51"/>
        <v>1372</v>
      </c>
      <c r="AW47" s="43">
        <v>371</v>
      </c>
      <c r="AX47" s="43">
        <v>375</v>
      </c>
      <c r="AY47" s="43">
        <v>381</v>
      </c>
      <c r="AZ47" s="43">
        <v>380</v>
      </c>
      <c r="BA47" s="36">
        <f t="shared" si="52"/>
        <v>1507</v>
      </c>
      <c r="BB47" s="39" t="s">
        <v>126</v>
      </c>
      <c r="BC47" s="43" t="s">
        <v>126</v>
      </c>
      <c r="BD47" s="43" t="s">
        <v>126</v>
      </c>
      <c r="BE47" s="43" t="s">
        <v>126</v>
      </c>
      <c r="BF47" s="36" t="s">
        <v>126</v>
      </c>
      <c r="BG47" s="39" t="s">
        <v>126</v>
      </c>
      <c r="BH47" s="43" t="s">
        <v>126</v>
      </c>
      <c r="BI47" s="43" t="s">
        <v>126</v>
      </c>
      <c r="BJ47" s="43" t="s">
        <v>126</v>
      </c>
      <c r="BK47" s="36" t="s">
        <v>126</v>
      </c>
      <c r="BL47" s="39" t="s">
        <v>126</v>
      </c>
      <c r="BM47" s="43" t="s">
        <v>126</v>
      </c>
      <c r="BN47" s="43" t="s">
        <v>126</v>
      </c>
      <c r="BO47" s="43" t="s">
        <v>126</v>
      </c>
      <c r="BP47" s="36" t="s">
        <v>126</v>
      </c>
      <c r="BQ47" s="39" t="s">
        <v>126</v>
      </c>
      <c r="BR47" s="43" t="s">
        <v>126</v>
      </c>
      <c r="BS47" s="43" t="s">
        <v>126</v>
      </c>
      <c r="BT47" s="43" t="s">
        <v>126</v>
      </c>
      <c r="BU47" s="36" t="s">
        <v>126</v>
      </c>
      <c r="BV47" s="39" t="s">
        <v>126</v>
      </c>
      <c r="BW47" s="43" t="s">
        <v>126</v>
      </c>
      <c r="BX47" s="43" t="s">
        <v>126</v>
      </c>
      <c r="BY47" s="43" t="s">
        <v>126</v>
      </c>
      <c r="BZ47" s="36" t="s">
        <v>126</v>
      </c>
      <c r="CA47" s="39" t="s">
        <v>126</v>
      </c>
      <c r="CB47" s="43" t="s">
        <v>126</v>
      </c>
      <c r="CC47" s="43" t="s">
        <v>126</v>
      </c>
      <c r="CD47" s="43" t="s">
        <v>126</v>
      </c>
      <c r="CE47" s="36" t="s">
        <v>126</v>
      </c>
      <c r="CF47" s="39" t="s">
        <v>126</v>
      </c>
      <c r="CG47" s="43" t="s">
        <v>126</v>
      </c>
      <c r="CH47" s="43" t="s">
        <v>126</v>
      </c>
      <c r="CI47" s="43" t="s">
        <v>126</v>
      </c>
      <c r="CJ47" s="36" t="s">
        <v>126</v>
      </c>
      <c r="CK47" s="39" t="s">
        <v>126</v>
      </c>
      <c r="CL47" s="43" t="s">
        <v>126</v>
      </c>
      <c r="CM47" s="43" t="s">
        <v>126</v>
      </c>
      <c r="CN47" s="43" t="s">
        <v>126</v>
      </c>
      <c r="CO47" s="36" t="s">
        <v>126</v>
      </c>
      <c r="CP47" s="39" t="s">
        <v>126</v>
      </c>
      <c r="CQ47" s="43" t="s">
        <v>126</v>
      </c>
      <c r="CR47" s="43" t="s">
        <v>126</v>
      </c>
      <c r="CS47" s="43" t="s">
        <v>126</v>
      </c>
      <c r="CT47" s="36" t="s">
        <v>126</v>
      </c>
      <c r="CU47" s="39" t="s">
        <v>126</v>
      </c>
      <c r="CV47" s="43" t="s">
        <v>126</v>
      </c>
      <c r="CW47" s="43" t="s">
        <v>126</v>
      </c>
      <c r="CX47" s="43" t="s">
        <v>126</v>
      </c>
      <c r="CY47" s="36" t="s">
        <v>126</v>
      </c>
      <c r="CZ47" s="39" t="s">
        <v>126</v>
      </c>
      <c r="DA47" s="43" t="s">
        <v>126</v>
      </c>
      <c r="DB47" s="43" t="s">
        <v>126</v>
      </c>
      <c r="DC47" s="43" t="s">
        <v>126</v>
      </c>
      <c r="DD47" s="36" t="s">
        <v>126</v>
      </c>
      <c r="DE47" s="39" t="s">
        <v>126</v>
      </c>
      <c r="DF47" s="43" t="s">
        <v>126</v>
      </c>
      <c r="DG47" s="43" t="s">
        <v>126</v>
      </c>
      <c r="DH47" s="43" t="s">
        <v>126</v>
      </c>
      <c r="DI47" s="36" t="s">
        <v>126</v>
      </c>
    </row>
    <row r="48" spans="1:132" ht="12" hidden="1" customHeight="1" outlineLevel="1">
      <c r="A48" s="219"/>
      <c r="B48" s="74" t="s">
        <v>90</v>
      </c>
      <c r="C48" s="39" t="s">
        <v>1</v>
      </c>
      <c r="D48" s="40" t="s">
        <v>1</v>
      </c>
      <c r="E48" s="39" t="s">
        <v>1</v>
      </c>
      <c r="F48" s="40" t="s">
        <v>1</v>
      </c>
      <c r="G48" s="39" t="s">
        <v>1</v>
      </c>
      <c r="H48" s="40" t="s">
        <v>1</v>
      </c>
      <c r="I48" s="39" t="s">
        <v>1</v>
      </c>
      <c r="J48" s="40" t="s">
        <v>1</v>
      </c>
      <c r="K48" s="39" t="s">
        <v>1</v>
      </c>
      <c r="L48" s="40" t="s">
        <v>1</v>
      </c>
      <c r="M48" s="39" t="s">
        <v>1</v>
      </c>
      <c r="N48" s="40" t="s">
        <v>1</v>
      </c>
      <c r="O48" s="40" t="s">
        <v>1</v>
      </c>
      <c r="P48" s="43">
        <v>205.39999999999998</v>
      </c>
      <c r="Q48" s="36">
        <v>180.3</v>
      </c>
      <c r="R48" s="43">
        <v>27</v>
      </c>
      <c r="S48" s="43">
        <v>36</v>
      </c>
      <c r="T48" s="43">
        <v>31</v>
      </c>
      <c r="U48" s="43">
        <v>20</v>
      </c>
      <c r="V48" s="36">
        <f t="shared" si="46"/>
        <v>114</v>
      </c>
      <c r="W48" s="43">
        <v>34</v>
      </c>
      <c r="X48" s="43">
        <v>35</v>
      </c>
      <c r="Y48" s="43">
        <v>24</v>
      </c>
      <c r="Z48" s="43">
        <v>43</v>
      </c>
      <c r="AA48" s="36">
        <f t="shared" si="47"/>
        <v>136</v>
      </c>
      <c r="AB48" s="36"/>
      <c r="AC48" s="43">
        <v>23</v>
      </c>
      <c r="AD48" s="43">
        <v>45</v>
      </c>
      <c r="AE48" s="43">
        <v>24</v>
      </c>
      <c r="AF48" s="43">
        <v>47</v>
      </c>
      <c r="AG48" s="36">
        <f t="shared" si="48"/>
        <v>139</v>
      </c>
      <c r="AH48" s="43">
        <v>24</v>
      </c>
      <c r="AI48" s="369">
        <v>47</v>
      </c>
      <c r="AJ48" s="43">
        <v>21</v>
      </c>
      <c r="AK48" s="43">
        <v>39</v>
      </c>
      <c r="AL48" s="36">
        <f t="shared" si="49"/>
        <v>131</v>
      </c>
      <c r="AM48" s="369">
        <v>11</v>
      </c>
      <c r="AN48" s="43">
        <v>29</v>
      </c>
      <c r="AO48" s="43">
        <v>22</v>
      </c>
      <c r="AP48" s="43">
        <v>38</v>
      </c>
      <c r="AQ48" s="36">
        <f t="shared" si="50"/>
        <v>100</v>
      </c>
      <c r="AR48" s="43">
        <v>36</v>
      </c>
      <c r="AS48" s="43">
        <v>47</v>
      </c>
      <c r="AT48" s="43">
        <v>36</v>
      </c>
      <c r="AU48" s="43">
        <v>55</v>
      </c>
      <c r="AV48" s="36">
        <f t="shared" si="51"/>
        <v>174</v>
      </c>
      <c r="AW48" s="43">
        <v>50</v>
      </c>
      <c r="AX48" s="43">
        <v>48</v>
      </c>
      <c r="AY48" s="43">
        <v>49</v>
      </c>
      <c r="AZ48" s="43">
        <v>77</v>
      </c>
      <c r="BA48" s="36">
        <f t="shared" si="52"/>
        <v>224</v>
      </c>
      <c r="BB48" s="39" t="s">
        <v>126</v>
      </c>
      <c r="BC48" s="43" t="s">
        <v>126</v>
      </c>
      <c r="BD48" s="43" t="s">
        <v>126</v>
      </c>
      <c r="BE48" s="43" t="s">
        <v>126</v>
      </c>
      <c r="BF48" s="36" t="s">
        <v>126</v>
      </c>
      <c r="BG48" s="39" t="s">
        <v>126</v>
      </c>
      <c r="BH48" s="43" t="s">
        <v>126</v>
      </c>
      <c r="BI48" s="43" t="s">
        <v>126</v>
      </c>
      <c r="BJ48" s="43" t="s">
        <v>126</v>
      </c>
      <c r="BK48" s="36" t="s">
        <v>126</v>
      </c>
      <c r="BL48" s="39" t="s">
        <v>126</v>
      </c>
      <c r="BM48" s="43" t="s">
        <v>126</v>
      </c>
      <c r="BN48" s="43" t="s">
        <v>126</v>
      </c>
      <c r="BO48" s="43" t="s">
        <v>126</v>
      </c>
      <c r="BP48" s="36" t="s">
        <v>126</v>
      </c>
      <c r="BQ48" s="39" t="s">
        <v>126</v>
      </c>
      <c r="BR48" s="43" t="s">
        <v>126</v>
      </c>
      <c r="BS48" s="43" t="s">
        <v>126</v>
      </c>
      <c r="BT48" s="43" t="s">
        <v>126</v>
      </c>
      <c r="BU48" s="36" t="s">
        <v>126</v>
      </c>
      <c r="BV48" s="39" t="s">
        <v>126</v>
      </c>
      <c r="BW48" s="43" t="s">
        <v>126</v>
      </c>
      <c r="BX48" s="43" t="s">
        <v>126</v>
      </c>
      <c r="BY48" s="43" t="s">
        <v>126</v>
      </c>
      <c r="BZ48" s="36" t="s">
        <v>126</v>
      </c>
      <c r="CA48" s="39" t="s">
        <v>126</v>
      </c>
      <c r="CB48" s="43" t="s">
        <v>126</v>
      </c>
      <c r="CC48" s="43" t="s">
        <v>126</v>
      </c>
      <c r="CD48" s="43" t="s">
        <v>126</v>
      </c>
      <c r="CE48" s="36" t="s">
        <v>126</v>
      </c>
      <c r="CF48" s="39" t="s">
        <v>126</v>
      </c>
      <c r="CG48" s="43" t="s">
        <v>126</v>
      </c>
      <c r="CH48" s="43" t="s">
        <v>126</v>
      </c>
      <c r="CI48" s="43" t="s">
        <v>126</v>
      </c>
      <c r="CJ48" s="36" t="s">
        <v>126</v>
      </c>
      <c r="CK48" s="39" t="s">
        <v>126</v>
      </c>
      <c r="CL48" s="43" t="s">
        <v>126</v>
      </c>
      <c r="CM48" s="43" t="s">
        <v>126</v>
      </c>
      <c r="CN48" s="43" t="s">
        <v>126</v>
      </c>
      <c r="CO48" s="36" t="s">
        <v>126</v>
      </c>
      <c r="CP48" s="39" t="s">
        <v>126</v>
      </c>
      <c r="CQ48" s="43" t="s">
        <v>126</v>
      </c>
      <c r="CR48" s="43" t="s">
        <v>126</v>
      </c>
      <c r="CS48" s="43" t="s">
        <v>126</v>
      </c>
      <c r="CT48" s="36" t="s">
        <v>126</v>
      </c>
      <c r="CU48" s="39" t="s">
        <v>126</v>
      </c>
      <c r="CV48" s="43" t="s">
        <v>126</v>
      </c>
      <c r="CW48" s="43" t="s">
        <v>126</v>
      </c>
      <c r="CX48" s="43" t="s">
        <v>126</v>
      </c>
      <c r="CY48" s="36" t="s">
        <v>126</v>
      </c>
      <c r="CZ48" s="39" t="s">
        <v>126</v>
      </c>
      <c r="DA48" s="43" t="s">
        <v>126</v>
      </c>
      <c r="DB48" s="43" t="s">
        <v>126</v>
      </c>
      <c r="DC48" s="43" t="s">
        <v>126</v>
      </c>
      <c r="DD48" s="36" t="s">
        <v>126</v>
      </c>
      <c r="DE48" s="39" t="s">
        <v>126</v>
      </c>
      <c r="DF48" s="43" t="s">
        <v>126</v>
      </c>
      <c r="DG48" s="43" t="s">
        <v>126</v>
      </c>
      <c r="DH48" s="43" t="s">
        <v>126</v>
      </c>
      <c r="DI48" s="36" t="s">
        <v>126</v>
      </c>
    </row>
    <row r="49" spans="1:148" ht="12" hidden="1" customHeight="1" outlineLevel="1">
      <c r="A49" s="219"/>
      <c r="B49" s="74" t="s">
        <v>91</v>
      </c>
      <c r="C49" s="39" t="s">
        <v>1</v>
      </c>
      <c r="D49" s="40" t="s">
        <v>1</v>
      </c>
      <c r="E49" s="39" t="s">
        <v>1</v>
      </c>
      <c r="F49" s="40" t="s">
        <v>1</v>
      </c>
      <c r="G49" s="39" t="s">
        <v>1</v>
      </c>
      <c r="H49" s="40" t="s">
        <v>1</v>
      </c>
      <c r="I49" s="39" t="s">
        <v>1</v>
      </c>
      <c r="J49" s="40" t="s">
        <v>1</v>
      </c>
      <c r="K49" s="39" t="s">
        <v>1</v>
      </c>
      <c r="L49" s="40" t="s">
        <v>1</v>
      </c>
      <c r="M49" s="39" t="s">
        <v>1</v>
      </c>
      <c r="N49" s="40" t="s">
        <v>1</v>
      </c>
      <c r="O49" s="40" t="s">
        <v>1</v>
      </c>
      <c r="P49" s="43">
        <v>342.6</v>
      </c>
      <c r="Q49" s="36">
        <v>492.6</v>
      </c>
      <c r="R49" s="43">
        <v>124</v>
      </c>
      <c r="S49" s="43">
        <v>194</v>
      </c>
      <c r="T49" s="43">
        <v>173</v>
      </c>
      <c r="U49" s="43">
        <v>197</v>
      </c>
      <c r="V49" s="36">
        <f t="shared" si="46"/>
        <v>688</v>
      </c>
      <c r="W49" s="43">
        <v>190</v>
      </c>
      <c r="X49" s="43">
        <v>247</v>
      </c>
      <c r="Y49" s="43">
        <v>215</v>
      </c>
      <c r="Z49" s="43">
        <v>201</v>
      </c>
      <c r="AA49" s="36">
        <f t="shared" si="47"/>
        <v>853</v>
      </c>
      <c r="AB49" s="36"/>
      <c r="AC49" s="43">
        <v>221</v>
      </c>
      <c r="AD49" s="43">
        <v>298</v>
      </c>
      <c r="AE49" s="43">
        <v>216</v>
      </c>
      <c r="AF49" s="43">
        <v>253</v>
      </c>
      <c r="AG49" s="36">
        <f t="shared" si="48"/>
        <v>988</v>
      </c>
      <c r="AH49" s="43">
        <v>210</v>
      </c>
      <c r="AI49" s="369">
        <v>243</v>
      </c>
      <c r="AJ49" s="43">
        <v>228</v>
      </c>
      <c r="AK49" s="43">
        <v>271</v>
      </c>
      <c r="AL49" s="36">
        <f t="shared" si="49"/>
        <v>952</v>
      </c>
      <c r="AM49" s="369">
        <v>156</v>
      </c>
      <c r="AN49" s="43">
        <v>236</v>
      </c>
      <c r="AO49" s="43">
        <v>234</v>
      </c>
      <c r="AP49" s="43">
        <v>192</v>
      </c>
      <c r="AQ49" s="36">
        <f t="shared" si="50"/>
        <v>818</v>
      </c>
      <c r="AR49" s="43">
        <v>258</v>
      </c>
      <c r="AS49" s="43">
        <v>241</v>
      </c>
      <c r="AT49" s="43">
        <v>202</v>
      </c>
      <c r="AU49" s="43">
        <v>191</v>
      </c>
      <c r="AV49" s="36">
        <f t="shared" si="51"/>
        <v>892</v>
      </c>
      <c r="AW49" s="43">
        <v>171</v>
      </c>
      <c r="AX49" s="43">
        <v>237</v>
      </c>
      <c r="AY49" s="43">
        <v>193</v>
      </c>
      <c r="AZ49" s="43">
        <v>215</v>
      </c>
      <c r="BA49" s="36">
        <f t="shared" si="52"/>
        <v>816</v>
      </c>
      <c r="BB49" s="39" t="s">
        <v>126</v>
      </c>
      <c r="BC49" s="43" t="s">
        <v>126</v>
      </c>
      <c r="BD49" s="43" t="s">
        <v>126</v>
      </c>
      <c r="BE49" s="43" t="s">
        <v>126</v>
      </c>
      <c r="BF49" s="36" t="s">
        <v>126</v>
      </c>
      <c r="BG49" s="39" t="s">
        <v>126</v>
      </c>
      <c r="BH49" s="43" t="s">
        <v>126</v>
      </c>
      <c r="BI49" s="43" t="s">
        <v>126</v>
      </c>
      <c r="BJ49" s="43" t="s">
        <v>126</v>
      </c>
      <c r="BK49" s="36" t="s">
        <v>126</v>
      </c>
      <c r="BL49" s="39" t="s">
        <v>126</v>
      </c>
      <c r="BM49" s="43" t="s">
        <v>126</v>
      </c>
      <c r="BN49" s="43" t="s">
        <v>126</v>
      </c>
      <c r="BO49" s="43" t="s">
        <v>126</v>
      </c>
      <c r="BP49" s="36" t="s">
        <v>126</v>
      </c>
      <c r="BQ49" s="39" t="s">
        <v>126</v>
      </c>
      <c r="BR49" s="43" t="s">
        <v>126</v>
      </c>
      <c r="BS49" s="43" t="s">
        <v>126</v>
      </c>
      <c r="BT49" s="43" t="s">
        <v>126</v>
      </c>
      <c r="BU49" s="36" t="s">
        <v>126</v>
      </c>
      <c r="BV49" s="39" t="s">
        <v>126</v>
      </c>
      <c r="BW49" s="43" t="s">
        <v>126</v>
      </c>
      <c r="BX49" s="43" t="s">
        <v>126</v>
      </c>
      <c r="BY49" s="43" t="s">
        <v>126</v>
      </c>
      <c r="BZ49" s="36" t="s">
        <v>126</v>
      </c>
      <c r="CA49" s="39" t="s">
        <v>126</v>
      </c>
      <c r="CB49" s="43" t="s">
        <v>126</v>
      </c>
      <c r="CC49" s="43" t="s">
        <v>126</v>
      </c>
      <c r="CD49" s="43" t="s">
        <v>126</v>
      </c>
      <c r="CE49" s="36" t="s">
        <v>126</v>
      </c>
      <c r="CF49" s="39" t="s">
        <v>126</v>
      </c>
      <c r="CG49" s="43" t="s">
        <v>126</v>
      </c>
      <c r="CH49" s="43" t="s">
        <v>126</v>
      </c>
      <c r="CI49" s="43" t="s">
        <v>126</v>
      </c>
      <c r="CJ49" s="36" t="s">
        <v>126</v>
      </c>
      <c r="CK49" s="39" t="s">
        <v>126</v>
      </c>
      <c r="CL49" s="43" t="s">
        <v>126</v>
      </c>
      <c r="CM49" s="43" t="s">
        <v>126</v>
      </c>
      <c r="CN49" s="43" t="s">
        <v>126</v>
      </c>
      <c r="CO49" s="36" t="s">
        <v>126</v>
      </c>
      <c r="CP49" s="39" t="s">
        <v>126</v>
      </c>
      <c r="CQ49" s="43" t="s">
        <v>126</v>
      </c>
      <c r="CR49" s="43" t="s">
        <v>126</v>
      </c>
      <c r="CS49" s="43" t="s">
        <v>126</v>
      </c>
      <c r="CT49" s="36" t="s">
        <v>126</v>
      </c>
      <c r="CU49" s="39" t="s">
        <v>126</v>
      </c>
      <c r="CV49" s="43" t="s">
        <v>126</v>
      </c>
      <c r="CW49" s="43" t="s">
        <v>126</v>
      </c>
      <c r="CX49" s="43" t="s">
        <v>126</v>
      </c>
      <c r="CY49" s="36" t="s">
        <v>126</v>
      </c>
      <c r="CZ49" s="39" t="s">
        <v>126</v>
      </c>
      <c r="DA49" s="43" t="s">
        <v>126</v>
      </c>
      <c r="DB49" s="43" t="s">
        <v>126</v>
      </c>
      <c r="DC49" s="43" t="s">
        <v>126</v>
      </c>
      <c r="DD49" s="36" t="s">
        <v>126</v>
      </c>
      <c r="DE49" s="39" t="s">
        <v>126</v>
      </c>
      <c r="DF49" s="43" t="s">
        <v>126</v>
      </c>
      <c r="DG49" s="43" t="s">
        <v>126</v>
      </c>
      <c r="DH49" s="43" t="s">
        <v>126</v>
      </c>
      <c r="DI49" s="36" t="s">
        <v>126</v>
      </c>
    </row>
    <row r="50" spans="1:148" ht="12" hidden="1" customHeight="1" outlineLevel="1">
      <c r="A50" s="219"/>
      <c r="B50" s="74" t="s">
        <v>92</v>
      </c>
      <c r="C50" s="39" t="s">
        <v>1</v>
      </c>
      <c r="D50" s="40" t="s">
        <v>1</v>
      </c>
      <c r="E50" s="39" t="s">
        <v>1</v>
      </c>
      <c r="F50" s="40" t="s">
        <v>1</v>
      </c>
      <c r="G50" s="39" t="s">
        <v>1</v>
      </c>
      <c r="H50" s="40" t="s">
        <v>1</v>
      </c>
      <c r="I50" s="39" t="s">
        <v>1</v>
      </c>
      <c r="J50" s="40" t="s">
        <v>1</v>
      </c>
      <c r="K50" s="39" t="s">
        <v>1</v>
      </c>
      <c r="L50" s="40" t="s">
        <v>1</v>
      </c>
      <c r="M50" s="39" t="s">
        <v>1</v>
      </c>
      <c r="N50" s="40" t="s">
        <v>1</v>
      </c>
      <c r="O50" s="40" t="s">
        <v>1</v>
      </c>
      <c r="P50" s="43">
        <v>-811.5</v>
      </c>
      <c r="Q50" s="36">
        <v>-866.80000000000007</v>
      </c>
      <c r="R50" s="43">
        <v>-245</v>
      </c>
      <c r="S50" s="43">
        <v>-221</v>
      </c>
      <c r="T50" s="43">
        <v>-237</v>
      </c>
      <c r="U50" s="43">
        <v>-268</v>
      </c>
      <c r="V50" s="36">
        <f t="shared" si="46"/>
        <v>-971</v>
      </c>
      <c r="W50" s="43">
        <v>-261</v>
      </c>
      <c r="X50" s="43">
        <v>-273</v>
      </c>
      <c r="Y50" s="43">
        <v>-292</v>
      </c>
      <c r="Z50" s="43">
        <v>-351</v>
      </c>
      <c r="AA50" s="36">
        <f t="shared" si="47"/>
        <v>-1177</v>
      </c>
      <c r="AB50" s="36"/>
      <c r="AC50" s="43">
        <v>-456</v>
      </c>
      <c r="AD50" s="43">
        <v>-410</v>
      </c>
      <c r="AE50" s="43">
        <v>-414</v>
      </c>
      <c r="AF50" s="43">
        <v>-466</v>
      </c>
      <c r="AG50" s="36">
        <f t="shared" si="48"/>
        <v>-1746</v>
      </c>
      <c r="AH50" s="43">
        <v>-466</v>
      </c>
      <c r="AI50" s="369">
        <v>-462</v>
      </c>
      <c r="AJ50" s="43">
        <v>-528</v>
      </c>
      <c r="AK50" s="43">
        <v>-549</v>
      </c>
      <c r="AL50" s="36">
        <f t="shared" si="49"/>
        <v>-2005</v>
      </c>
      <c r="AM50" s="369">
        <v>-533</v>
      </c>
      <c r="AN50" s="43">
        <v>-554</v>
      </c>
      <c r="AO50" s="43">
        <v>-552</v>
      </c>
      <c r="AP50" s="43">
        <v>-627</v>
      </c>
      <c r="AQ50" s="36">
        <f t="shared" si="50"/>
        <v>-2266</v>
      </c>
      <c r="AR50" s="43">
        <v>-624</v>
      </c>
      <c r="AS50" s="43">
        <v>-625</v>
      </c>
      <c r="AT50" s="43">
        <v>-625</v>
      </c>
      <c r="AU50" s="43">
        <v>-722</v>
      </c>
      <c r="AV50" s="36">
        <f t="shared" si="51"/>
        <v>-2596</v>
      </c>
      <c r="AW50" s="43">
        <v>-771</v>
      </c>
      <c r="AX50" s="43">
        <v>-619</v>
      </c>
      <c r="AY50" s="43">
        <v>-598</v>
      </c>
      <c r="AZ50" s="43">
        <v>-689</v>
      </c>
      <c r="BA50" s="36">
        <f t="shared" si="52"/>
        <v>-2677</v>
      </c>
      <c r="BB50" s="39" t="s">
        <v>126</v>
      </c>
      <c r="BC50" s="43" t="s">
        <v>126</v>
      </c>
      <c r="BD50" s="43" t="s">
        <v>126</v>
      </c>
      <c r="BE50" s="43" t="s">
        <v>126</v>
      </c>
      <c r="BF50" s="36" t="s">
        <v>126</v>
      </c>
      <c r="BG50" s="39" t="s">
        <v>126</v>
      </c>
      <c r="BH50" s="43" t="s">
        <v>126</v>
      </c>
      <c r="BI50" s="43" t="s">
        <v>126</v>
      </c>
      <c r="BJ50" s="43" t="s">
        <v>126</v>
      </c>
      <c r="BK50" s="36" t="s">
        <v>126</v>
      </c>
      <c r="BL50" s="39" t="s">
        <v>126</v>
      </c>
      <c r="BM50" s="43" t="s">
        <v>126</v>
      </c>
      <c r="BN50" s="43" t="s">
        <v>126</v>
      </c>
      <c r="BO50" s="43" t="s">
        <v>126</v>
      </c>
      <c r="BP50" s="36" t="s">
        <v>126</v>
      </c>
      <c r="BQ50" s="39" t="s">
        <v>126</v>
      </c>
      <c r="BR50" s="43" t="s">
        <v>126</v>
      </c>
      <c r="BS50" s="43" t="s">
        <v>126</v>
      </c>
      <c r="BT50" s="43" t="s">
        <v>126</v>
      </c>
      <c r="BU50" s="36" t="s">
        <v>126</v>
      </c>
      <c r="BV50" s="39" t="s">
        <v>126</v>
      </c>
      <c r="BW50" s="43" t="s">
        <v>126</v>
      </c>
      <c r="BX50" s="43" t="s">
        <v>126</v>
      </c>
      <c r="BY50" s="43" t="s">
        <v>126</v>
      </c>
      <c r="BZ50" s="36" t="s">
        <v>126</v>
      </c>
      <c r="CA50" s="39" t="s">
        <v>126</v>
      </c>
      <c r="CB50" s="43" t="s">
        <v>126</v>
      </c>
      <c r="CC50" s="43" t="s">
        <v>126</v>
      </c>
      <c r="CD50" s="43" t="s">
        <v>126</v>
      </c>
      <c r="CE50" s="36" t="s">
        <v>126</v>
      </c>
      <c r="CF50" s="39" t="s">
        <v>126</v>
      </c>
      <c r="CG50" s="43" t="s">
        <v>126</v>
      </c>
      <c r="CH50" s="43" t="s">
        <v>126</v>
      </c>
      <c r="CI50" s="43" t="s">
        <v>126</v>
      </c>
      <c r="CJ50" s="36" t="s">
        <v>126</v>
      </c>
      <c r="CK50" s="39" t="s">
        <v>126</v>
      </c>
      <c r="CL50" s="43" t="s">
        <v>126</v>
      </c>
      <c r="CM50" s="43" t="s">
        <v>126</v>
      </c>
      <c r="CN50" s="43" t="s">
        <v>126</v>
      </c>
      <c r="CO50" s="36" t="s">
        <v>126</v>
      </c>
      <c r="CP50" s="39" t="s">
        <v>126</v>
      </c>
      <c r="CQ50" s="43" t="s">
        <v>126</v>
      </c>
      <c r="CR50" s="43" t="s">
        <v>126</v>
      </c>
      <c r="CS50" s="43" t="s">
        <v>126</v>
      </c>
      <c r="CT50" s="36" t="s">
        <v>126</v>
      </c>
      <c r="CU50" s="39" t="s">
        <v>126</v>
      </c>
      <c r="CV50" s="43" t="s">
        <v>126</v>
      </c>
      <c r="CW50" s="43" t="s">
        <v>126</v>
      </c>
      <c r="CX50" s="43" t="s">
        <v>126</v>
      </c>
      <c r="CY50" s="36" t="s">
        <v>126</v>
      </c>
      <c r="CZ50" s="39" t="s">
        <v>126</v>
      </c>
      <c r="DA50" s="43" t="s">
        <v>126</v>
      </c>
      <c r="DB50" s="43" t="s">
        <v>126</v>
      </c>
      <c r="DC50" s="43" t="s">
        <v>126</v>
      </c>
      <c r="DD50" s="36" t="s">
        <v>126</v>
      </c>
      <c r="DE50" s="39" t="s">
        <v>126</v>
      </c>
      <c r="DF50" s="43" t="s">
        <v>126</v>
      </c>
      <c r="DG50" s="43" t="s">
        <v>126</v>
      </c>
      <c r="DH50" s="43" t="s">
        <v>126</v>
      </c>
      <c r="DI50" s="36" t="s">
        <v>126</v>
      </c>
    </row>
    <row r="51" spans="1:148" s="4" customFormat="1" ht="12" hidden="1" customHeight="1" outlineLevel="1">
      <c r="A51" s="219"/>
      <c r="B51" s="75" t="s">
        <v>105</v>
      </c>
      <c r="C51" s="360" t="s">
        <v>1</v>
      </c>
      <c r="D51" s="361" t="s">
        <v>1</v>
      </c>
      <c r="E51" s="360" t="s">
        <v>1</v>
      </c>
      <c r="F51" s="361" t="s">
        <v>1</v>
      </c>
      <c r="G51" s="360" t="s">
        <v>1</v>
      </c>
      <c r="H51" s="361" t="s">
        <v>1</v>
      </c>
      <c r="I51" s="360" t="s">
        <v>1</v>
      </c>
      <c r="J51" s="361" t="s">
        <v>1</v>
      </c>
      <c r="K51" s="360" t="s">
        <v>1</v>
      </c>
      <c r="L51" s="361" t="s">
        <v>1</v>
      </c>
      <c r="M51" s="360" t="s">
        <v>1</v>
      </c>
      <c r="N51" s="361" t="s">
        <v>1</v>
      </c>
      <c r="O51" s="361" t="s">
        <v>1</v>
      </c>
      <c r="P51" s="363">
        <f t="shared" ref="P51:U51" si="53">SUM(P44:P50)</f>
        <v>3095.2</v>
      </c>
      <c r="Q51" s="364">
        <f t="shared" si="53"/>
        <v>3118.2</v>
      </c>
      <c r="R51" s="363">
        <f t="shared" si="53"/>
        <v>866</v>
      </c>
      <c r="S51" s="363">
        <f t="shared" si="53"/>
        <v>729</v>
      </c>
      <c r="T51" s="363">
        <f t="shared" si="53"/>
        <v>821</v>
      </c>
      <c r="U51" s="363">
        <f t="shared" si="53"/>
        <v>902</v>
      </c>
      <c r="V51" s="364">
        <f t="shared" si="46"/>
        <v>3318</v>
      </c>
      <c r="W51" s="363">
        <f>SUM(W44:W50)</f>
        <v>961</v>
      </c>
      <c r="X51" s="363">
        <f>SUM(X44:X50)</f>
        <v>772</v>
      </c>
      <c r="Y51" s="363">
        <f>SUM(Y44:Y50)</f>
        <v>925</v>
      </c>
      <c r="Z51" s="363">
        <f>SUM(Z44:Z50)</f>
        <v>903</v>
      </c>
      <c r="AA51" s="364">
        <f t="shared" si="47"/>
        <v>3561</v>
      </c>
      <c r="AB51" s="364"/>
      <c r="AC51" s="363">
        <f>SUM(AC44:AC50)</f>
        <v>864</v>
      </c>
      <c r="AD51" s="363">
        <f>SUM(AD44:AD50)</f>
        <v>832</v>
      </c>
      <c r="AE51" s="363">
        <f>SUM(AE44:AE50)</f>
        <v>940</v>
      </c>
      <c r="AF51" s="363">
        <f>SUM(AF44:AF50)</f>
        <v>1076</v>
      </c>
      <c r="AG51" s="364">
        <f t="shared" si="48"/>
        <v>3712</v>
      </c>
      <c r="AH51" s="363">
        <f>SUM(AH44:AH50)</f>
        <v>1097</v>
      </c>
      <c r="AI51" s="371">
        <f>SUM(AI44:AI50)</f>
        <v>845</v>
      </c>
      <c r="AJ51" s="363">
        <f>SUM(AJ44:AJ50)</f>
        <v>1038</v>
      </c>
      <c r="AK51" s="363">
        <f>SUM(AK44:AK50)</f>
        <v>1127</v>
      </c>
      <c r="AL51" s="364">
        <f t="shared" si="49"/>
        <v>4107</v>
      </c>
      <c r="AM51" s="371">
        <f>SUM(AM44:AM50)</f>
        <v>1294</v>
      </c>
      <c r="AN51" s="363">
        <f>SUM(AN44:AN50)</f>
        <v>1072</v>
      </c>
      <c r="AO51" s="363">
        <f>SUM(AO44:AO50)</f>
        <v>1170</v>
      </c>
      <c r="AP51" s="363">
        <f>SUM(AP44:AP50)</f>
        <v>1277</v>
      </c>
      <c r="AQ51" s="364">
        <f t="shared" si="50"/>
        <v>4813</v>
      </c>
      <c r="AR51" s="363">
        <f>SUM(AR44:AR50)</f>
        <v>1625</v>
      </c>
      <c r="AS51" s="363">
        <f>SUM(AS44:AS50)</f>
        <v>1255</v>
      </c>
      <c r="AT51" s="363">
        <f>SUM(AT44:AT50)</f>
        <v>1277</v>
      </c>
      <c r="AU51" s="363">
        <f>SUM(AU44:AU50)</f>
        <v>1171</v>
      </c>
      <c r="AV51" s="364">
        <f t="shared" si="51"/>
        <v>5328</v>
      </c>
      <c r="AW51" s="363">
        <f>SUM(AW44:AW50)</f>
        <v>1298</v>
      </c>
      <c r="AX51" s="363">
        <f>SUM(AX44:AX50)</f>
        <v>1247</v>
      </c>
      <c r="AY51" s="363">
        <f>SUM(AY44:AY50)</f>
        <v>1352</v>
      </c>
      <c r="AZ51" s="363">
        <f>SUM(AZ44:AZ50)</f>
        <v>1295</v>
      </c>
      <c r="BA51" s="364">
        <f t="shared" si="52"/>
        <v>5192</v>
      </c>
      <c r="BB51" s="360" t="s">
        <v>126</v>
      </c>
      <c r="BC51" s="363" t="s">
        <v>126</v>
      </c>
      <c r="BD51" s="363" t="s">
        <v>126</v>
      </c>
      <c r="BE51" s="363" t="s">
        <v>126</v>
      </c>
      <c r="BF51" s="364" t="s">
        <v>126</v>
      </c>
      <c r="BG51" s="360" t="s">
        <v>126</v>
      </c>
      <c r="BH51" s="363" t="s">
        <v>126</v>
      </c>
      <c r="BI51" s="363" t="s">
        <v>126</v>
      </c>
      <c r="BJ51" s="363" t="s">
        <v>126</v>
      </c>
      <c r="BK51" s="364" t="s">
        <v>126</v>
      </c>
      <c r="BL51" s="360" t="s">
        <v>126</v>
      </c>
      <c r="BM51" s="363" t="s">
        <v>126</v>
      </c>
      <c r="BN51" s="363" t="s">
        <v>126</v>
      </c>
      <c r="BO51" s="363" t="s">
        <v>126</v>
      </c>
      <c r="BP51" s="364" t="s">
        <v>126</v>
      </c>
      <c r="BQ51" s="360" t="s">
        <v>126</v>
      </c>
      <c r="BR51" s="363" t="s">
        <v>126</v>
      </c>
      <c r="BS51" s="363" t="s">
        <v>126</v>
      </c>
      <c r="BT51" s="363" t="s">
        <v>126</v>
      </c>
      <c r="BU51" s="364" t="s">
        <v>126</v>
      </c>
      <c r="BV51" s="360" t="s">
        <v>126</v>
      </c>
      <c r="BW51" s="363" t="s">
        <v>126</v>
      </c>
      <c r="BX51" s="363" t="s">
        <v>126</v>
      </c>
      <c r="BY51" s="363" t="s">
        <v>126</v>
      </c>
      <c r="BZ51" s="364" t="s">
        <v>126</v>
      </c>
      <c r="CA51" s="360" t="s">
        <v>126</v>
      </c>
      <c r="CB51" s="363" t="s">
        <v>126</v>
      </c>
      <c r="CC51" s="363" t="s">
        <v>126</v>
      </c>
      <c r="CD51" s="363" t="s">
        <v>126</v>
      </c>
      <c r="CE51" s="364" t="s">
        <v>126</v>
      </c>
      <c r="CF51" s="360" t="s">
        <v>126</v>
      </c>
      <c r="CG51" s="363" t="s">
        <v>126</v>
      </c>
      <c r="CH51" s="363" t="s">
        <v>126</v>
      </c>
      <c r="CI51" s="363" t="s">
        <v>126</v>
      </c>
      <c r="CJ51" s="364" t="s">
        <v>126</v>
      </c>
      <c r="CK51" s="360" t="s">
        <v>126</v>
      </c>
      <c r="CL51" s="363" t="s">
        <v>126</v>
      </c>
      <c r="CM51" s="363" t="s">
        <v>126</v>
      </c>
      <c r="CN51" s="363" t="s">
        <v>126</v>
      </c>
      <c r="CO51" s="364" t="s">
        <v>126</v>
      </c>
      <c r="CP51" s="360" t="s">
        <v>126</v>
      </c>
      <c r="CQ51" s="363" t="s">
        <v>126</v>
      </c>
      <c r="CR51" s="363" t="s">
        <v>126</v>
      </c>
      <c r="CS51" s="363" t="s">
        <v>126</v>
      </c>
      <c r="CT51" s="364" t="s">
        <v>126</v>
      </c>
      <c r="CU51" s="360" t="s">
        <v>126</v>
      </c>
      <c r="CV51" s="363" t="s">
        <v>126</v>
      </c>
      <c r="CW51" s="363" t="s">
        <v>126</v>
      </c>
      <c r="CX51" s="363" t="s">
        <v>126</v>
      </c>
      <c r="CY51" s="364" t="s">
        <v>126</v>
      </c>
      <c r="CZ51" s="360" t="s">
        <v>126</v>
      </c>
      <c r="DA51" s="363" t="s">
        <v>126</v>
      </c>
      <c r="DB51" s="363" t="s">
        <v>126</v>
      </c>
      <c r="DC51" s="363" t="s">
        <v>126</v>
      </c>
      <c r="DD51" s="364" t="s">
        <v>126</v>
      </c>
      <c r="DE51" s="360" t="s">
        <v>126</v>
      </c>
      <c r="DF51" s="363" t="s">
        <v>126</v>
      </c>
      <c r="DG51" s="363" t="s">
        <v>126</v>
      </c>
      <c r="DH51" s="363" t="s">
        <v>126</v>
      </c>
      <c r="DI51" s="364" t="s">
        <v>126</v>
      </c>
    </row>
    <row r="52" spans="1:148" ht="12" hidden="1" customHeight="1" outlineLevel="1">
      <c r="A52" s="219"/>
      <c r="B52" s="74" t="s">
        <v>93</v>
      </c>
      <c r="C52" s="39" t="s">
        <v>1</v>
      </c>
      <c r="D52" s="40" t="s">
        <v>1</v>
      </c>
      <c r="E52" s="39" t="s">
        <v>1</v>
      </c>
      <c r="F52" s="40" t="s">
        <v>1</v>
      </c>
      <c r="G52" s="39" t="s">
        <v>1</v>
      </c>
      <c r="H52" s="40" t="s">
        <v>1</v>
      </c>
      <c r="I52" s="39" t="s">
        <v>1</v>
      </c>
      <c r="J52" s="40" t="s">
        <v>1</v>
      </c>
      <c r="K52" s="39" t="s">
        <v>1</v>
      </c>
      <c r="L52" s="40" t="s">
        <v>1</v>
      </c>
      <c r="M52" s="39" t="s">
        <v>1</v>
      </c>
      <c r="N52" s="40" t="s">
        <v>1</v>
      </c>
      <c r="O52" s="40" t="s">
        <v>1</v>
      </c>
      <c r="P52" s="43">
        <f>-192.6+199.3+202</f>
        <v>208.70000000000002</v>
      </c>
      <c r="Q52" s="36">
        <v>299.39999999999998</v>
      </c>
      <c r="R52" s="43">
        <v>109</v>
      </c>
      <c r="S52" s="43">
        <v>59</v>
      </c>
      <c r="T52" s="43">
        <v>85</v>
      </c>
      <c r="U52" s="43">
        <v>82</v>
      </c>
      <c r="V52" s="36">
        <f t="shared" si="46"/>
        <v>335</v>
      </c>
      <c r="W52" s="43">
        <v>86</v>
      </c>
      <c r="X52" s="43">
        <v>57</v>
      </c>
      <c r="Y52" s="43">
        <v>87</v>
      </c>
      <c r="Z52" s="43">
        <v>111</v>
      </c>
      <c r="AA52" s="36">
        <f t="shared" si="47"/>
        <v>341</v>
      </c>
      <c r="AB52" s="36"/>
      <c r="AC52" s="43">
        <v>124</v>
      </c>
      <c r="AD52" s="43">
        <v>91</v>
      </c>
      <c r="AE52" s="43">
        <v>121</v>
      </c>
      <c r="AF52" s="43">
        <v>89</v>
      </c>
      <c r="AG52" s="36">
        <f t="shared" si="48"/>
        <v>425</v>
      </c>
      <c r="AH52" s="43">
        <v>169</v>
      </c>
      <c r="AI52" s="369">
        <v>100</v>
      </c>
      <c r="AJ52" s="43">
        <v>133</v>
      </c>
      <c r="AK52" s="43">
        <v>94</v>
      </c>
      <c r="AL52" s="36">
        <f t="shared" si="49"/>
        <v>496</v>
      </c>
      <c r="AM52" s="369">
        <v>186</v>
      </c>
      <c r="AN52" s="43">
        <v>88</v>
      </c>
      <c r="AO52" s="43">
        <v>163</v>
      </c>
      <c r="AP52" s="43">
        <v>80</v>
      </c>
      <c r="AQ52" s="36">
        <f t="shared" si="50"/>
        <v>517</v>
      </c>
      <c r="AR52" s="43">
        <v>147</v>
      </c>
      <c r="AS52" s="43">
        <v>85</v>
      </c>
      <c r="AT52" s="43">
        <v>127</v>
      </c>
      <c r="AU52" s="43">
        <v>128</v>
      </c>
      <c r="AV52" s="36">
        <f t="shared" si="51"/>
        <v>487</v>
      </c>
      <c r="AW52" s="43">
        <v>153</v>
      </c>
      <c r="AX52" s="43">
        <v>78</v>
      </c>
      <c r="AY52" s="43">
        <v>109</v>
      </c>
      <c r="AZ52" s="43">
        <v>137</v>
      </c>
      <c r="BA52" s="36">
        <f t="shared" si="52"/>
        <v>477</v>
      </c>
      <c r="BB52" s="39" t="s">
        <v>126</v>
      </c>
      <c r="BC52" s="43" t="s">
        <v>126</v>
      </c>
      <c r="BD52" s="43" t="s">
        <v>126</v>
      </c>
      <c r="BE52" s="43" t="s">
        <v>126</v>
      </c>
      <c r="BF52" s="36" t="s">
        <v>126</v>
      </c>
      <c r="BG52" s="39" t="s">
        <v>126</v>
      </c>
      <c r="BH52" s="43" t="s">
        <v>126</v>
      </c>
      <c r="BI52" s="43" t="s">
        <v>126</v>
      </c>
      <c r="BJ52" s="43" t="s">
        <v>126</v>
      </c>
      <c r="BK52" s="36" t="s">
        <v>126</v>
      </c>
      <c r="BL52" s="39" t="s">
        <v>126</v>
      </c>
      <c r="BM52" s="43" t="s">
        <v>126</v>
      </c>
      <c r="BN52" s="43" t="s">
        <v>126</v>
      </c>
      <c r="BO52" s="43" t="s">
        <v>126</v>
      </c>
      <c r="BP52" s="36" t="s">
        <v>126</v>
      </c>
      <c r="BQ52" s="39" t="s">
        <v>126</v>
      </c>
      <c r="BR52" s="43" t="s">
        <v>126</v>
      </c>
      <c r="BS52" s="43" t="s">
        <v>126</v>
      </c>
      <c r="BT52" s="43" t="s">
        <v>126</v>
      </c>
      <c r="BU52" s="36" t="s">
        <v>126</v>
      </c>
      <c r="BV52" s="39" t="s">
        <v>126</v>
      </c>
      <c r="BW52" s="43" t="s">
        <v>126</v>
      </c>
      <c r="BX52" s="43" t="s">
        <v>126</v>
      </c>
      <c r="BY52" s="43" t="s">
        <v>126</v>
      </c>
      <c r="BZ52" s="36" t="s">
        <v>126</v>
      </c>
      <c r="CA52" s="39" t="s">
        <v>126</v>
      </c>
      <c r="CB52" s="43" t="s">
        <v>126</v>
      </c>
      <c r="CC52" s="43" t="s">
        <v>126</v>
      </c>
      <c r="CD52" s="43" t="s">
        <v>126</v>
      </c>
      <c r="CE52" s="36" t="s">
        <v>126</v>
      </c>
      <c r="CF52" s="39" t="s">
        <v>126</v>
      </c>
      <c r="CG52" s="43" t="s">
        <v>126</v>
      </c>
      <c r="CH52" s="43" t="s">
        <v>126</v>
      </c>
      <c r="CI52" s="43" t="s">
        <v>126</v>
      </c>
      <c r="CJ52" s="36" t="s">
        <v>126</v>
      </c>
      <c r="CK52" s="39" t="s">
        <v>126</v>
      </c>
      <c r="CL52" s="43" t="s">
        <v>126</v>
      </c>
      <c r="CM52" s="43" t="s">
        <v>126</v>
      </c>
      <c r="CN52" s="43" t="s">
        <v>126</v>
      </c>
      <c r="CO52" s="36" t="s">
        <v>126</v>
      </c>
      <c r="CP52" s="39" t="s">
        <v>126</v>
      </c>
      <c r="CQ52" s="43" t="s">
        <v>126</v>
      </c>
      <c r="CR52" s="43" t="s">
        <v>126</v>
      </c>
      <c r="CS52" s="43" t="s">
        <v>126</v>
      </c>
      <c r="CT52" s="36" t="s">
        <v>126</v>
      </c>
      <c r="CU52" s="39" t="s">
        <v>126</v>
      </c>
      <c r="CV52" s="43" t="s">
        <v>126</v>
      </c>
      <c r="CW52" s="43" t="s">
        <v>126</v>
      </c>
      <c r="CX52" s="43" t="s">
        <v>126</v>
      </c>
      <c r="CY52" s="36" t="s">
        <v>126</v>
      </c>
      <c r="CZ52" s="39" t="s">
        <v>126</v>
      </c>
      <c r="DA52" s="43" t="s">
        <v>126</v>
      </c>
      <c r="DB52" s="43" t="s">
        <v>126</v>
      </c>
      <c r="DC52" s="43" t="s">
        <v>126</v>
      </c>
      <c r="DD52" s="36" t="s">
        <v>126</v>
      </c>
      <c r="DE52" s="39" t="s">
        <v>126</v>
      </c>
      <c r="DF52" s="43" t="s">
        <v>126</v>
      </c>
      <c r="DG52" s="43" t="s">
        <v>126</v>
      </c>
      <c r="DH52" s="43" t="s">
        <v>126</v>
      </c>
      <c r="DI52" s="36" t="s">
        <v>126</v>
      </c>
    </row>
    <row r="53" spans="1:148" ht="12" hidden="1" customHeight="1" outlineLevel="1">
      <c r="A53" s="219"/>
      <c r="B53" s="74" t="s">
        <v>94</v>
      </c>
      <c r="C53" s="39" t="s">
        <v>1</v>
      </c>
      <c r="D53" s="40" t="s">
        <v>1</v>
      </c>
      <c r="E53" s="39" t="s">
        <v>1</v>
      </c>
      <c r="F53" s="40" t="s">
        <v>1</v>
      </c>
      <c r="G53" s="39" t="s">
        <v>1</v>
      </c>
      <c r="H53" s="40" t="s">
        <v>1</v>
      </c>
      <c r="I53" s="39" t="s">
        <v>1</v>
      </c>
      <c r="J53" s="40" t="s">
        <v>1</v>
      </c>
      <c r="K53" s="39" t="s">
        <v>1</v>
      </c>
      <c r="L53" s="40" t="s">
        <v>1</v>
      </c>
      <c r="M53" s="39" t="s">
        <v>1</v>
      </c>
      <c r="N53" s="40" t="s">
        <v>1</v>
      </c>
      <c r="O53" s="40" t="s">
        <v>1</v>
      </c>
      <c r="P53" s="43">
        <v>-760.6</v>
      </c>
      <c r="Q53" s="36">
        <v>-894.4</v>
      </c>
      <c r="R53" s="43">
        <v>-221</v>
      </c>
      <c r="S53" s="43">
        <v>-178</v>
      </c>
      <c r="T53" s="43">
        <v>-199</v>
      </c>
      <c r="U53" s="43">
        <v>-207</v>
      </c>
      <c r="V53" s="36">
        <f t="shared" si="46"/>
        <v>-805</v>
      </c>
      <c r="W53" s="43">
        <v>-195</v>
      </c>
      <c r="X53" s="43">
        <v>-208</v>
      </c>
      <c r="Y53" s="43">
        <v>-242</v>
      </c>
      <c r="Z53" s="43">
        <v>-271</v>
      </c>
      <c r="AA53" s="36">
        <f t="shared" si="47"/>
        <v>-916</v>
      </c>
      <c r="AB53" s="36"/>
      <c r="AC53" s="43">
        <f>+AC76-AC51-AC52</f>
        <v>-196</v>
      </c>
      <c r="AD53" s="43">
        <f>+AD76-AD51-AD52</f>
        <v>-214</v>
      </c>
      <c r="AE53" s="43">
        <f>+AE76-AE51-AE52</f>
        <v>-207</v>
      </c>
      <c r="AF53" s="43">
        <f>+AF76-AF51-AF52</f>
        <v>-267</v>
      </c>
      <c r="AG53" s="36">
        <f t="shared" si="48"/>
        <v>-884</v>
      </c>
      <c r="AH53" s="43">
        <v>-218</v>
      </c>
      <c r="AI53" s="369">
        <v>-220</v>
      </c>
      <c r="AJ53" s="43">
        <v>-282</v>
      </c>
      <c r="AK53" s="43">
        <v>-301</v>
      </c>
      <c r="AL53" s="36">
        <f t="shared" si="49"/>
        <v>-1021</v>
      </c>
      <c r="AM53" s="369">
        <v>-242</v>
      </c>
      <c r="AN53" s="43">
        <v>-273</v>
      </c>
      <c r="AO53" s="43">
        <v>-281</v>
      </c>
      <c r="AP53" s="43">
        <v>-301</v>
      </c>
      <c r="AQ53" s="36">
        <f t="shared" si="50"/>
        <v>-1097</v>
      </c>
      <c r="AR53" s="43">
        <v>-323</v>
      </c>
      <c r="AS53" s="43">
        <v>-365</v>
      </c>
      <c r="AT53" s="43">
        <v>-264</v>
      </c>
      <c r="AU53" s="43">
        <v>-221</v>
      </c>
      <c r="AV53" s="36">
        <f t="shared" si="51"/>
        <v>-1173</v>
      </c>
      <c r="AW53" s="43">
        <v>-163</v>
      </c>
      <c r="AX53" s="43">
        <v>-196</v>
      </c>
      <c r="AY53" s="43">
        <v>-119</v>
      </c>
      <c r="AZ53" s="43">
        <v>-246</v>
      </c>
      <c r="BA53" s="36">
        <f t="shared" si="52"/>
        <v>-724</v>
      </c>
      <c r="BB53" s="39" t="s">
        <v>126</v>
      </c>
      <c r="BC53" s="43" t="s">
        <v>126</v>
      </c>
      <c r="BD53" s="43" t="s">
        <v>126</v>
      </c>
      <c r="BE53" s="43" t="s">
        <v>126</v>
      </c>
      <c r="BF53" s="36" t="s">
        <v>126</v>
      </c>
      <c r="BG53" s="39" t="s">
        <v>126</v>
      </c>
      <c r="BH53" s="43" t="s">
        <v>126</v>
      </c>
      <c r="BI53" s="43" t="s">
        <v>126</v>
      </c>
      <c r="BJ53" s="43" t="s">
        <v>126</v>
      </c>
      <c r="BK53" s="36" t="s">
        <v>126</v>
      </c>
      <c r="BL53" s="39" t="s">
        <v>126</v>
      </c>
      <c r="BM53" s="43" t="s">
        <v>126</v>
      </c>
      <c r="BN53" s="43" t="s">
        <v>126</v>
      </c>
      <c r="BO53" s="43" t="s">
        <v>126</v>
      </c>
      <c r="BP53" s="36" t="s">
        <v>126</v>
      </c>
      <c r="BQ53" s="39" t="s">
        <v>126</v>
      </c>
      <c r="BR53" s="43" t="s">
        <v>126</v>
      </c>
      <c r="BS53" s="43" t="s">
        <v>126</v>
      </c>
      <c r="BT53" s="43" t="s">
        <v>126</v>
      </c>
      <c r="BU53" s="36" t="s">
        <v>126</v>
      </c>
      <c r="BV53" s="39" t="s">
        <v>126</v>
      </c>
      <c r="BW53" s="43" t="s">
        <v>126</v>
      </c>
      <c r="BX53" s="43" t="s">
        <v>126</v>
      </c>
      <c r="BY53" s="43" t="s">
        <v>126</v>
      </c>
      <c r="BZ53" s="36" t="s">
        <v>126</v>
      </c>
      <c r="CA53" s="39" t="s">
        <v>126</v>
      </c>
      <c r="CB53" s="43" t="s">
        <v>126</v>
      </c>
      <c r="CC53" s="43" t="s">
        <v>126</v>
      </c>
      <c r="CD53" s="43" t="s">
        <v>126</v>
      </c>
      <c r="CE53" s="36" t="s">
        <v>126</v>
      </c>
      <c r="CF53" s="39" t="s">
        <v>126</v>
      </c>
      <c r="CG53" s="43" t="s">
        <v>126</v>
      </c>
      <c r="CH53" s="43" t="s">
        <v>126</v>
      </c>
      <c r="CI53" s="43" t="s">
        <v>126</v>
      </c>
      <c r="CJ53" s="36" t="s">
        <v>126</v>
      </c>
      <c r="CK53" s="39" t="s">
        <v>126</v>
      </c>
      <c r="CL53" s="43" t="s">
        <v>126</v>
      </c>
      <c r="CM53" s="43" t="s">
        <v>126</v>
      </c>
      <c r="CN53" s="43" t="s">
        <v>126</v>
      </c>
      <c r="CO53" s="36" t="s">
        <v>126</v>
      </c>
      <c r="CP53" s="39" t="s">
        <v>126</v>
      </c>
      <c r="CQ53" s="43" t="s">
        <v>126</v>
      </c>
      <c r="CR53" s="43" t="s">
        <v>126</v>
      </c>
      <c r="CS53" s="43" t="s">
        <v>126</v>
      </c>
      <c r="CT53" s="36" t="s">
        <v>126</v>
      </c>
      <c r="CU53" s="39" t="s">
        <v>126</v>
      </c>
      <c r="CV53" s="43" t="s">
        <v>126</v>
      </c>
      <c r="CW53" s="43" t="s">
        <v>126</v>
      </c>
      <c r="CX53" s="43" t="s">
        <v>126</v>
      </c>
      <c r="CY53" s="36" t="s">
        <v>126</v>
      </c>
      <c r="CZ53" s="39" t="s">
        <v>126</v>
      </c>
      <c r="DA53" s="43" t="s">
        <v>126</v>
      </c>
      <c r="DB53" s="43" t="s">
        <v>126</v>
      </c>
      <c r="DC53" s="43" t="s">
        <v>126</v>
      </c>
      <c r="DD53" s="36" t="s">
        <v>126</v>
      </c>
      <c r="DE53" s="39" t="s">
        <v>126</v>
      </c>
      <c r="DF53" s="43" t="s">
        <v>126</v>
      </c>
      <c r="DG53" s="43" t="s">
        <v>126</v>
      </c>
      <c r="DH53" s="43" t="s">
        <v>126</v>
      </c>
      <c r="DI53" s="36" t="s">
        <v>126</v>
      </c>
    </row>
    <row r="54" spans="1:148" ht="12" hidden="1" customHeight="1" outlineLevel="1">
      <c r="A54" s="219"/>
      <c r="B54" s="75" t="s">
        <v>5</v>
      </c>
      <c r="C54" s="39" t="s">
        <v>1</v>
      </c>
      <c r="D54" s="40" t="s">
        <v>1</v>
      </c>
      <c r="E54" s="39" t="s">
        <v>1</v>
      </c>
      <c r="F54" s="40" t="s">
        <v>1</v>
      </c>
      <c r="G54" s="39" t="s">
        <v>1</v>
      </c>
      <c r="H54" s="40" t="s">
        <v>1</v>
      </c>
      <c r="I54" s="39" t="s">
        <v>1</v>
      </c>
      <c r="J54" s="40" t="s">
        <v>1</v>
      </c>
      <c r="K54" s="39" t="s">
        <v>1</v>
      </c>
      <c r="L54" s="40" t="s">
        <v>1</v>
      </c>
      <c r="M54" s="39" t="s">
        <v>1</v>
      </c>
      <c r="N54" s="40" t="s">
        <v>1</v>
      </c>
      <c r="O54" s="40" t="s">
        <v>1</v>
      </c>
      <c r="P54" s="363">
        <f t="shared" ref="P54:U54" si="54">SUM(P51:P53)</f>
        <v>2543.2999999999997</v>
      </c>
      <c r="Q54" s="364">
        <f t="shared" si="54"/>
        <v>2523.1999999999998</v>
      </c>
      <c r="R54" s="363">
        <f t="shared" si="54"/>
        <v>754</v>
      </c>
      <c r="S54" s="363">
        <f t="shared" si="54"/>
        <v>610</v>
      </c>
      <c r="T54" s="363">
        <f t="shared" si="54"/>
        <v>707</v>
      </c>
      <c r="U54" s="363">
        <f t="shared" si="54"/>
        <v>777</v>
      </c>
      <c r="V54" s="364">
        <f t="shared" si="46"/>
        <v>2848</v>
      </c>
      <c r="W54" s="363">
        <f>SUM(W51:W53)</f>
        <v>852</v>
      </c>
      <c r="X54" s="363">
        <f>SUM(X51:X53)</f>
        <v>621</v>
      </c>
      <c r="Y54" s="363">
        <f>SUM(Y51:Y53)</f>
        <v>770</v>
      </c>
      <c r="Z54" s="363">
        <f>SUM(Z51:Z53)</f>
        <v>743</v>
      </c>
      <c r="AA54" s="364">
        <f t="shared" si="47"/>
        <v>2986</v>
      </c>
      <c r="AB54" s="364"/>
      <c r="AC54" s="363">
        <f>SUM(AC51:AC53)</f>
        <v>792</v>
      </c>
      <c r="AD54" s="363">
        <f>SUM(AD51:AD53)</f>
        <v>709</v>
      </c>
      <c r="AE54" s="363">
        <f>SUM(AE51:AE53)</f>
        <v>854</v>
      </c>
      <c r="AF54" s="363">
        <f>SUM(AF51:AF53)</f>
        <v>898</v>
      </c>
      <c r="AG54" s="364">
        <f t="shared" si="48"/>
        <v>3253</v>
      </c>
      <c r="AH54" s="363">
        <f>SUM(AH51:AH53)</f>
        <v>1048</v>
      </c>
      <c r="AI54" s="371">
        <f>SUM(AI51:AI53)</f>
        <v>725</v>
      </c>
      <c r="AJ54" s="363">
        <f>SUM(AJ51:AJ53)</f>
        <v>889</v>
      </c>
      <c r="AK54" s="363">
        <f>SUM(AK51:AK53)</f>
        <v>920</v>
      </c>
      <c r="AL54" s="364">
        <f t="shared" si="49"/>
        <v>3582</v>
      </c>
      <c r="AM54" s="371">
        <f>SUM(AM51:AM53)</f>
        <v>1238</v>
      </c>
      <c r="AN54" s="363">
        <f>SUM(AN51:AN53)</f>
        <v>887</v>
      </c>
      <c r="AO54" s="363">
        <f>SUM(AO51:AO53)</f>
        <v>1052</v>
      </c>
      <c r="AP54" s="363">
        <f>SUM(AP51:AP53)</f>
        <v>1056</v>
      </c>
      <c r="AQ54" s="364">
        <f t="shared" si="50"/>
        <v>4233</v>
      </c>
      <c r="AR54" s="363">
        <f>SUM(AR51:AR53)</f>
        <v>1449</v>
      </c>
      <c r="AS54" s="363">
        <f>SUM(AS51:AS53)</f>
        <v>975</v>
      </c>
      <c r="AT54" s="363">
        <f>SUM(AT51:AT53)</f>
        <v>1140</v>
      </c>
      <c r="AU54" s="363">
        <f>SUM(AU51:AU53)</f>
        <v>1078</v>
      </c>
      <c r="AV54" s="364">
        <f t="shared" si="51"/>
        <v>4642</v>
      </c>
      <c r="AW54" s="363">
        <f>SUM(AW51:AW53)</f>
        <v>1288</v>
      </c>
      <c r="AX54" s="363">
        <f>SUM(AX51:AX53)</f>
        <v>1129</v>
      </c>
      <c r="AY54" s="363">
        <f>SUM(AY51:AY53)</f>
        <v>1342</v>
      </c>
      <c r="AZ54" s="363">
        <f>SUM(AZ51:AZ53)</f>
        <v>1186</v>
      </c>
      <c r="BA54" s="364">
        <f t="shared" si="52"/>
        <v>4945</v>
      </c>
      <c r="BB54" s="39" t="s">
        <v>126</v>
      </c>
      <c r="BC54" s="43" t="s">
        <v>126</v>
      </c>
      <c r="BD54" s="43" t="s">
        <v>126</v>
      </c>
      <c r="BE54" s="43" t="s">
        <v>126</v>
      </c>
      <c r="BF54" s="36" t="s">
        <v>126</v>
      </c>
      <c r="BG54" s="39" t="s">
        <v>126</v>
      </c>
      <c r="BH54" s="43" t="s">
        <v>126</v>
      </c>
      <c r="BI54" s="43" t="s">
        <v>126</v>
      </c>
      <c r="BJ54" s="43" t="s">
        <v>126</v>
      </c>
      <c r="BK54" s="36" t="s">
        <v>126</v>
      </c>
      <c r="BL54" s="39" t="s">
        <v>126</v>
      </c>
      <c r="BM54" s="43" t="s">
        <v>126</v>
      </c>
      <c r="BN54" s="43" t="s">
        <v>126</v>
      </c>
      <c r="BO54" s="43" t="s">
        <v>126</v>
      </c>
      <c r="BP54" s="36" t="s">
        <v>126</v>
      </c>
      <c r="BQ54" s="39" t="s">
        <v>126</v>
      </c>
      <c r="BR54" s="43" t="s">
        <v>126</v>
      </c>
      <c r="BS54" s="43" t="s">
        <v>126</v>
      </c>
      <c r="BT54" s="43" t="s">
        <v>126</v>
      </c>
      <c r="BU54" s="36" t="s">
        <v>126</v>
      </c>
      <c r="BV54" s="39" t="s">
        <v>126</v>
      </c>
      <c r="BW54" s="43" t="s">
        <v>126</v>
      </c>
      <c r="BX54" s="43" t="s">
        <v>126</v>
      </c>
      <c r="BY54" s="43" t="s">
        <v>126</v>
      </c>
      <c r="BZ54" s="36" t="s">
        <v>126</v>
      </c>
      <c r="CA54" s="39" t="s">
        <v>126</v>
      </c>
      <c r="CB54" s="43" t="s">
        <v>126</v>
      </c>
      <c r="CC54" s="43" t="s">
        <v>126</v>
      </c>
      <c r="CD54" s="43" t="s">
        <v>126</v>
      </c>
      <c r="CE54" s="36" t="s">
        <v>126</v>
      </c>
      <c r="CF54" s="39" t="s">
        <v>126</v>
      </c>
      <c r="CG54" s="43" t="s">
        <v>126</v>
      </c>
      <c r="CH54" s="43" t="s">
        <v>126</v>
      </c>
      <c r="CI54" s="43" t="s">
        <v>126</v>
      </c>
      <c r="CJ54" s="36" t="s">
        <v>126</v>
      </c>
      <c r="CK54" s="39" t="s">
        <v>126</v>
      </c>
      <c r="CL54" s="43" t="s">
        <v>126</v>
      </c>
      <c r="CM54" s="43" t="s">
        <v>126</v>
      </c>
      <c r="CN54" s="43" t="s">
        <v>126</v>
      </c>
      <c r="CO54" s="36" t="s">
        <v>126</v>
      </c>
      <c r="CP54" s="39" t="s">
        <v>126</v>
      </c>
      <c r="CQ54" s="43" t="s">
        <v>126</v>
      </c>
      <c r="CR54" s="43" t="s">
        <v>126</v>
      </c>
      <c r="CS54" s="43" t="s">
        <v>126</v>
      </c>
      <c r="CT54" s="36" t="s">
        <v>126</v>
      </c>
      <c r="CU54" s="39" t="s">
        <v>126</v>
      </c>
      <c r="CV54" s="43" t="s">
        <v>126</v>
      </c>
      <c r="CW54" s="43" t="s">
        <v>126</v>
      </c>
      <c r="CX54" s="43" t="s">
        <v>126</v>
      </c>
      <c r="CY54" s="36" t="s">
        <v>126</v>
      </c>
      <c r="CZ54" s="39" t="s">
        <v>126</v>
      </c>
      <c r="DA54" s="43" t="s">
        <v>126</v>
      </c>
      <c r="DB54" s="43" t="s">
        <v>126</v>
      </c>
      <c r="DC54" s="43" t="s">
        <v>126</v>
      </c>
      <c r="DD54" s="36" t="s">
        <v>126</v>
      </c>
      <c r="DE54" s="39" t="s">
        <v>126</v>
      </c>
      <c r="DF54" s="43" t="s">
        <v>126</v>
      </c>
      <c r="DG54" s="43" t="s">
        <v>126</v>
      </c>
      <c r="DH54" s="43" t="s">
        <v>126</v>
      </c>
      <c r="DI54" s="36" t="s">
        <v>126</v>
      </c>
      <c r="DW54" s="373"/>
      <c r="DX54" s="373"/>
      <c r="DY54" s="373"/>
      <c r="DZ54" s="373"/>
      <c r="EA54" s="373"/>
      <c r="EB54" s="373"/>
      <c r="EC54" s="373"/>
      <c r="ED54" s="373"/>
      <c r="EE54" s="373"/>
      <c r="EF54" s="373"/>
      <c r="EG54" s="373"/>
      <c r="EH54" s="373"/>
      <c r="EI54" s="373"/>
      <c r="EJ54" s="373"/>
      <c r="EM54" s="373"/>
      <c r="EN54" s="373"/>
      <c r="EO54" s="373"/>
      <c r="EQ54" s="373"/>
      <c r="ER54" s="373"/>
    </row>
    <row r="55" spans="1:148" ht="12" customHeight="1" collapsed="1">
      <c r="A55" s="219"/>
      <c r="B55" s="74"/>
      <c r="C55" s="9"/>
      <c r="D55" s="41"/>
      <c r="E55" s="9"/>
      <c r="F55" s="41"/>
      <c r="G55" s="9"/>
      <c r="H55" s="41"/>
      <c r="I55" s="9"/>
      <c r="J55" s="41"/>
      <c r="K55" s="9"/>
      <c r="L55" s="41"/>
      <c r="M55" s="9"/>
      <c r="N55" s="41"/>
      <c r="O55" s="41"/>
      <c r="P55" s="9"/>
      <c r="Q55" s="41"/>
      <c r="R55" s="9"/>
      <c r="S55" s="9"/>
      <c r="T55" s="9"/>
      <c r="U55" s="9"/>
      <c r="V55" s="12"/>
      <c r="W55" s="1"/>
      <c r="X55" s="1"/>
      <c r="Y55" s="1"/>
      <c r="Z55" s="1"/>
      <c r="AA55" s="12"/>
      <c r="AB55" s="12"/>
      <c r="AC55" s="1"/>
      <c r="AD55" s="1"/>
      <c r="AE55" s="1"/>
      <c r="AF55" s="1"/>
      <c r="AG55" s="12"/>
      <c r="AH55" s="374"/>
      <c r="AI55" s="374"/>
      <c r="AJ55" s="374"/>
      <c r="AK55" s="374"/>
      <c r="AL55" s="12"/>
      <c r="AM55" s="374"/>
      <c r="AN55" s="374"/>
      <c r="AO55" s="374"/>
      <c r="AP55" s="374"/>
      <c r="AQ55" s="12"/>
      <c r="AR55" s="51"/>
      <c r="AS55" s="51"/>
      <c r="AT55" s="51"/>
      <c r="AU55" s="51"/>
      <c r="AV55" s="12"/>
      <c r="AW55" s="374"/>
      <c r="AX55" s="374"/>
      <c r="AY55" s="374"/>
      <c r="AZ55" s="374"/>
      <c r="BA55" s="12"/>
      <c r="BB55" s="374"/>
      <c r="BC55" s="374"/>
      <c r="BD55" s="374"/>
      <c r="BE55" s="374"/>
      <c r="BF55" s="12"/>
      <c r="BG55" s="374"/>
      <c r="BH55" s="374"/>
      <c r="BI55" s="374"/>
      <c r="BJ55" s="374"/>
      <c r="BK55" s="12"/>
      <c r="BL55" s="43"/>
      <c r="BM55" s="43"/>
      <c r="BN55" s="43"/>
      <c r="BO55" s="43"/>
      <c r="BP55" s="36"/>
      <c r="BQ55" s="43"/>
      <c r="BR55" s="43"/>
      <c r="BS55" s="43"/>
      <c r="BT55" s="43"/>
      <c r="BU55" s="42"/>
      <c r="BV55" s="43"/>
      <c r="BW55" s="43"/>
      <c r="BX55" s="43"/>
      <c r="BY55" s="43"/>
      <c r="BZ55" s="42"/>
      <c r="CA55" s="43"/>
      <c r="CB55" s="43"/>
      <c r="CC55" s="49"/>
      <c r="CD55" s="43"/>
      <c r="CE55" s="36"/>
      <c r="CF55" s="49"/>
      <c r="CG55" s="49"/>
      <c r="CH55" s="49"/>
      <c r="CI55" s="49"/>
      <c r="CJ55" s="42"/>
      <c r="CK55" s="43"/>
      <c r="CL55" s="49"/>
      <c r="CM55" s="49"/>
      <c r="CN55" s="377"/>
      <c r="CO55" s="42"/>
      <c r="CP55" s="43"/>
      <c r="CQ55" s="43"/>
      <c r="CR55" s="43"/>
      <c r="CS55" s="43"/>
      <c r="CT55" s="246"/>
      <c r="CU55" s="43"/>
      <c r="CV55" s="376"/>
      <c r="CW55" s="49"/>
      <c r="CX55" s="43"/>
      <c r="CY55" s="42"/>
      <c r="CZ55" s="43"/>
      <c r="DA55" s="43"/>
      <c r="DB55" s="49"/>
      <c r="DC55" s="43"/>
      <c r="DD55" s="42"/>
      <c r="DE55" s="43"/>
      <c r="DF55" s="43"/>
      <c r="DG55" s="49"/>
      <c r="DH55" s="43"/>
      <c r="DI55" s="42"/>
      <c r="DX55" s="373"/>
      <c r="DY55" s="373"/>
      <c r="DZ55" s="373"/>
    </row>
    <row r="56" spans="1:148" s="4" customFormat="1" ht="12" customHeight="1">
      <c r="A56" s="5"/>
      <c r="B56" s="78" t="s">
        <v>231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107"/>
      <c r="R56" s="80"/>
      <c r="S56" s="80"/>
      <c r="T56" s="80"/>
      <c r="U56" s="80"/>
      <c r="V56" s="80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80"/>
      <c r="BE56" s="109"/>
      <c r="BF56" s="109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109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215"/>
      <c r="CZ56" s="80"/>
      <c r="DA56" s="80"/>
      <c r="DB56" s="80"/>
      <c r="DC56" s="80"/>
      <c r="DD56" s="215"/>
      <c r="DE56" s="80"/>
      <c r="DF56" s="80"/>
      <c r="DG56" s="80"/>
      <c r="DH56" s="80"/>
      <c r="DI56" s="215"/>
    </row>
    <row r="57" spans="1:148" s="117" customFormat="1" ht="12" customHeight="1">
      <c r="A57" s="239"/>
      <c r="B57" s="362" t="s">
        <v>0</v>
      </c>
      <c r="C57" s="363">
        <v>6470.625</v>
      </c>
      <c r="D57" s="364">
        <v>9186.5390000000007</v>
      </c>
      <c r="E57" s="363">
        <v>9553.0999999999985</v>
      </c>
      <c r="F57" s="364">
        <v>8776.9000000000015</v>
      </c>
      <c r="G57" s="363">
        <v>8995.1</v>
      </c>
      <c r="H57" s="364">
        <v>9488.7999999999993</v>
      </c>
      <c r="I57" s="363">
        <v>9893</v>
      </c>
      <c r="J57" s="364">
        <v>10697</v>
      </c>
      <c r="K57" s="363">
        <v>12253.1</v>
      </c>
      <c r="L57" s="364">
        <v>13739.699999999999</v>
      </c>
      <c r="M57" s="363">
        <v>14954.9</v>
      </c>
      <c r="N57" s="364">
        <v>16325.900000000001</v>
      </c>
      <c r="O57" s="364">
        <v>18627</v>
      </c>
      <c r="P57" s="363">
        <v>19176.099999999999</v>
      </c>
      <c r="Q57" s="364">
        <v>19014</v>
      </c>
      <c r="R57" s="363">
        <v>5175</v>
      </c>
      <c r="S57" s="363">
        <v>4842</v>
      </c>
      <c r="T57" s="363">
        <v>5079</v>
      </c>
      <c r="U57" s="363">
        <v>5766</v>
      </c>
      <c r="V57" s="364">
        <v>20862</v>
      </c>
      <c r="W57" s="363">
        <v>6081</v>
      </c>
      <c r="X57" s="363">
        <v>5731</v>
      </c>
      <c r="Y57" s="363">
        <v>5846</v>
      </c>
      <c r="Z57" s="363">
        <v>6470</v>
      </c>
      <c r="AA57" s="364">
        <v>24128</v>
      </c>
      <c r="AB57" s="364">
        <v>23331</v>
      </c>
      <c r="AC57" s="363">
        <f>12429-AD57</f>
        <v>6474</v>
      </c>
      <c r="AD57" s="363">
        <v>5955</v>
      </c>
      <c r="AE57" s="363">
        <f>+AE41</f>
        <v>6187</v>
      </c>
      <c r="AF57" s="363">
        <f>+AF41</f>
        <v>6697</v>
      </c>
      <c r="AG57" s="364">
        <v>25313</v>
      </c>
      <c r="AH57" s="363">
        <f>+AH17</f>
        <v>6971</v>
      </c>
      <c r="AI57" s="363">
        <v>6431</v>
      </c>
      <c r="AJ57" s="363">
        <f>+AJ41</f>
        <v>6972</v>
      </c>
      <c r="AK57" s="363">
        <v>7425</v>
      </c>
      <c r="AL57" s="364">
        <v>27799</v>
      </c>
      <c r="AM57" s="363">
        <f>+AM17</f>
        <v>7982</v>
      </c>
      <c r="AN57" s="363">
        <v>7380</v>
      </c>
      <c r="AO57" s="363">
        <v>7460</v>
      </c>
      <c r="AP57" s="363">
        <v>7779</v>
      </c>
      <c r="AQ57" s="364">
        <v>30601</v>
      </c>
      <c r="AR57" s="363">
        <f>+AR17</f>
        <v>8414</v>
      </c>
      <c r="AS57" s="363">
        <v>7686</v>
      </c>
      <c r="AT57" s="363">
        <v>8032</v>
      </c>
      <c r="AU57" s="363">
        <v>8244</v>
      </c>
      <c r="AV57" s="364">
        <v>32376</v>
      </c>
      <c r="AW57" s="363">
        <v>9061</v>
      </c>
      <c r="AX57" s="363">
        <v>8180</v>
      </c>
      <c r="AY57" s="363">
        <v>8432</v>
      </c>
      <c r="AZ57" s="363">
        <v>8677</v>
      </c>
      <c r="BA57" s="364">
        <v>34350</v>
      </c>
      <c r="BB57" s="363">
        <v>9070</v>
      </c>
      <c r="BC57" s="363">
        <v>8554</v>
      </c>
      <c r="BD57" s="363">
        <v>8984</v>
      </c>
      <c r="BE57" s="363">
        <v>9789</v>
      </c>
      <c r="BF57" s="364">
        <f>BF17</f>
        <v>36397</v>
      </c>
      <c r="BG57" s="363">
        <v>9948</v>
      </c>
      <c r="BH57" s="363">
        <v>9374</v>
      </c>
      <c r="BI57" s="363">
        <v>9611</v>
      </c>
      <c r="BJ57" s="363">
        <v>10184</v>
      </c>
      <c r="BK57" s="364">
        <f>BK17</f>
        <v>39117</v>
      </c>
      <c r="BL57" s="363">
        <v>10660</v>
      </c>
      <c r="BM57" s="363">
        <v>10326</v>
      </c>
      <c r="BN57" s="363">
        <v>10104</v>
      </c>
      <c r="BO57" s="363">
        <v>6313</v>
      </c>
      <c r="BP57" s="364">
        <f>BP17</f>
        <v>37403</v>
      </c>
      <c r="BQ57" s="363">
        <v>10594</v>
      </c>
      <c r="BR57" s="363">
        <v>11243</v>
      </c>
      <c r="BS57" s="363">
        <v>10357</v>
      </c>
      <c r="BT57" s="363">
        <v>12344</v>
      </c>
      <c r="BU57" s="364">
        <f>BU17</f>
        <v>44538</v>
      </c>
      <c r="BV57" s="363">
        <v>12248</v>
      </c>
      <c r="BW57" s="363">
        <v>11357</v>
      </c>
      <c r="BX57" s="363">
        <v>10871</v>
      </c>
      <c r="BY57" s="363">
        <v>12234</v>
      </c>
      <c r="BZ57" s="364">
        <f>BZ17</f>
        <v>46710</v>
      </c>
      <c r="CA57" s="363">
        <v>12687</v>
      </c>
      <c r="CB57" s="363">
        <v>13315</v>
      </c>
      <c r="CC57" s="363">
        <v>12390</v>
      </c>
      <c r="CD57" s="363">
        <v>12825</v>
      </c>
      <c r="CE57" s="364">
        <f>CE17</f>
        <v>51217</v>
      </c>
      <c r="CF57" s="363">
        <v>12939</v>
      </c>
      <c r="CG57" s="363">
        <v>13388</v>
      </c>
      <c r="CH57" s="371">
        <v>12429</v>
      </c>
      <c r="CI57" s="371">
        <v>12606</v>
      </c>
      <c r="CJ57" s="364">
        <f>CJ17</f>
        <v>51362</v>
      </c>
      <c r="CK57" s="363">
        <v>11589</v>
      </c>
      <c r="CL57" s="363">
        <v>12354</v>
      </c>
      <c r="CM57" s="363">
        <v>11269</v>
      </c>
      <c r="CN57" s="363">
        <v>11097</v>
      </c>
      <c r="CO57" s="364">
        <f>CO17</f>
        <v>46309</v>
      </c>
      <c r="CP57" s="363">
        <v>11720</v>
      </c>
      <c r="CQ57" s="363">
        <v>12427</v>
      </c>
      <c r="CR57" s="363">
        <v>11279</v>
      </c>
      <c r="CS57" s="363">
        <v>10972</v>
      </c>
      <c r="CT57" s="364">
        <f>CT17</f>
        <v>46398</v>
      </c>
      <c r="CU57" s="371">
        <v>11213</v>
      </c>
      <c r="CV57" s="363">
        <f>+CV17</f>
        <v>10878.097940000001</v>
      </c>
      <c r="CW57" s="363">
        <f>+CW17</f>
        <v>10305.983209999999</v>
      </c>
      <c r="CX57" s="363">
        <f>+CX17</f>
        <v>9881.3433699999987</v>
      </c>
      <c r="CY57" s="364">
        <f>CY17</f>
        <v>42278.424519999993</v>
      </c>
      <c r="CZ57" s="363">
        <f>+CZ17</f>
        <v>10328.23281</v>
      </c>
      <c r="DA57" s="363">
        <f>+DA17</f>
        <v>10360.009180099998</v>
      </c>
      <c r="DB57" s="363">
        <f>+DB17</f>
        <v>10025.647070699999</v>
      </c>
      <c r="DC57" s="363">
        <f>+DC17</f>
        <v>9627.8920167999968</v>
      </c>
      <c r="DD57" s="364">
        <f>DD17</f>
        <v>40341.781077599997</v>
      </c>
      <c r="DE57" s="363">
        <f>+DE17</f>
        <v>10334.0543898</v>
      </c>
      <c r="DF57" s="363">
        <f>+DF17</f>
        <v>10379.712353105997</v>
      </c>
      <c r="DG57" s="363">
        <f>+DG17</f>
        <v>10094.693474377</v>
      </c>
      <c r="DH57" s="363">
        <f>+DH17</f>
        <v>9696.6732653359995</v>
      </c>
      <c r="DI57" s="364">
        <f>DI17</f>
        <v>40505.133482619</v>
      </c>
      <c r="DT57" s="292"/>
    </row>
    <row r="58" spans="1:148" s="3" customFormat="1" ht="12" customHeight="1">
      <c r="A58" s="219"/>
      <c r="B58" s="110" t="s">
        <v>215</v>
      </c>
      <c r="C58" s="52" t="s">
        <v>126</v>
      </c>
      <c r="D58" s="232" t="s">
        <v>126</v>
      </c>
      <c r="E58" s="52">
        <f t="shared" ref="E58:Q58" si="55">+E57/D57-1</f>
        <v>3.9901969610099952E-2</v>
      </c>
      <c r="F58" s="112">
        <f t="shared" si="55"/>
        <v>-8.1251112204415055E-2</v>
      </c>
      <c r="G58" s="52">
        <f t="shared" si="55"/>
        <v>2.4860713919493183E-2</v>
      </c>
      <c r="H58" s="112">
        <f t="shared" si="55"/>
        <v>5.4885437627152367E-2</v>
      </c>
      <c r="I58" s="52">
        <f t="shared" si="55"/>
        <v>4.2597588736194236E-2</v>
      </c>
      <c r="J58" s="112">
        <f t="shared" si="55"/>
        <v>8.1269584554735763E-2</v>
      </c>
      <c r="K58" s="52">
        <f t="shared" si="55"/>
        <v>0.14547069271758439</v>
      </c>
      <c r="L58" s="112">
        <f t="shared" si="55"/>
        <v>0.12132439953970819</v>
      </c>
      <c r="M58" s="52">
        <f t="shared" si="55"/>
        <v>8.8444434740205358E-2</v>
      </c>
      <c r="N58" s="112">
        <f t="shared" si="55"/>
        <v>9.1675638085176203E-2</v>
      </c>
      <c r="O58" s="112">
        <f t="shared" si="55"/>
        <v>0.14094781910951304</v>
      </c>
      <c r="P58" s="52">
        <f t="shared" si="55"/>
        <v>2.947871369517352E-2</v>
      </c>
      <c r="Q58" s="112">
        <f t="shared" si="55"/>
        <v>-8.4532308446451099E-3</v>
      </c>
      <c r="R58" s="378" t="s">
        <v>126</v>
      </c>
      <c r="S58" s="378" t="s">
        <v>126</v>
      </c>
      <c r="T58" s="378" t="s">
        <v>126</v>
      </c>
      <c r="U58" s="378" t="s">
        <v>126</v>
      </c>
      <c r="V58" s="112">
        <f t="shared" ref="V58:AA58" si="56">+V57/Q57-1</f>
        <v>9.7191543073524844E-2</v>
      </c>
      <c r="W58" s="52">
        <f t="shared" si="56"/>
        <v>0.17507246376811603</v>
      </c>
      <c r="X58" s="52">
        <f t="shared" si="56"/>
        <v>0.18360181743081361</v>
      </c>
      <c r="Y58" s="52">
        <f t="shared" si="56"/>
        <v>0.15101397912975001</v>
      </c>
      <c r="Z58" s="52">
        <f t="shared" si="56"/>
        <v>0.12209503988900461</v>
      </c>
      <c r="AA58" s="112">
        <f t="shared" si="56"/>
        <v>0.15655258364490465</v>
      </c>
      <c r="AB58" s="379"/>
      <c r="AC58" s="52">
        <f>+AC57/W57-1</f>
        <v>6.4627528367044995E-2</v>
      </c>
      <c r="AD58" s="52">
        <f>+AD57/X57-1</f>
        <v>3.9085674402373094E-2</v>
      </c>
      <c r="AE58" s="52">
        <f>+AE57/Y57-1</f>
        <v>5.8330482381115267E-2</v>
      </c>
      <c r="AF58" s="52">
        <f>+AF57/Z57-1</f>
        <v>3.5085007727975182E-2</v>
      </c>
      <c r="AG58" s="112">
        <f>+AG57/AA57-1</f>
        <v>4.9113063660477518E-2</v>
      </c>
      <c r="AH58" s="52">
        <f t="shared" ref="AH58:BM58" si="57">+AH57/AC57-1</f>
        <v>7.6768612913191259E-2</v>
      </c>
      <c r="AI58" s="52">
        <f t="shared" si="57"/>
        <v>7.9932829554995699E-2</v>
      </c>
      <c r="AJ58" s="52">
        <f t="shared" si="57"/>
        <v>0.12687893971230002</v>
      </c>
      <c r="AK58" s="52">
        <f t="shared" si="57"/>
        <v>0.10870539047334637</v>
      </c>
      <c r="AL58" s="112">
        <f t="shared" si="57"/>
        <v>9.8210405720380756E-2</v>
      </c>
      <c r="AM58" s="52">
        <f t="shared" si="57"/>
        <v>0.14502940754554583</v>
      </c>
      <c r="AN58" s="52">
        <f t="shared" si="57"/>
        <v>0.14756647488726471</v>
      </c>
      <c r="AO58" s="52">
        <f t="shared" si="57"/>
        <v>6.9994262765347148E-2</v>
      </c>
      <c r="AP58" s="52">
        <f t="shared" si="57"/>
        <v>4.7676767676767762E-2</v>
      </c>
      <c r="AQ58" s="112">
        <f t="shared" si="57"/>
        <v>0.10079499262563396</v>
      </c>
      <c r="AR58" s="52">
        <f t="shared" si="57"/>
        <v>5.4121773991480771E-2</v>
      </c>
      <c r="AS58" s="52">
        <f t="shared" si="57"/>
        <v>4.1463414634146378E-2</v>
      </c>
      <c r="AT58" s="52">
        <f t="shared" si="57"/>
        <v>7.6675603217158272E-2</v>
      </c>
      <c r="AU58" s="52">
        <f t="shared" si="57"/>
        <v>5.9776320863864196E-2</v>
      </c>
      <c r="AV58" s="112">
        <f t="shared" si="57"/>
        <v>5.8004640371229765E-2</v>
      </c>
      <c r="AW58" s="52">
        <f t="shared" si="57"/>
        <v>7.6895650106964641E-2</v>
      </c>
      <c r="AX58" s="52">
        <f t="shared" si="57"/>
        <v>6.4272703616965909E-2</v>
      </c>
      <c r="AY58" s="52">
        <f t="shared" si="57"/>
        <v>4.980079681274896E-2</v>
      </c>
      <c r="AZ58" s="52">
        <f t="shared" si="57"/>
        <v>5.2523047064531703E-2</v>
      </c>
      <c r="BA58" s="112">
        <f t="shared" si="57"/>
        <v>6.0971089696071123E-2</v>
      </c>
      <c r="BB58" s="52">
        <f t="shared" si="57"/>
        <v>9.9326785123055039E-4</v>
      </c>
      <c r="BC58" s="52">
        <f t="shared" si="57"/>
        <v>4.5721271393643015E-2</v>
      </c>
      <c r="BD58" s="52">
        <f t="shared" si="57"/>
        <v>6.5464895635673592E-2</v>
      </c>
      <c r="BE58" s="52">
        <f t="shared" si="57"/>
        <v>0.12815489224386312</v>
      </c>
      <c r="BF58" s="112">
        <f t="shared" si="57"/>
        <v>5.95924308588065E-2</v>
      </c>
      <c r="BG58" s="52">
        <f t="shared" si="57"/>
        <v>9.6802646085997868E-2</v>
      </c>
      <c r="BH58" s="52">
        <f t="shared" si="57"/>
        <v>9.586158522328736E-2</v>
      </c>
      <c r="BI58" s="52">
        <f t="shared" si="57"/>
        <v>6.9790739091718512E-2</v>
      </c>
      <c r="BJ58" s="52">
        <f t="shared" si="57"/>
        <v>4.0351414853406986E-2</v>
      </c>
      <c r="BK58" s="112">
        <f t="shared" si="57"/>
        <v>7.4731433909388079E-2</v>
      </c>
      <c r="BL58" s="52">
        <f t="shared" si="57"/>
        <v>7.1572175311620523E-2</v>
      </c>
      <c r="BM58" s="52">
        <f t="shared" si="57"/>
        <v>0.10155749946660975</v>
      </c>
      <c r="BN58" s="52">
        <f t="shared" ref="BN58:CJ58" si="58">+BN57/BI57-1</f>
        <v>5.1295390698158361E-2</v>
      </c>
      <c r="BO58" s="52">
        <f t="shared" si="58"/>
        <v>-0.38010604870384912</v>
      </c>
      <c r="BP58" s="112">
        <f t="shared" si="58"/>
        <v>-4.3817266150267153E-2</v>
      </c>
      <c r="BQ58" s="52">
        <f t="shared" si="58"/>
        <v>-6.1913696060037493E-3</v>
      </c>
      <c r="BR58" s="52">
        <f t="shared" si="58"/>
        <v>8.8804958357544095E-2</v>
      </c>
      <c r="BS58" s="52">
        <f t="shared" si="58"/>
        <v>2.5039588281868586E-2</v>
      </c>
      <c r="BT58" s="52">
        <f t="shared" si="58"/>
        <v>0.95533027086963407</v>
      </c>
      <c r="BU58" s="112">
        <f t="shared" si="58"/>
        <v>0.19076009945726269</v>
      </c>
      <c r="BV58" s="52">
        <f t="shared" si="58"/>
        <v>0.15612610911836899</v>
      </c>
      <c r="BW58" s="52">
        <f t="shared" si="58"/>
        <v>1.0139642444187524E-2</v>
      </c>
      <c r="BX58" s="52">
        <f t="shared" si="58"/>
        <v>4.9628270734768831E-2</v>
      </c>
      <c r="BY58" s="52">
        <f t="shared" si="58"/>
        <v>-8.9112119248218047E-3</v>
      </c>
      <c r="BZ58" s="112">
        <f t="shared" si="58"/>
        <v>4.8767344739323759E-2</v>
      </c>
      <c r="CA58" s="52">
        <f t="shared" si="58"/>
        <v>3.5842586544742039E-2</v>
      </c>
      <c r="CB58" s="52">
        <f t="shared" si="58"/>
        <v>0.17240468433565193</v>
      </c>
      <c r="CC58" s="52">
        <f t="shared" si="58"/>
        <v>0.13972955569864776</v>
      </c>
      <c r="CD58" s="52">
        <f t="shared" ref="CD58" si="59">+CD57/BY57-1</f>
        <v>4.8307994114762165E-2</v>
      </c>
      <c r="CE58" s="112">
        <f t="shared" ref="CE58" si="60">+CE57/BZ57-1</f>
        <v>9.6488974523656568E-2</v>
      </c>
      <c r="CF58" s="52">
        <f t="shared" si="58"/>
        <v>1.986285173799951E-2</v>
      </c>
      <c r="CG58" s="52">
        <f t="shared" si="58"/>
        <v>5.482538490424238E-3</v>
      </c>
      <c r="CH58" s="52">
        <f t="shared" si="58"/>
        <v>3.1476997578692156E-3</v>
      </c>
      <c r="CI58" s="114">
        <f t="shared" si="58"/>
        <v>-1.7076023391812911E-2</v>
      </c>
      <c r="CJ58" s="112">
        <f t="shared" si="58"/>
        <v>2.8310912392370824E-3</v>
      </c>
      <c r="CK58" s="52">
        <f t="shared" ref="CK58" si="61">+CK57/CF57-1</f>
        <v>-0.10433572919081846</v>
      </c>
      <c r="CL58" s="52">
        <f>+CL57/CG57-1</f>
        <v>-7.7233343292500756E-2</v>
      </c>
      <c r="CM58" s="52">
        <f t="shared" ref="CM58" si="62">+CM57/CH57-1</f>
        <v>-9.3330115053503859E-2</v>
      </c>
      <c r="CN58" s="52">
        <f t="shared" ref="CN58" si="63">+CN57/CI57-1</f>
        <v>-0.11970490242741549</v>
      </c>
      <c r="CO58" s="112">
        <f t="shared" ref="CO58:CP58" si="64">+CO57/CJ57-1</f>
        <v>-9.8380125384525563E-2</v>
      </c>
      <c r="CP58" s="52">
        <f t="shared" si="64"/>
        <v>1.1303822590387425E-2</v>
      </c>
      <c r="CQ58" s="52">
        <f>+CQ57/CL57-1</f>
        <v>5.9090173223248499E-3</v>
      </c>
      <c r="CR58" s="52">
        <f t="shared" ref="CR58" si="65">+CR57/CM57-1</f>
        <v>8.8739018546446502E-4</v>
      </c>
      <c r="CS58" s="52">
        <f t="shared" ref="CS58" si="66">+CS57/CN57-1</f>
        <v>-1.1264305668198582E-2</v>
      </c>
      <c r="CT58" s="112">
        <f t="shared" ref="CT58" si="67">+CT57/CO57-1</f>
        <v>1.9218726381480256E-3</v>
      </c>
      <c r="CU58" s="52">
        <f t="shared" ref="CU58" si="68">+CU57/CP57-1</f>
        <v>-4.3259385665529004E-2</v>
      </c>
      <c r="CV58" s="52">
        <f t="shared" ref="CV58" si="69">+CV57/CQ57-1</f>
        <v>-0.12464006276655659</v>
      </c>
      <c r="CW58" s="52">
        <f t="shared" ref="CW58" si="70">+CW57/CR57-1</f>
        <v>-8.6268001595886323E-2</v>
      </c>
      <c r="CX58" s="52">
        <f t="shared" ref="CX58" si="71">+CX57/CS57-1</f>
        <v>-9.9403630149471511E-2</v>
      </c>
      <c r="CY58" s="112">
        <f t="shared" ref="CY58" si="72">+CY57/CT57-1</f>
        <v>-8.8787781369886742E-2</v>
      </c>
      <c r="CZ58" s="52">
        <f t="shared" ref="CZ58" si="73">+CZ57/CU57-1</f>
        <v>-7.8905483813430877E-2</v>
      </c>
      <c r="DA58" s="52">
        <f t="shared" ref="DA58" si="74">+DA57/CV57-1</f>
        <v>-4.7626778390635005E-2</v>
      </c>
      <c r="DB58" s="52">
        <f t="shared" ref="DB58" si="75">+DB57/CW57-1</f>
        <v>-2.7201299826297709E-2</v>
      </c>
      <c r="DC58" s="52">
        <f t="shared" ref="DC58" si="76">+DC57/CX57-1</f>
        <v>-2.5649483446702814E-2</v>
      </c>
      <c r="DD58" s="112">
        <f t="shared" ref="DD58" si="77">+DD57/CY57-1</f>
        <v>-4.5806897120394319E-2</v>
      </c>
      <c r="DE58" s="52">
        <f t="shared" ref="DE58" si="78">+DE57/CZ57-1</f>
        <v>5.6365691082826963E-4</v>
      </c>
      <c r="DF58" s="52">
        <f t="shared" ref="DF58" si="79">+DF57/DA57-1</f>
        <v>1.9018489910072045E-3</v>
      </c>
      <c r="DG58" s="52">
        <f t="shared" ref="DG58" si="80">+DG57/DB57-1</f>
        <v>6.8869772883577429E-3</v>
      </c>
      <c r="DH58" s="52">
        <f t="shared" ref="DH58" si="81">+DH57/DC57-1</f>
        <v>7.143957204337692E-3</v>
      </c>
      <c r="DI58" s="112">
        <f t="shared" ref="DI58" si="82">+DI57/DD57-1</f>
        <v>4.0492115284842534E-3</v>
      </c>
      <c r="DK58" s="226"/>
      <c r="DM58" s="226"/>
      <c r="DP58" s="9"/>
      <c r="DT58" s="226"/>
    </row>
    <row r="59" spans="1:148" s="7" customFormat="1" ht="12" customHeight="1">
      <c r="A59" s="239"/>
      <c r="B59" s="20" t="s">
        <v>61</v>
      </c>
      <c r="C59" s="43">
        <v>-3906.7460000000001</v>
      </c>
      <c r="D59" s="36">
        <v>-5502.9930000000004</v>
      </c>
      <c r="E59" s="43">
        <v>-6065.4</v>
      </c>
      <c r="F59" s="36">
        <v>-5493.5</v>
      </c>
      <c r="G59" s="43">
        <v>-5403.8</v>
      </c>
      <c r="H59" s="36">
        <v>-5784.9</v>
      </c>
      <c r="I59" s="43">
        <v>-6004.7</v>
      </c>
      <c r="J59" s="36">
        <v>-6313.6</v>
      </c>
      <c r="K59" s="43">
        <v>-7001.4</v>
      </c>
      <c r="L59" s="36">
        <v>-7624.3</v>
      </c>
      <c r="M59" s="43">
        <v>-8367.9</v>
      </c>
      <c r="N59" s="36">
        <v>-9165.4</v>
      </c>
      <c r="O59" s="36">
        <v>-10239.6</v>
      </c>
      <c r="P59" s="43">
        <v>-10571.7</v>
      </c>
      <c r="Q59" s="36">
        <v>-10213.599999999999</v>
      </c>
      <c r="R59" s="43">
        <v>-2741</v>
      </c>
      <c r="S59" s="43">
        <v>-2649</v>
      </c>
      <c r="T59" s="43">
        <v>-2752</v>
      </c>
      <c r="U59" s="43">
        <v>-3212</v>
      </c>
      <c r="V59" s="36">
        <v>-11354</v>
      </c>
      <c r="W59" s="43">
        <v>-3388</v>
      </c>
      <c r="X59" s="43">
        <v>-3281</v>
      </c>
      <c r="Y59" s="43">
        <v>-3285</v>
      </c>
      <c r="Z59" s="43">
        <v>-3703</v>
      </c>
      <c r="AA59" s="36">
        <v>-13657</v>
      </c>
      <c r="AB59" s="36">
        <f>+AB60-AB57</f>
        <v>-13183</v>
      </c>
      <c r="AC59" s="43">
        <v>-3646</v>
      </c>
      <c r="AD59" s="43">
        <v>-3425</v>
      </c>
      <c r="AE59" s="43">
        <v>-3451</v>
      </c>
      <c r="AF59" s="43">
        <v>-3757</v>
      </c>
      <c r="AG59" s="36">
        <v>-14279</v>
      </c>
      <c r="AH59" s="43">
        <v>-3839</v>
      </c>
      <c r="AI59" s="43">
        <v>-3605</v>
      </c>
      <c r="AJ59" s="43">
        <v>-3869</v>
      </c>
      <c r="AK59" s="43">
        <v>-4040</v>
      </c>
      <c r="AL59" s="36">
        <v>-15353</v>
      </c>
      <c r="AM59" s="43">
        <v>-4261</v>
      </c>
      <c r="AN59" s="43">
        <v>-4053</v>
      </c>
      <c r="AO59" s="43">
        <v>-4034</v>
      </c>
      <c r="AP59" s="43">
        <v>-4186</v>
      </c>
      <c r="AQ59" s="36">
        <v>-16534</v>
      </c>
      <c r="AR59" s="43">
        <v>-4419</v>
      </c>
      <c r="AS59" s="43">
        <v>-4185</v>
      </c>
      <c r="AT59" s="43">
        <v>-4343</v>
      </c>
      <c r="AU59" s="43">
        <v>-4458</v>
      </c>
      <c r="AV59" s="36">
        <v>-17405</v>
      </c>
      <c r="AW59" s="43">
        <v>-4938</v>
      </c>
      <c r="AX59" s="43">
        <v>-4564</v>
      </c>
      <c r="AY59" s="43">
        <v>-4682</v>
      </c>
      <c r="AZ59" s="43">
        <v>-4854</v>
      </c>
      <c r="BA59" s="36">
        <v>-19038</v>
      </c>
      <c r="BB59" s="43">
        <v>-5108</v>
      </c>
      <c r="BC59" s="43">
        <v>-4876</v>
      </c>
      <c r="BD59" s="43">
        <v>-5046</v>
      </c>
      <c r="BE59" s="43">
        <v>-5411</v>
      </c>
      <c r="BF59" s="36">
        <f>SUM(BB59:BE59)</f>
        <v>-20441</v>
      </c>
      <c r="BG59" s="43">
        <v>-5551</v>
      </c>
      <c r="BH59" s="43">
        <v>-5269</v>
      </c>
      <c r="BI59" s="43">
        <v>-5272</v>
      </c>
      <c r="BJ59" s="43">
        <v>-5551</v>
      </c>
      <c r="BK59" s="36">
        <f>SUM(BG59:BJ59)</f>
        <v>-21643</v>
      </c>
      <c r="BL59" s="43">
        <v>-5789</v>
      </c>
      <c r="BM59" s="43">
        <v>-5782</v>
      </c>
      <c r="BN59" s="43">
        <v>-5631</v>
      </c>
      <c r="BO59" s="43">
        <v>-3960</v>
      </c>
      <c r="BP59" s="36">
        <f>SUM(BL59:BO59)</f>
        <v>-21162</v>
      </c>
      <c r="BQ59" s="43">
        <v>-5853</v>
      </c>
      <c r="BR59" s="43">
        <v>-6396</v>
      </c>
      <c r="BS59" s="43">
        <v>-5638</v>
      </c>
      <c r="BT59" s="43">
        <v>-6689</v>
      </c>
      <c r="BU59" s="36">
        <f>SUM(BQ59:BT59)</f>
        <v>-24576</v>
      </c>
      <c r="BV59" s="43">
        <v>-6552</v>
      </c>
      <c r="BW59" s="43">
        <v>-6144</v>
      </c>
      <c r="BX59" s="43">
        <v>-5804</v>
      </c>
      <c r="BY59" s="43">
        <v>-6731</v>
      </c>
      <c r="BZ59" s="36">
        <f>SUM(BV59:BY59)</f>
        <v>-25231</v>
      </c>
      <c r="CA59" s="43">
        <v>-7072</v>
      </c>
      <c r="CB59" s="43">
        <v>-7604</v>
      </c>
      <c r="CC59" s="43">
        <v>-7019</v>
      </c>
      <c r="CD59" s="43">
        <v>-7230</v>
      </c>
      <c r="CE59" s="36">
        <f>SUM(CA59:CD59)</f>
        <v>-28925</v>
      </c>
      <c r="CF59" s="43">
        <v>-7219</v>
      </c>
      <c r="CG59" s="43">
        <v>-7417</v>
      </c>
      <c r="CH59" s="369">
        <f>-6867+(403-340)</f>
        <v>-6804</v>
      </c>
      <c r="CI59" s="369">
        <f>-6972+(64-(403-340))</f>
        <v>-6971</v>
      </c>
      <c r="CJ59" s="36">
        <f>SUM(CF59:CI59)</f>
        <v>-28411</v>
      </c>
      <c r="CK59" s="43">
        <v>-6332</v>
      </c>
      <c r="CL59" s="43">
        <v>-6965</v>
      </c>
      <c r="CM59" s="43">
        <v>-6594</v>
      </c>
      <c r="CN59" s="43">
        <v>-6628</v>
      </c>
      <c r="CO59" s="36">
        <f>SUM(CK59:CN59)</f>
        <v>-26519</v>
      </c>
      <c r="CP59" s="43">
        <v>-6777</v>
      </c>
      <c r="CQ59" s="43">
        <v>-7382</v>
      </c>
      <c r="CR59" s="43">
        <v>-6749</v>
      </c>
      <c r="CS59" s="43">
        <v>-5579</v>
      </c>
      <c r="CT59" s="36">
        <f>SUM(CP59:CS59)</f>
        <v>-26487</v>
      </c>
      <c r="CU59" s="369">
        <v>-6415</v>
      </c>
      <c r="CV59" s="43">
        <f>+CV60-CV57</f>
        <v>-6445.5899097472793</v>
      </c>
      <c r="CW59" s="43">
        <f>+CW60-CW57</f>
        <v>-6218.3071732793633</v>
      </c>
      <c r="CX59" s="43">
        <f>+CX60-CX57</f>
        <v>-5913.7480506960983</v>
      </c>
      <c r="CY59" s="36">
        <f>SUM(CU59:CX59)</f>
        <v>-24992.645133722741</v>
      </c>
      <c r="CZ59" s="43">
        <f>+CZ60-CZ57</f>
        <v>-5960.4624853868409</v>
      </c>
      <c r="DA59" s="43">
        <f>+DA60-DA57</f>
        <v>-6164.5072504690825</v>
      </c>
      <c r="DB59" s="43">
        <f>+DB60-DB57</f>
        <v>-6049.1611354469742</v>
      </c>
      <c r="DC59" s="43">
        <f>+DC60-DC57</f>
        <v>-5762.0634679617979</v>
      </c>
      <c r="DD59" s="36">
        <f>SUM(CZ59:DC59)</f>
        <v>-23936.194339264697</v>
      </c>
      <c r="DE59" s="43">
        <f>+DE60-DE57</f>
        <v>-5927.6529508941621</v>
      </c>
      <c r="DF59" s="43">
        <f>+DF60-DF57</f>
        <v>-6139.9022191275726</v>
      </c>
      <c r="DG59" s="43">
        <f>+DG60-DG57</f>
        <v>-6055.4901436400942</v>
      </c>
      <c r="DH59" s="43">
        <f>+DH60-DH57</f>
        <v>-5769.2890463569183</v>
      </c>
      <c r="DI59" s="36">
        <f>SUM(DE59:DH59)</f>
        <v>-23892.334360018751</v>
      </c>
      <c r="DP59" s="380"/>
      <c r="DT59" s="381"/>
    </row>
    <row r="60" spans="1:148" s="388" customFormat="1" ht="12" customHeight="1">
      <c r="A60" s="382"/>
      <c r="B60" s="383" t="s">
        <v>2</v>
      </c>
      <c r="C60" s="384">
        <f>SUM(C57:C59)</f>
        <v>2563.8789999999999</v>
      </c>
      <c r="D60" s="385">
        <f t="shared" ref="D60:Q60" si="83">SUM(D57,D59)</f>
        <v>3683.5460000000003</v>
      </c>
      <c r="E60" s="386">
        <f t="shared" si="83"/>
        <v>3487.6999999999989</v>
      </c>
      <c r="F60" s="385">
        <f t="shared" si="83"/>
        <v>3283.4000000000015</v>
      </c>
      <c r="G60" s="386">
        <f t="shared" si="83"/>
        <v>3591.3</v>
      </c>
      <c r="H60" s="385">
        <f t="shared" si="83"/>
        <v>3703.8999999999996</v>
      </c>
      <c r="I60" s="386">
        <f t="shared" si="83"/>
        <v>3888.3</v>
      </c>
      <c r="J60" s="385">
        <f t="shared" si="83"/>
        <v>4383.3999999999996</v>
      </c>
      <c r="K60" s="386">
        <f t="shared" si="83"/>
        <v>5251.7000000000007</v>
      </c>
      <c r="L60" s="385">
        <f t="shared" si="83"/>
        <v>6115.3999999999987</v>
      </c>
      <c r="M60" s="386">
        <f t="shared" si="83"/>
        <v>6587</v>
      </c>
      <c r="N60" s="385">
        <f t="shared" si="83"/>
        <v>7160.5000000000018</v>
      </c>
      <c r="O60" s="385">
        <f t="shared" si="83"/>
        <v>8387.4</v>
      </c>
      <c r="P60" s="385">
        <f t="shared" si="83"/>
        <v>8604.3999999999978</v>
      </c>
      <c r="Q60" s="385">
        <f t="shared" si="83"/>
        <v>8800.4000000000015</v>
      </c>
      <c r="R60" s="386">
        <f>+R57+R59</f>
        <v>2434</v>
      </c>
      <c r="S60" s="386">
        <f>+S57+S59</f>
        <v>2193</v>
      </c>
      <c r="T60" s="386">
        <f>+T57+T59</f>
        <v>2327</v>
      </c>
      <c r="U60" s="386">
        <f>+U57+U59</f>
        <v>2554</v>
      </c>
      <c r="V60" s="385">
        <f>V57+V59</f>
        <v>9508</v>
      </c>
      <c r="W60" s="386">
        <f>+W57+W59</f>
        <v>2693</v>
      </c>
      <c r="X60" s="386">
        <f>+X57+X59</f>
        <v>2450</v>
      </c>
      <c r="Y60" s="386">
        <f>+Y57+Y59</f>
        <v>2561</v>
      </c>
      <c r="Z60" s="386">
        <f>+Z57+Z59</f>
        <v>2767</v>
      </c>
      <c r="AA60" s="385">
        <f>AA57+AA59</f>
        <v>10471</v>
      </c>
      <c r="AB60" s="385">
        <v>10148</v>
      </c>
      <c r="AC60" s="386">
        <f>+AC57+AC59</f>
        <v>2828</v>
      </c>
      <c r="AD60" s="386">
        <f>+AD57+AD59</f>
        <v>2530</v>
      </c>
      <c r="AE60" s="386">
        <f>+AE57+AE59</f>
        <v>2736</v>
      </c>
      <c r="AF60" s="386">
        <f>+AF57+AF59</f>
        <v>2940</v>
      </c>
      <c r="AG60" s="385">
        <f>AG57+AG59</f>
        <v>11034</v>
      </c>
      <c r="AH60" s="386">
        <f t="shared" ref="AH60:BE60" si="84">+AH57+AH59</f>
        <v>3132</v>
      </c>
      <c r="AI60" s="386">
        <f t="shared" si="84"/>
        <v>2826</v>
      </c>
      <c r="AJ60" s="386">
        <f t="shared" si="84"/>
        <v>3103</v>
      </c>
      <c r="AK60" s="386">
        <f t="shared" si="84"/>
        <v>3385</v>
      </c>
      <c r="AL60" s="385">
        <f t="shared" si="84"/>
        <v>12446</v>
      </c>
      <c r="AM60" s="386">
        <f t="shared" si="84"/>
        <v>3721</v>
      </c>
      <c r="AN60" s="386">
        <f t="shared" si="84"/>
        <v>3327</v>
      </c>
      <c r="AO60" s="386">
        <f t="shared" si="84"/>
        <v>3426</v>
      </c>
      <c r="AP60" s="386">
        <f t="shared" si="84"/>
        <v>3593</v>
      </c>
      <c r="AQ60" s="385">
        <f t="shared" si="84"/>
        <v>14067</v>
      </c>
      <c r="AR60" s="386">
        <f t="shared" si="84"/>
        <v>3995</v>
      </c>
      <c r="AS60" s="386">
        <f t="shared" si="84"/>
        <v>3501</v>
      </c>
      <c r="AT60" s="386">
        <f t="shared" si="84"/>
        <v>3689</v>
      </c>
      <c r="AU60" s="386">
        <f t="shared" si="84"/>
        <v>3786</v>
      </c>
      <c r="AV60" s="385">
        <f t="shared" si="84"/>
        <v>14971</v>
      </c>
      <c r="AW60" s="386">
        <f t="shared" si="84"/>
        <v>4123</v>
      </c>
      <c r="AX60" s="386">
        <f t="shared" si="84"/>
        <v>3616</v>
      </c>
      <c r="AY60" s="386">
        <f t="shared" si="84"/>
        <v>3750</v>
      </c>
      <c r="AZ60" s="386">
        <f t="shared" si="84"/>
        <v>3823</v>
      </c>
      <c r="BA60" s="385">
        <f t="shared" si="84"/>
        <v>15312</v>
      </c>
      <c r="BB60" s="386">
        <f t="shared" si="84"/>
        <v>3962</v>
      </c>
      <c r="BC60" s="386">
        <f t="shared" si="84"/>
        <v>3678</v>
      </c>
      <c r="BD60" s="386">
        <f t="shared" si="84"/>
        <v>3938</v>
      </c>
      <c r="BE60" s="386">
        <f t="shared" si="84"/>
        <v>4378</v>
      </c>
      <c r="BF60" s="385">
        <f>BF57+BF59</f>
        <v>15956</v>
      </c>
      <c r="BG60" s="386">
        <f>+BG57+BG59</f>
        <v>4397</v>
      </c>
      <c r="BH60" s="386">
        <f>+BH57+BH59</f>
        <v>4105</v>
      </c>
      <c r="BI60" s="386">
        <f>+BI57+BI59</f>
        <v>4339</v>
      </c>
      <c r="BJ60" s="386">
        <f>+BJ57+BJ59</f>
        <v>4633</v>
      </c>
      <c r="BK60" s="385">
        <f>BK57+BK59</f>
        <v>17474</v>
      </c>
      <c r="BL60" s="386">
        <f>+BL57+BL59</f>
        <v>4871</v>
      </c>
      <c r="BM60" s="386">
        <f>+BM57+BM59</f>
        <v>4544</v>
      </c>
      <c r="BN60" s="386">
        <f>+BN57+BN59</f>
        <v>4473</v>
      </c>
      <c r="BO60" s="386">
        <f>+BO57+BO59</f>
        <v>2353</v>
      </c>
      <c r="BP60" s="385">
        <f>BP57+BP59</f>
        <v>16241</v>
      </c>
      <c r="BQ60" s="386">
        <f>+BQ57+BQ59</f>
        <v>4741</v>
      </c>
      <c r="BR60" s="386">
        <f>+BR57+BR59</f>
        <v>4847</v>
      </c>
      <c r="BS60" s="386">
        <f>+BS57+BS59</f>
        <v>4719</v>
      </c>
      <c r="BT60" s="387">
        <f>+BT57+BT59</f>
        <v>5655</v>
      </c>
      <c r="BU60" s="385">
        <f>BU57+BU59</f>
        <v>19962</v>
      </c>
      <c r="BV60" s="386">
        <f>+BV57+BV59</f>
        <v>5696</v>
      </c>
      <c r="BW60" s="386">
        <f>+BW57+BW59</f>
        <v>5213</v>
      </c>
      <c r="BX60" s="386">
        <f>+BX57+BX59</f>
        <v>5067</v>
      </c>
      <c r="BY60" s="387">
        <f>+BY57+BY59</f>
        <v>5503</v>
      </c>
      <c r="BZ60" s="385">
        <f>BZ57+BZ59</f>
        <v>21479</v>
      </c>
      <c r="CA60" s="386">
        <f>+CA57+CA59</f>
        <v>5615</v>
      </c>
      <c r="CB60" s="386">
        <f>+CB57+CB59</f>
        <v>5711</v>
      </c>
      <c r="CC60" s="386">
        <f>+CC57+CC59</f>
        <v>5371</v>
      </c>
      <c r="CD60" s="387">
        <f>+CD57+CD59</f>
        <v>5595</v>
      </c>
      <c r="CE60" s="385">
        <f>CE57+CE59</f>
        <v>22292</v>
      </c>
      <c r="CF60" s="386">
        <f>+CF57+CF59</f>
        <v>5720</v>
      </c>
      <c r="CG60" s="386">
        <f>+CG57+CG59</f>
        <v>5971</v>
      </c>
      <c r="CH60" s="386">
        <f>+CH57+CH59</f>
        <v>5625</v>
      </c>
      <c r="CI60" s="387">
        <f>+CI57+CI59</f>
        <v>5635</v>
      </c>
      <c r="CJ60" s="385">
        <f>CJ57+CJ59</f>
        <v>22951</v>
      </c>
      <c r="CK60" s="386">
        <f>+CK57+CK59</f>
        <v>5257</v>
      </c>
      <c r="CL60" s="386">
        <f>+CL57+CL59</f>
        <v>5389</v>
      </c>
      <c r="CM60" s="386">
        <f>+CM57+CM59</f>
        <v>4675</v>
      </c>
      <c r="CN60" s="386">
        <f>+CN57+CN59</f>
        <v>4469</v>
      </c>
      <c r="CO60" s="385">
        <f>CO57+CO59</f>
        <v>19790</v>
      </c>
      <c r="CP60" s="386">
        <f>+CP57+CP59</f>
        <v>4943</v>
      </c>
      <c r="CQ60" s="386">
        <f>+CQ57+CQ59</f>
        <v>5045</v>
      </c>
      <c r="CR60" s="386">
        <f>+CR57+CR59</f>
        <v>4530</v>
      </c>
      <c r="CS60" s="386">
        <f>+CS57+CS59</f>
        <v>5393</v>
      </c>
      <c r="CT60" s="385">
        <f>CT57+CT59</f>
        <v>19911</v>
      </c>
      <c r="CU60" s="386">
        <f>+CU57+CU59</f>
        <v>4798</v>
      </c>
      <c r="CV60" s="386">
        <f>+CV57*CV61</f>
        <v>4432.5080302527222</v>
      </c>
      <c r="CW60" s="386">
        <f>+CW57*CW61</f>
        <v>4087.6760367206348</v>
      </c>
      <c r="CX60" s="386">
        <f>+CX57*CX61</f>
        <v>3967.5953193039004</v>
      </c>
      <c r="CY60" s="385">
        <f>CY57+CY59</f>
        <v>17285.779386277252</v>
      </c>
      <c r="CZ60" s="386">
        <f>+CZ57*CZ61</f>
        <v>4367.7703246131587</v>
      </c>
      <c r="DA60" s="386">
        <f>+DA57*DA61</f>
        <v>4195.5019296309156</v>
      </c>
      <c r="DB60" s="386">
        <f>+DB57*DB61</f>
        <v>3976.4859352530248</v>
      </c>
      <c r="DC60" s="386">
        <f>+DC57*DC61</f>
        <v>3865.8285488381994</v>
      </c>
      <c r="DD60" s="385">
        <f>DD57+DD59</f>
        <v>16405.5867383353</v>
      </c>
      <c r="DE60" s="386">
        <f>+DE57*DE61</f>
        <v>4406.4014389058375</v>
      </c>
      <c r="DF60" s="386">
        <f>+DF57*DF61</f>
        <v>4239.8101339784243</v>
      </c>
      <c r="DG60" s="386">
        <f>+DG57*DG61</f>
        <v>4039.2033307369056</v>
      </c>
      <c r="DH60" s="386">
        <f>+DH57*DH61</f>
        <v>3927.3842189790817</v>
      </c>
      <c r="DI60" s="385">
        <f>DI57+DI59</f>
        <v>16612.799122600249</v>
      </c>
      <c r="DP60" s="389"/>
      <c r="DT60" s="390"/>
    </row>
    <row r="61" spans="1:148" s="3" customFormat="1" ht="12" customHeight="1">
      <c r="A61" s="219"/>
      <c r="B61" s="110" t="s">
        <v>216</v>
      </c>
      <c r="C61" s="112">
        <f t="shared" ref="C61:AA61" si="85">C60/C57</f>
        <v>0.39623359412730608</v>
      </c>
      <c r="D61" s="112">
        <f t="shared" si="85"/>
        <v>0.40097211800875171</v>
      </c>
      <c r="E61" s="52">
        <f t="shared" si="85"/>
        <v>0.36508567899425309</v>
      </c>
      <c r="F61" s="112">
        <f t="shared" si="85"/>
        <v>0.37409563741184254</v>
      </c>
      <c r="G61" s="52">
        <f t="shared" si="85"/>
        <v>0.39925070316060968</v>
      </c>
      <c r="H61" s="112">
        <f t="shared" si="85"/>
        <v>0.39034440603659049</v>
      </c>
      <c r="I61" s="52">
        <f t="shared" si="85"/>
        <v>0.39303547963206309</v>
      </c>
      <c r="J61" s="112">
        <f t="shared" si="85"/>
        <v>0.40977844255398704</v>
      </c>
      <c r="K61" s="52">
        <f t="shared" si="85"/>
        <v>0.42860174160008491</v>
      </c>
      <c r="L61" s="112">
        <f t="shared" si="85"/>
        <v>0.44508977634155034</v>
      </c>
      <c r="M61" s="52">
        <f t="shared" si="85"/>
        <v>0.44045764264555431</v>
      </c>
      <c r="N61" s="112">
        <f t="shared" si="85"/>
        <v>0.43859756583098031</v>
      </c>
      <c r="O61" s="112">
        <f t="shared" si="85"/>
        <v>0.45028184892897405</v>
      </c>
      <c r="P61" s="112">
        <f t="shared" si="85"/>
        <v>0.44870437680237368</v>
      </c>
      <c r="Q61" s="112">
        <f t="shared" si="85"/>
        <v>0.46283790890922488</v>
      </c>
      <c r="R61" s="52">
        <f t="shared" si="85"/>
        <v>0.47033816425120772</v>
      </c>
      <c r="S61" s="52">
        <f t="shared" si="85"/>
        <v>0.45291201982651796</v>
      </c>
      <c r="T61" s="52">
        <f t="shared" si="85"/>
        <v>0.45816105532585155</v>
      </c>
      <c r="U61" s="52">
        <f t="shared" si="85"/>
        <v>0.4429413805064169</v>
      </c>
      <c r="V61" s="112">
        <f t="shared" si="85"/>
        <v>0.45575687853513563</v>
      </c>
      <c r="W61" s="52">
        <f t="shared" si="85"/>
        <v>0.4428547936194705</v>
      </c>
      <c r="X61" s="52">
        <f t="shared" si="85"/>
        <v>0.42749956377595533</v>
      </c>
      <c r="Y61" s="52">
        <f t="shared" si="85"/>
        <v>0.43807731782415327</v>
      </c>
      <c r="Z61" s="52">
        <f t="shared" si="85"/>
        <v>0.42766615146831533</v>
      </c>
      <c r="AA61" s="112">
        <f t="shared" si="85"/>
        <v>0.4339771220159151</v>
      </c>
      <c r="AB61" s="391"/>
      <c r="AC61" s="52">
        <f t="shared" ref="AC61:BX61" si="86">AC60/AC57</f>
        <v>0.43682421995675008</v>
      </c>
      <c r="AD61" s="52">
        <f t="shared" si="86"/>
        <v>0.42485306465155331</v>
      </c>
      <c r="AE61" s="52">
        <f t="shared" si="86"/>
        <v>0.4422175529335704</v>
      </c>
      <c r="AF61" s="52">
        <f t="shared" si="86"/>
        <v>0.43900253845005227</v>
      </c>
      <c r="AG61" s="112">
        <f t="shared" si="86"/>
        <v>0.43590250069134434</v>
      </c>
      <c r="AH61" s="52">
        <f t="shared" si="86"/>
        <v>0.44928991536364943</v>
      </c>
      <c r="AI61" s="52">
        <f t="shared" si="86"/>
        <v>0.43943399160317215</v>
      </c>
      <c r="AJ61" s="52">
        <f t="shared" si="86"/>
        <v>0.44506597819850829</v>
      </c>
      <c r="AK61" s="52">
        <f t="shared" si="86"/>
        <v>0.4558922558922559</v>
      </c>
      <c r="AL61" s="112">
        <f t="shared" si="86"/>
        <v>0.44771394654483976</v>
      </c>
      <c r="AM61" s="52">
        <f t="shared" si="86"/>
        <v>0.46617389125532449</v>
      </c>
      <c r="AN61" s="52">
        <f t="shared" si="86"/>
        <v>0.45081300813008129</v>
      </c>
      <c r="AO61" s="52">
        <f t="shared" si="86"/>
        <v>0.45924932975871313</v>
      </c>
      <c r="AP61" s="52">
        <f t="shared" si="86"/>
        <v>0.46188456099755754</v>
      </c>
      <c r="AQ61" s="112">
        <f t="shared" si="86"/>
        <v>0.4596908597758243</v>
      </c>
      <c r="AR61" s="52">
        <f t="shared" si="86"/>
        <v>0.47480389826479674</v>
      </c>
      <c r="AS61" s="52">
        <f t="shared" si="86"/>
        <v>0.45550351288056207</v>
      </c>
      <c r="AT61" s="52">
        <f t="shared" si="86"/>
        <v>0.4592878486055777</v>
      </c>
      <c r="AU61" s="52">
        <f t="shared" si="86"/>
        <v>0.45924308588064044</v>
      </c>
      <c r="AV61" s="112">
        <f t="shared" si="86"/>
        <v>0.46241042747714356</v>
      </c>
      <c r="AW61" s="52">
        <f t="shared" si="86"/>
        <v>0.45502703895817237</v>
      </c>
      <c r="AX61" s="52">
        <f t="shared" si="86"/>
        <v>0.44205378973105136</v>
      </c>
      <c r="AY61" s="52">
        <f t="shared" si="86"/>
        <v>0.44473434535104367</v>
      </c>
      <c r="AZ61" s="52">
        <f t="shared" si="86"/>
        <v>0.44059006569090697</v>
      </c>
      <c r="BA61" s="112">
        <f t="shared" si="86"/>
        <v>0.445764192139738</v>
      </c>
      <c r="BB61" s="52">
        <f t="shared" si="86"/>
        <v>0.43682469680264607</v>
      </c>
      <c r="BC61" s="52">
        <f t="shared" si="86"/>
        <v>0.42997428103811081</v>
      </c>
      <c r="BD61" s="52">
        <f t="shared" si="86"/>
        <v>0.4383348174532502</v>
      </c>
      <c r="BE61" s="52">
        <f t="shared" si="86"/>
        <v>0.44723669424864643</v>
      </c>
      <c r="BF61" s="113">
        <f t="shared" si="86"/>
        <v>0.43838777921257244</v>
      </c>
      <c r="BG61" s="52">
        <f t="shared" si="86"/>
        <v>0.44199839163650984</v>
      </c>
      <c r="BH61" s="52">
        <f t="shared" si="86"/>
        <v>0.43791337742692554</v>
      </c>
      <c r="BI61" s="52">
        <f t="shared" si="86"/>
        <v>0.45146186661117471</v>
      </c>
      <c r="BJ61" s="52">
        <f t="shared" si="86"/>
        <v>0.45492930086410055</v>
      </c>
      <c r="BK61" s="113">
        <f t="shared" si="86"/>
        <v>0.44671114860546568</v>
      </c>
      <c r="BL61" s="52">
        <f t="shared" si="86"/>
        <v>0.45694183864915572</v>
      </c>
      <c r="BM61" s="52">
        <f t="shared" si="86"/>
        <v>0.4400542320356382</v>
      </c>
      <c r="BN61" s="52">
        <f t="shared" si="86"/>
        <v>0.44269596199524941</v>
      </c>
      <c r="BO61" s="52">
        <f t="shared" si="86"/>
        <v>0.37272295263741484</v>
      </c>
      <c r="BP61" s="113">
        <f t="shared" si="86"/>
        <v>0.43421650669732376</v>
      </c>
      <c r="BQ61" s="52">
        <f t="shared" si="86"/>
        <v>0.44751746271474419</v>
      </c>
      <c r="BR61" s="52">
        <f t="shared" si="86"/>
        <v>0.43111269234190164</v>
      </c>
      <c r="BS61" s="52">
        <f t="shared" si="86"/>
        <v>0.45563387081201118</v>
      </c>
      <c r="BT61" s="114">
        <f t="shared" si="86"/>
        <v>0.45811730395333766</v>
      </c>
      <c r="BU61" s="113">
        <f t="shared" si="86"/>
        <v>0.44820153576721</v>
      </c>
      <c r="BV61" s="52">
        <f t="shared" si="86"/>
        <v>0.46505551926845201</v>
      </c>
      <c r="BW61" s="52">
        <f t="shared" si="86"/>
        <v>0.45901206304481817</v>
      </c>
      <c r="BX61" s="52">
        <f t="shared" si="86"/>
        <v>0.4661024744733695</v>
      </c>
      <c r="BY61" s="114">
        <f t="shared" ref="BY61" si="87">BY60/BY57</f>
        <v>0.44981199934608468</v>
      </c>
      <c r="BZ61" s="113">
        <f>BZ60/BZ57</f>
        <v>0.45983729394134021</v>
      </c>
      <c r="CA61" s="52">
        <f t="shared" ref="CA61:CG61" si="88">CA60/CA57</f>
        <v>0.44257901789233073</v>
      </c>
      <c r="CB61" s="52">
        <f t="shared" si="88"/>
        <v>0.42891475779196397</v>
      </c>
      <c r="CC61" s="52">
        <f t="shared" si="88"/>
        <v>0.43349475383373687</v>
      </c>
      <c r="CD61" s="114">
        <f t="shared" si="88"/>
        <v>0.43625730994152045</v>
      </c>
      <c r="CE61" s="113">
        <f>CE60/CE57</f>
        <v>0.43524610969014194</v>
      </c>
      <c r="CF61" s="114">
        <f>CF60/CF57</f>
        <v>0.44207434886776414</v>
      </c>
      <c r="CG61" s="114">
        <f t="shared" si="88"/>
        <v>0.44599641469973111</v>
      </c>
      <c r="CH61" s="52">
        <f>CH60/CH57</f>
        <v>0.45257060101375812</v>
      </c>
      <c r="CI61" s="114">
        <f t="shared" ref="CI61" si="89">CI60/CI57</f>
        <v>0.44700936062192609</v>
      </c>
      <c r="CJ61" s="113">
        <f>CJ60/CJ57</f>
        <v>0.44684786417974376</v>
      </c>
      <c r="CK61" s="114">
        <f>CK60/CK57</f>
        <v>0.45361981189058592</v>
      </c>
      <c r="CL61" s="114">
        <f t="shared" ref="CL61:CN61" si="90">CL60/CL57</f>
        <v>0.43621499109600131</v>
      </c>
      <c r="CM61" s="114">
        <f t="shared" si="90"/>
        <v>0.41485491170467653</v>
      </c>
      <c r="CN61" s="114">
        <f t="shared" si="90"/>
        <v>0.40272145624943678</v>
      </c>
      <c r="CO61" s="113">
        <f>CO60/CO57</f>
        <v>0.42734673605562634</v>
      </c>
      <c r="CP61" s="114">
        <f>CP60/CP57</f>
        <v>0.42175767918088736</v>
      </c>
      <c r="CQ61" s="114">
        <f t="shared" ref="CQ61:CU61" si="91">CQ60/CQ57</f>
        <v>0.40597086988009978</v>
      </c>
      <c r="CR61" s="114">
        <f t="shared" si="91"/>
        <v>0.40163135029701214</v>
      </c>
      <c r="CS61" s="114">
        <f t="shared" si="91"/>
        <v>0.49152387896463728</v>
      </c>
      <c r="CT61" s="113">
        <f>CT60/CT57</f>
        <v>0.42913487650329757</v>
      </c>
      <c r="CU61" s="114">
        <f t="shared" si="91"/>
        <v>0.42789619192009276</v>
      </c>
      <c r="CV61" s="114">
        <f>CQ61+CV62/10000</f>
        <v>0.40747086988009978</v>
      </c>
      <c r="CW61" s="114">
        <f>CR61+CW62/10000</f>
        <v>0.39663135029701213</v>
      </c>
      <c r="CX61" s="114">
        <f>CS61+CX62/10000</f>
        <v>0.40152387896463726</v>
      </c>
      <c r="CY61" s="113">
        <f>CY60/CY57</f>
        <v>0.4088558072475037</v>
      </c>
      <c r="CZ61" s="114">
        <f>CU61+CZ62/10000</f>
        <v>0.42289619192009276</v>
      </c>
      <c r="DA61" s="114">
        <f>CV61+DA62/10000</f>
        <v>0.40497086988009978</v>
      </c>
      <c r="DB61" s="114">
        <f>CW61+DB62/10000</f>
        <v>0.39663135029701213</v>
      </c>
      <c r="DC61" s="114">
        <f>CX61+DC62/10000</f>
        <v>0.40152387896463726</v>
      </c>
      <c r="DD61" s="113">
        <f>DD60/DD57</f>
        <v>0.40666490918628762</v>
      </c>
      <c r="DE61" s="114">
        <f>CZ61+DE62/10000</f>
        <v>0.42639619192009276</v>
      </c>
      <c r="DF61" s="114">
        <f>DA61+DF62/10000</f>
        <v>0.40847086988009979</v>
      </c>
      <c r="DG61" s="114">
        <f>DB61+DG62/10000</f>
        <v>0.40013135029701213</v>
      </c>
      <c r="DH61" s="114">
        <f>DC61+DH62/10000</f>
        <v>0.40502387896463726</v>
      </c>
      <c r="DI61" s="113">
        <f>DI60/DI57</f>
        <v>0.4101405845194635</v>
      </c>
      <c r="DP61" s="9"/>
      <c r="DQ61" s="392"/>
      <c r="DR61" s="393"/>
      <c r="DS61" s="393"/>
      <c r="DT61" s="393"/>
    </row>
    <row r="62" spans="1:148" s="4" customFormat="1" ht="12" customHeight="1">
      <c r="A62" s="219"/>
      <c r="B62" s="110" t="s">
        <v>277</v>
      </c>
      <c r="C62" s="217" t="s">
        <v>126</v>
      </c>
      <c r="D62" s="202">
        <f t="shared" ref="D62:Q62" si="92">+(D61-C61)*100*100</f>
        <v>47.385238814456329</v>
      </c>
      <c r="E62" s="202">
        <f t="shared" si="92"/>
        <v>-358.86439014498615</v>
      </c>
      <c r="F62" s="220">
        <f t="shared" si="92"/>
        <v>90.099584175894478</v>
      </c>
      <c r="G62" s="184">
        <f t="shared" si="92"/>
        <v>251.55065748767134</v>
      </c>
      <c r="H62" s="220">
        <f t="shared" si="92"/>
        <v>-89.062971240191914</v>
      </c>
      <c r="I62" s="184">
        <f t="shared" si="92"/>
        <v>26.910735954726039</v>
      </c>
      <c r="J62" s="220">
        <f t="shared" si="92"/>
        <v>167.42962921923953</v>
      </c>
      <c r="K62" s="184">
        <f t="shared" si="92"/>
        <v>188.23299046097864</v>
      </c>
      <c r="L62" s="220">
        <f t="shared" si="92"/>
        <v>164.8803474146543</v>
      </c>
      <c r="M62" s="185">
        <f t="shared" si="92"/>
        <v>-46.321336959960213</v>
      </c>
      <c r="N62" s="220">
        <f t="shared" si="92"/>
        <v>-18.600768145740076</v>
      </c>
      <c r="O62" s="202">
        <f t="shared" si="92"/>
        <v>116.84283097993742</v>
      </c>
      <c r="P62" s="220">
        <f t="shared" si="92"/>
        <v>-15.774721266003656</v>
      </c>
      <c r="Q62" s="220">
        <f t="shared" si="92"/>
        <v>141.33532106851197</v>
      </c>
      <c r="R62" s="217" t="s">
        <v>126</v>
      </c>
      <c r="S62" s="217" t="s">
        <v>126</v>
      </c>
      <c r="T62" s="217" t="s">
        <v>126</v>
      </c>
      <c r="U62" s="217" t="s">
        <v>126</v>
      </c>
      <c r="V62" s="220">
        <f t="shared" ref="V62:AA62" si="93">+(V61-Q61)*100*100</f>
        <v>-70.810303740892479</v>
      </c>
      <c r="W62" s="184">
        <f t="shared" si="93"/>
        <v>-274.83370631737228</v>
      </c>
      <c r="X62" s="184">
        <f t="shared" si="93"/>
        <v>-254.12456050562636</v>
      </c>
      <c r="Y62" s="184">
        <f t="shared" si="93"/>
        <v>-200.83737501698283</v>
      </c>
      <c r="Z62" s="184">
        <f t="shared" si="93"/>
        <v>-152.7522903810158</v>
      </c>
      <c r="AA62" s="220">
        <f t="shared" si="93"/>
        <v>-217.79756519220541</v>
      </c>
      <c r="AB62" s="112"/>
      <c r="AC62" s="202">
        <f>+(AC61-W61)*100*100</f>
        <v>-60.305736627204176</v>
      </c>
      <c r="AD62" s="184">
        <f>+(AD61-X61)*100*100</f>
        <v>-26.46499124402013</v>
      </c>
      <c r="AE62" s="184">
        <f>+(AE61-Y61)*100*100</f>
        <v>41.402351094171344</v>
      </c>
      <c r="AF62" s="184">
        <f>+(AF61-Z61)*100*100</f>
        <v>113.36386981736946</v>
      </c>
      <c r="AG62" s="220">
        <f>+(AG61-AA61)*100*100</f>
        <v>19.253786754292456</v>
      </c>
      <c r="AH62" s="184">
        <f t="shared" ref="AH62:CC62" si="94">+(AH61-AC61)*100*100</f>
        <v>124.65695406899346</v>
      </c>
      <c r="AI62" s="184">
        <f t="shared" si="94"/>
        <v>145.80926951618832</v>
      </c>
      <c r="AJ62" s="184">
        <f t="shared" si="94"/>
        <v>28.484252649378927</v>
      </c>
      <c r="AK62" s="185">
        <f t="shared" si="94"/>
        <v>168.89717442203633</v>
      </c>
      <c r="AL62" s="185">
        <f t="shared" si="94"/>
        <v>118.11445853495417</v>
      </c>
      <c r="AM62" s="202">
        <f t="shared" si="94"/>
        <v>168.83975891675064</v>
      </c>
      <c r="AN62" s="184">
        <f t="shared" si="94"/>
        <v>113.79016526909147</v>
      </c>
      <c r="AO62" s="184">
        <f t="shared" si="94"/>
        <v>141.83351560204838</v>
      </c>
      <c r="AP62" s="184">
        <f t="shared" si="94"/>
        <v>59.923051053016316</v>
      </c>
      <c r="AQ62" s="220">
        <f t="shared" si="94"/>
        <v>119.76913230984543</v>
      </c>
      <c r="AR62" s="184">
        <f t="shared" si="94"/>
        <v>86.300070094722514</v>
      </c>
      <c r="AS62" s="184">
        <f t="shared" si="94"/>
        <v>46.905047504807726</v>
      </c>
      <c r="AT62" s="184">
        <f t="shared" si="94"/>
        <v>0.38518846864565859</v>
      </c>
      <c r="AU62" s="184">
        <f t="shared" si="94"/>
        <v>-26.414751169170913</v>
      </c>
      <c r="AV62" s="220">
        <f t="shared" si="94"/>
        <v>27.195677013192586</v>
      </c>
      <c r="AW62" s="184">
        <f t="shared" si="94"/>
        <v>-197.76859306624374</v>
      </c>
      <c r="AX62" s="184">
        <f t="shared" si="94"/>
        <v>-134.49723149510706</v>
      </c>
      <c r="AY62" s="184">
        <f t="shared" si="94"/>
        <v>-145.53503254534027</v>
      </c>
      <c r="AZ62" s="184">
        <f t="shared" si="94"/>
        <v>-186.53020189733471</v>
      </c>
      <c r="BA62" s="220">
        <f t="shared" si="94"/>
        <v>-166.46235337405557</v>
      </c>
      <c r="BB62" s="184">
        <f t="shared" si="94"/>
        <v>-182.02342155526296</v>
      </c>
      <c r="BC62" s="184">
        <f t="shared" si="94"/>
        <v>-120.79508692940554</v>
      </c>
      <c r="BD62" s="184">
        <f t="shared" si="94"/>
        <v>-63.995278977934667</v>
      </c>
      <c r="BE62" s="184">
        <f t="shared" si="94"/>
        <v>66.46628557739453</v>
      </c>
      <c r="BF62" s="220">
        <f t="shared" si="94"/>
        <v>-73.764129271655648</v>
      </c>
      <c r="BG62" s="184">
        <f t="shared" si="94"/>
        <v>51.736948338637625</v>
      </c>
      <c r="BH62" s="184">
        <f t="shared" si="94"/>
        <v>79.390963888147368</v>
      </c>
      <c r="BI62" s="184">
        <f t="shared" si="94"/>
        <v>131.27049157924509</v>
      </c>
      <c r="BJ62" s="184">
        <f t="shared" si="94"/>
        <v>76.926066154541232</v>
      </c>
      <c r="BK62" s="220">
        <f t="shared" si="94"/>
        <v>83.233693928932425</v>
      </c>
      <c r="BL62" s="115">
        <f t="shared" si="94"/>
        <v>149.43447012645882</v>
      </c>
      <c r="BM62" s="115">
        <f t="shared" si="94"/>
        <v>21.408546087126613</v>
      </c>
      <c r="BN62" s="115">
        <f t="shared" si="94"/>
        <v>-87.659046159253023</v>
      </c>
      <c r="BO62" s="115">
        <f t="shared" si="94"/>
        <v>-822.06348226685714</v>
      </c>
      <c r="BP62" s="220">
        <f t="shared" si="94"/>
        <v>-124.94641908141924</v>
      </c>
      <c r="BQ62" s="115">
        <f t="shared" si="94"/>
        <v>-94.243759344115333</v>
      </c>
      <c r="BR62" s="115">
        <f t="shared" si="94"/>
        <v>-89.415396937365671</v>
      </c>
      <c r="BS62" s="115">
        <f t="shared" si="94"/>
        <v>129.37908816761768</v>
      </c>
      <c r="BT62" s="115">
        <f t="shared" si="94"/>
        <v>853.94351315922825</v>
      </c>
      <c r="BU62" s="220">
        <f t="shared" si="94"/>
        <v>139.85029069886247</v>
      </c>
      <c r="BV62" s="115">
        <f t="shared" si="94"/>
        <v>175.38056553707827</v>
      </c>
      <c r="BW62" s="115">
        <f t="shared" si="94"/>
        <v>278.99370702916536</v>
      </c>
      <c r="BX62" s="115">
        <f t="shared" si="94"/>
        <v>104.68603661358323</v>
      </c>
      <c r="BY62" s="115">
        <f t="shared" si="94"/>
        <v>-83.053046072529838</v>
      </c>
      <c r="BZ62" s="220">
        <f>+(BZ61-BU61)*100*100</f>
        <v>116.35758174130206</v>
      </c>
      <c r="CA62" s="115">
        <f t="shared" si="94"/>
        <v>-224.7650137612128</v>
      </c>
      <c r="CB62" s="115">
        <f t="shared" si="94"/>
        <v>-300.97305252854198</v>
      </c>
      <c r="CC62" s="115">
        <f t="shared" si="94"/>
        <v>-326.07720639632635</v>
      </c>
      <c r="CD62" s="115">
        <f t="shared" ref="CD62" si="95">+(CD61-BY61)*100*100</f>
        <v>-135.54689404564223</v>
      </c>
      <c r="CE62" s="220">
        <f>+(CE61-BZ61)*100*100</f>
        <v>-245.91184251198274</v>
      </c>
      <c r="CF62" s="115">
        <f t="shared" ref="CF62:CP62" si="96">+(CF61-CA61)*100*100</f>
        <v>-5.0466902456658413</v>
      </c>
      <c r="CG62" s="115">
        <f t="shared" si="96"/>
        <v>170.8165690776714</v>
      </c>
      <c r="CH62" s="115">
        <f t="shared" si="96"/>
        <v>190.75847180021256</v>
      </c>
      <c r="CI62" s="115">
        <f t="shared" si="96"/>
        <v>107.52050680405634</v>
      </c>
      <c r="CJ62" s="220">
        <f>+(CJ61-CE61)*100*100</f>
        <v>116.01754489601824</v>
      </c>
      <c r="CK62" s="115">
        <f t="shared" si="96"/>
        <v>115.45463022821778</v>
      </c>
      <c r="CL62" s="115">
        <f>+(CL61-CG61)*100*100</f>
        <v>-97.814236037298002</v>
      </c>
      <c r="CM62" s="115">
        <f t="shared" si="96"/>
        <v>-377.15689309081586</v>
      </c>
      <c r="CN62" s="115">
        <f t="shared" si="96"/>
        <v>-442.87904372489305</v>
      </c>
      <c r="CO62" s="220">
        <f>+(CO61-CJ61)*100*100</f>
        <v>-195.01128124117417</v>
      </c>
      <c r="CP62" s="115">
        <f t="shared" si="96"/>
        <v>-318.62132709698568</v>
      </c>
      <c r="CQ62" s="115">
        <f>+(CQ61-CL61)*100*100</f>
        <v>-302.44121215901532</v>
      </c>
      <c r="CR62" s="115">
        <f>+(CR61-CM61)*100*100</f>
        <v>-132.23561407664397</v>
      </c>
      <c r="CS62" s="115">
        <f t="shared" ref="CS62" si="97">+(CS61-CN61)*100*100</f>
        <v>888.02422715200498</v>
      </c>
      <c r="CT62" s="220">
        <f>+(CT61-CO61)*100*100</f>
        <v>17.88140447671227</v>
      </c>
      <c r="CU62" s="115">
        <f t="shared" ref="CU62" si="98">+(CU61-CP61)*100*100</f>
        <v>61.385127392054038</v>
      </c>
      <c r="CV62" s="186">
        <v>15</v>
      </c>
      <c r="CW62" s="186">
        <v>-50</v>
      </c>
      <c r="CX62" s="186">
        <v>-900</v>
      </c>
      <c r="CY62" s="220">
        <f>+(CY61-CT61)*100*100</f>
        <v>-202.79069255793871</v>
      </c>
      <c r="CZ62" s="186">
        <v>-50</v>
      </c>
      <c r="DA62" s="186">
        <v>-25</v>
      </c>
      <c r="DB62" s="186">
        <v>0</v>
      </c>
      <c r="DC62" s="186">
        <v>0</v>
      </c>
      <c r="DD62" s="220">
        <f>+(DD61-CY61)*100*100</f>
        <v>-21.908980612160846</v>
      </c>
      <c r="DE62" s="186">
        <v>35</v>
      </c>
      <c r="DF62" s="186">
        <v>35</v>
      </c>
      <c r="DG62" s="186">
        <v>35</v>
      </c>
      <c r="DH62" s="186">
        <v>35</v>
      </c>
      <c r="DI62" s="220">
        <f>+(DI61-DD61)*100*100</f>
        <v>34.756753331758873</v>
      </c>
      <c r="DM62" s="225"/>
      <c r="DP62" s="9"/>
      <c r="DQ62" s="394"/>
      <c r="DR62" s="394"/>
      <c r="DS62" s="394"/>
      <c r="DT62" s="394"/>
    </row>
    <row r="63" spans="1:148" s="395" customFormat="1" ht="12" customHeight="1">
      <c r="A63" s="239"/>
      <c r="B63" s="20" t="s">
        <v>80</v>
      </c>
      <c r="C63" s="39" t="s">
        <v>1</v>
      </c>
      <c r="D63" s="36">
        <v>-978.3</v>
      </c>
      <c r="E63" s="43">
        <v>-1129.0999999999999</v>
      </c>
      <c r="F63" s="36">
        <v>-978.6</v>
      </c>
      <c r="G63" s="43">
        <v>-978.2</v>
      </c>
      <c r="H63" s="36">
        <v>-998.2</v>
      </c>
      <c r="I63" s="43">
        <v>-1027.9000000000001</v>
      </c>
      <c r="J63" s="36">
        <v>-1166.8</v>
      </c>
      <c r="K63" s="43">
        <v>-1377.9</v>
      </c>
      <c r="L63" s="36">
        <v>-1600.7</v>
      </c>
      <c r="M63" s="43">
        <v>-1740.2000000000003</v>
      </c>
      <c r="N63" s="36">
        <v>-1912.4</v>
      </c>
      <c r="O63" s="36">
        <v>-2308.3000000000002</v>
      </c>
      <c r="P63" s="36">
        <v>-2351.4</v>
      </c>
      <c r="Q63" s="36">
        <v>-2356</v>
      </c>
      <c r="R63" s="43">
        <v>-679</v>
      </c>
      <c r="S63" s="43">
        <v>-574</v>
      </c>
      <c r="T63" s="43">
        <v>-578</v>
      </c>
      <c r="U63" s="43">
        <v>-617</v>
      </c>
      <c r="V63" s="36">
        <v>-2448</v>
      </c>
      <c r="W63" s="43">
        <v>-692</v>
      </c>
      <c r="X63" s="43">
        <v>-644</v>
      </c>
      <c r="Y63" s="43">
        <v>-615</v>
      </c>
      <c r="Z63" s="43">
        <v>-760</v>
      </c>
      <c r="AA63" s="36">
        <v>-2711</v>
      </c>
      <c r="AB63" s="40" t="s">
        <v>126</v>
      </c>
      <c r="AC63" s="43">
        <f>-1484+613</f>
        <v>-871</v>
      </c>
      <c r="AD63" s="43">
        <v>-613</v>
      </c>
      <c r="AE63" s="43">
        <v>-619</v>
      </c>
      <c r="AF63" s="43">
        <v>-642</v>
      </c>
      <c r="AG63" s="36">
        <v>-2745</v>
      </c>
      <c r="AH63" s="43">
        <v>-731</v>
      </c>
      <c r="AI63" s="43">
        <v>-691</v>
      </c>
      <c r="AJ63" s="43">
        <v>-733</v>
      </c>
      <c r="AK63" s="43">
        <v>-876</v>
      </c>
      <c r="AL63" s="36">
        <v>-3031</v>
      </c>
      <c r="AM63" s="43">
        <v>-897</v>
      </c>
      <c r="AN63" s="43">
        <v>-766</v>
      </c>
      <c r="AO63" s="43">
        <v>-731</v>
      </c>
      <c r="AP63" s="43">
        <v>-819</v>
      </c>
      <c r="AQ63" s="36">
        <v>-3213</v>
      </c>
      <c r="AR63" s="43">
        <v>-832</v>
      </c>
      <c r="AS63" s="43">
        <v>-769</v>
      </c>
      <c r="AT63" s="43">
        <v>-804</v>
      </c>
      <c r="AU63" s="43">
        <v>-873</v>
      </c>
      <c r="AV63" s="36">
        <v>-3278</v>
      </c>
      <c r="AW63" s="43">
        <v>-1041</v>
      </c>
      <c r="AX63" s="43">
        <v>-762</v>
      </c>
      <c r="AY63" s="43">
        <v>-749</v>
      </c>
      <c r="AZ63" s="43">
        <v>-789</v>
      </c>
      <c r="BA63" s="36">
        <v>-3341</v>
      </c>
      <c r="BB63" s="43">
        <v>-855</v>
      </c>
      <c r="BC63" s="43">
        <v>-877</v>
      </c>
      <c r="BD63" s="43">
        <v>-862</v>
      </c>
      <c r="BE63" s="43">
        <v>-983</v>
      </c>
      <c r="BF63" s="36">
        <f>SUM(BB63:BE63)</f>
        <v>-3577</v>
      </c>
      <c r="BG63" s="43">
        <v>-964</v>
      </c>
      <c r="BH63" s="43">
        <v>-910</v>
      </c>
      <c r="BI63" s="369">
        <v>-865</v>
      </c>
      <c r="BJ63" s="369">
        <v>-1014</v>
      </c>
      <c r="BK63" s="36">
        <f>SUM(BG63:BJ63)</f>
        <v>-3753</v>
      </c>
      <c r="BL63" s="369">
        <v>-1018</v>
      </c>
      <c r="BM63" s="369">
        <v>-881</v>
      </c>
      <c r="BN63" s="369">
        <v>-870</v>
      </c>
      <c r="BO63" s="369">
        <v>-823</v>
      </c>
      <c r="BP63" s="36">
        <f>SUM(BL63:BO63)</f>
        <v>-3592</v>
      </c>
      <c r="BQ63" s="369">
        <v>-677</v>
      </c>
      <c r="BR63" s="369">
        <v>-729</v>
      </c>
      <c r="BS63" s="369">
        <v>-711</v>
      </c>
      <c r="BT63" s="369">
        <v>-997</v>
      </c>
      <c r="BU63" s="36">
        <f>SUM(BQ63:BT63)</f>
        <v>-3114</v>
      </c>
      <c r="BV63" s="369">
        <v>-918</v>
      </c>
      <c r="BW63" s="369">
        <v>-1017</v>
      </c>
      <c r="BX63" s="369">
        <v>-854</v>
      </c>
      <c r="BY63" s="369">
        <v>-1061</v>
      </c>
      <c r="BZ63" s="36">
        <f>SUM(BV63:BY63)</f>
        <v>-3850</v>
      </c>
      <c r="CA63" s="369">
        <v>-943</v>
      </c>
      <c r="CB63" s="369">
        <v>-1102</v>
      </c>
      <c r="CC63" s="369">
        <v>-923</v>
      </c>
      <c r="CD63" s="369">
        <v>-1092</v>
      </c>
      <c r="CE63" s="36">
        <f>SUM(CA63:CD63)</f>
        <v>-4060</v>
      </c>
      <c r="CF63" s="369">
        <v>-1069</v>
      </c>
      <c r="CG63" s="369">
        <v>-1114</v>
      </c>
      <c r="CH63" s="369">
        <v>-1011</v>
      </c>
      <c r="CI63" s="369">
        <f>-1091</f>
        <v>-1091</v>
      </c>
      <c r="CJ63" s="36">
        <f>SUM(CF63:CI63)</f>
        <v>-4285</v>
      </c>
      <c r="CK63" s="369">
        <v>-1226</v>
      </c>
      <c r="CL63" s="369">
        <v>-1122</v>
      </c>
      <c r="CM63" s="369">
        <v>-1088</v>
      </c>
      <c r="CN63" s="369">
        <v>-1253</v>
      </c>
      <c r="CO63" s="36">
        <f>SUM(CK63:CN63)</f>
        <v>-4689</v>
      </c>
      <c r="CP63" s="369">
        <v>-1188</v>
      </c>
      <c r="CQ63" s="369">
        <v>-1273</v>
      </c>
      <c r="CR63" s="369">
        <v>-1090</v>
      </c>
      <c r="CS63" s="369">
        <v>-1203</v>
      </c>
      <c r="CT63" s="36">
        <f>SUM(CP63:CS63)</f>
        <v>-4754</v>
      </c>
      <c r="CU63" s="369">
        <v>-1252</v>
      </c>
      <c r="CV63" s="369">
        <f>+CV57*-CV65</f>
        <v>-1168.7236897981734</v>
      </c>
      <c r="CW63" s="369">
        <f>+CW57*-CW65</f>
        <v>-995.96787826048399</v>
      </c>
      <c r="CX63" s="369">
        <f>+CX57*-CX65</f>
        <v>-1083.4174329301859</v>
      </c>
      <c r="CY63" s="36">
        <f>SUM(CU63:CX63)</f>
        <v>-4500.109000988843</v>
      </c>
      <c r="CZ63" s="369">
        <f>+CZ57*-CZ65</f>
        <v>-1049.9280061655845</v>
      </c>
      <c r="DA63" s="369">
        <f>+DA57*-DA65</f>
        <v>-1115.1331474602907</v>
      </c>
      <c r="DB63" s="369">
        <f>+DB57*-DB65</f>
        <v>-968.87625738655902</v>
      </c>
      <c r="DC63" s="369">
        <f>+DC57*-DC65</f>
        <v>-1055.6283354183738</v>
      </c>
      <c r="DD63" s="36">
        <f>SUM(CZ63:DC63)</f>
        <v>-4189.5657464308078</v>
      </c>
      <c r="DE63" s="369">
        <f>+DE57*-DE65</f>
        <v>-1050.519805342132</v>
      </c>
      <c r="DF63" s="369">
        <f>+DF57*-DF65</f>
        <v>-1117.2539623116268</v>
      </c>
      <c r="DG63" s="369">
        <f>+DG57*-DG65</f>
        <v>-975.54888616640926</v>
      </c>
      <c r="DH63" s="369">
        <f>+DH57*-DH65</f>
        <v>-1063.1696990702887</v>
      </c>
      <c r="DI63" s="36">
        <f>SUM(DE63:DH63)</f>
        <v>-4206.4923528904574</v>
      </c>
      <c r="DP63" s="396"/>
      <c r="DT63" s="397"/>
    </row>
    <row r="64" spans="1:148" ht="12" hidden="1" customHeight="1" outlineLevel="1">
      <c r="A64" s="219"/>
      <c r="B64" s="110" t="s">
        <v>215</v>
      </c>
      <c r="C64" s="52" t="s">
        <v>126</v>
      </c>
      <c r="D64" s="232" t="s">
        <v>126</v>
      </c>
      <c r="E64" s="52">
        <f t="shared" ref="E64:Q64" si="99">+E63/D63-1</f>
        <v>0.15414494531329859</v>
      </c>
      <c r="F64" s="112">
        <f t="shared" si="99"/>
        <v>-0.13329200247985107</v>
      </c>
      <c r="G64" s="52">
        <f t="shared" si="99"/>
        <v>-4.087471898630568E-4</v>
      </c>
      <c r="H64" s="112">
        <f t="shared" si="99"/>
        <v>2.0445716622367716E-2</v>
      </c>
      <c r="I64" s="52">
        <f t="shared" si="99"/>
        <v>2.9753556401522774E-2</v>
      </c>
      <c r="J64" s="112">
        <f t="shared" si="99"/>
        <v>0.13512987644712515</v>
      </c>
      <c r="K64" s="52">
        <f t="shared" si="99"/>
        <v>0.18092218032224894</v>
      </c>
      <c r="L64" s="112">
        <f t="shared" si="99"/>
        <v>0.16169533347848164</v>
      </c>
      <c r="M64" s="52">
        <f t="shared" si="99"/>
        <v>8.7149372149684545E-2</v>
      </c>
      <c r="N64" s="112">
        <f t="shared" si="99"/>
        <v>9.8954143201930744E-2</v>
      </c>
      <c r="O64" s="112">
        <f t="shared" si="99"/>
        <v>0.20701736038485685</v>
      </c>
      <c r="P64" s="112">
        <f t="shared" si="99"/>
        <v>1.867174977255992E-2</v>
      </c>
      <c r="Q64" s="112">
        <f t="shared" si="99"/>
        <v>1.9562813642934884E-3</v>
      </c>
      <c r="R64" s="378" t="s">
        <v>126</v>
      </c>
      <c r="S64" s="378" t="s">
        <v>126</v>
      </c>
      <c r="T64" s="378" t="s">
        <v>126</v>
      </c>
      <c r="U64" s="378" t="s">
        <v>126</v>
      </c>
      <c r="V64" s="112">
        <f t="shared" ref="V64:AA64" si="100">+V63/Q63-1</f>
        <v>3.9049235993208864E-2</v>
      </c>
      <c r="W64" s="52">
        <f t="shared" si="100"/>
        <v>1.9145802650957222E-2</v>
      </c>
      <c r="X64" s="52">
        <f t="shared" si="100"/>
        <v>0.12195121951219523</v>
      </c>
      <c r="Y64" s="52">
        <f t="shared" si="100"/>
        <v>6.4013840830449809E-2</v>
      </c>
      <c r="Z64" s="52">
        <f t="shared" si="100"/>
        <v>0.2317666126418152</v>
      </c>
      <c r="AA64" s="112">
        <f t="shared" si="100"/>
        <v>0.10743464052287588</v>
      </c>
      <c r="AB64" s="379"/>
      <c r="AC64" s="52">
        <f>+AC63/W63-1</f>
        <v>0.25867052023121384</v>
      </c>
      <c r="AD64" s="52">
        <f>+AD63/X63-1</f>
        <v>-4.8136645962732927E-2</v>
      </c>
      <c r="AE64" s="52">
        <f>+AE63/Y63-1</f>
        <v>6.5040650406504863E-3</v>
      </c>
      <c r="AF64" s="52">
        <f>+AF63/Z63-1</f>
        <v>-0.15526315789473688</v>
      </c>
      <c r="AG64" s="112">
        <f>+AG63/AA63-1</f>
        <v>1.2541497602360785E-2</v>
      </c>
      <c r="AH64" s="52">
        <f t="shared" ref="AH64:BG64" si="101">+AH63/AC63-1</f>
        <v>-0.16073478760045923</v>
      </c>
      <c r="AI64" s="52">
        <f t="shared" si="101"/>
        <v>0.12724306688417619</v>
      </c>
      <c r="AJ64" s="52">
        <f t="shared" si="101"/>
        <v>0.18416801292407103</v>
      </c>
      <c r="AK64" s="52">
        <f t="shared" si="101"/>
        <v>0.36448598130841114</v>
      </c>
      <c r="AL64" s="112">
        <f t="shared" si="101"/>
        <v>0.10418943533697633</v>
      </c>
      <c r="AM64" s="52">
        <f t="shared" si="101"/>
        <v>0.22708618331053354</v>
      </c>
      <c r="AN64" s="52">
        <f t="shared" si="101"/>
        <v>0.1085383502170767</v>
      </c>
      <c r="AO64" s="52">
        <f t="shared" si="101"/>
        <v>-2.7285129604365244E-3</v>
      </c>
      <c r="AP64" s="52">
        <f t="shared" si="101"/>
        <v>-6.506849315068497E-2</v>
      </c>
      <c r="AQ64" s="112">
        <f t="shared" si="101"/>
        <v>6.004618937644346E-2</v>
      </c>
      <c r="AR64" s="52">
        <f t="shared" si="101"/>
        <v>-7.2463768115942018E-2</v>
      </c>
      <c r="AS64" s="52">
        <f t="shared" si="101"/>
        <v>3.916449086161844E-3</v>
      </c>
      <c r="AT64" s="52">
        <f t="shared" si="101"/>
        <v>9.9863201094391174E-2</v>
      </c>
      <c r="AU64" s="52">
        <f t="shared" si="101"/>
        <v>6.5934065934065922E-2</v>
      </c>
      <c r="AV64" s="112">
        <f t="shared" si="101"/>
        <v>2.0230314347961409E-2</v>
      </c>
      <c r="AW64" s="52">
        <f t="shared" si="101"/>
        <v>0.25120192307692313</v>
      </c>
      <c r="AX64" s="52">
        <f t="shared" si="101"/>
        <v>-9.1027308192457301E-3</v>
      </c>
      <c r="AY64" s="52">
        <f t="shared" si="101"/>
        <v>-6.8407960199004969E-2</v>
      </c>
      <c r="AZ64" s="52">
        <f t="shared" si="101"/>
        <v>-9.6219931271477654E-2</v>
      </c>
      <c r="BA64" s="112">
        <f t="shared" si="101"/>
        <v>1.9219035997559475E-2</v>
      </c>
      <c r="BB64" s="52">
        <f t="shared" si="101"/>
        <v>-0.17867435158501443</v>
      </c>
      <c r="BC64" s="52">
        <f t="shared" si="101"/>
        <v>0.15091863517060378</v>
      </c>
      <c r="BD64" s="52">
        <f t="shared" si="101"/>
        <v>0.15086782376502006</v>
      </c>
      <c r="BE64" s="52">
        <f t="shared" si="101"/>
        <v>0.24588086185044356</v>
      </c>
      <c r="BF64" s="113">
        <f t="shared" si="101"/>
        <v>7.0637533672553099E-2</v>
      </c>
      <c r="BG64" s="52">
        <f t="shared" si="101"/>
        <v>0.12748538011695909</v>
      </c>
      <c r="BH64" s="114">
        <f>BH63/BC63-1</f>
        <v>3.7628278221208733E-2</v>
      </c>
      <c r="BI64" s="114">
        <f>BI63/BD63-1</f>
        <v>3.4802784222738303E-3</v>
      </c>
      <c r="BJ64" s="52">
        <f>+BJ63/BE63-1</f>
        <v>3.1536113936927679E-2</v>
      </c>
      <c r="BK64" s="113">
        <f>+BK63/BF63-1</f>
        <v>4.9203242941012082E-2</v>
      </c>
      <c r="BL64" s="114">
        <f>BL63/BG63-1</f>
        <v>5.6016597510373467E-2</v>
      </c>
      <c r="BM64" s="114">
        <f>BM63/BH63-1</f>
        <v>-3.1868131868131866E-2</v>
      </c>
      <c r="BN64" s="114">
        <f>BN63/BI63-1</f>
        <v>5.7803468208093012E-3</v>
      </c>
      <c r="BO64" s="114">
        <f>BO63/BJ63-1</f>
        <v>-0.18836291913214986</v>
      </c>
      <c r="BP64" s="113">
        <f>+BP63/BK63-1</f>
        <v>-4.2899014122035672E-2</v>
      </c>
      <c r="BQ64" s="114">
        <f>BQ63/BL63-1</f>
        <v>-0.33497053045186642</v>
      </c>
      <c r="BR64" s="114">
        <f>BR63/BM63-1</f>
        <v>-0.17253121452894438</v>
      </c>
      <c r="BS64" s="114">
        <f>BS63/BN63-1</f>
        <v>-0.1827586206896552</v>
      </c>
      <c r="BT64" s="114">
        <f>BT63/BO63-1</f>
        <v>0.21142162818955046</v>
      </c>
      <c r="BU64" s="113">
        <f>+BU63/BP63-1</f>
        <v>-0.13307349665924273</v>
      </c>
      <c r="BV64" s="114">
        <f>BV63/BQ63-1</f>
        <v>0.35598227474150668</v>
      </c>
      <c r="BW64" s="114">
        <f>BW63/BR63-1</f>
        <v>0.39506172839506171</v>
      </c>
      <c r="BX64" s="114">
        <f>BX63/BS63-1</f>
        <v>0.20112517580872002</v>
      </c>
      <c r="BY64" s="114">
        <f>BY63/BT63-1</f>
        <v>6.419257773319953E-2</v>
      </c>
      <c r="BZ64" s="113">
        <f>+BZ63/BU63-1</f>
        <v>0.23635195889531158</v>
      </c>
      <c r="CA64" s="114">
        <f>CA63/BV63-1</f>
        <v>2.7233115468409563E-2</v>
      </c>
      <c r="CB64" s="114">
        <f>CB63/BW63-1</f>
        <v>8.3579154375614584E-2</v>
      </c>
      <c r="CC64" s="114">
        <f>CC63/BX63-1</f>
        <v>8.0796252927400447E-2</v>
      </c>
      <c r="CD64" s="114">
        <f>CD63/BY63-1</f>
        <v>2.9217719132893505E-2</v>
      </c>
      <c r="CE64" s="113">
        <f>+CE63/BZ63-1</f>
        <v>5.4545454545454453E-2</v>
      </c>
      <c r="CF64" s="114">
        <f>CF63/CA63-1</f>
        <v>0.13361611876988344</v>
      </c>
      <c r="CG64" s="114">
        <f>CG63/CB63-1</f>
        <v>1.0889292196007316E-2</v>
      </c>
      <c r="CH64" s="114">
        <f>CH63/CC63-1</f>
        <v>9.5341278439869948E-2</v>
      </c>
      <c r="CI64" s="114">
        <f>CI63/CD63-1</f>
        <v>-9.157509157509125E-4</v>
      </c>
      <c r="CJ64" s="113">
        <f>+CJ63/CE63-1</f>
        <v>5.5418719211822731E-2</v>
      </c>
      <c r="CK64" s="114">
        <f>CK63/CF63-1</f>
        <v>0.14686623012160904</v>
      </c>
      <c r="CL64" s="114">
        <f>CL63/CG63-1</f>
        <v>7.1813285457809073E-3</v>
      </c>
      <c r="CM64" s="114">
        <f>CM63/CH63-1</f>
        <v>7.6162215628091001E-2</v>
      </c>
      <c r="CN64" s="114">
        <f>CN63/CI63-1</f>
        <v>0.14848762603116406</v>
      </c>
      <c r="CO64" s="113">
        <f>+CO63/CJ63-1</f>
        <v>9.4282380396732757E-2</v>
      </c>
      <c r="CP64" s="114">
        <f>CP63/CK63-1</f>
        <v>-3.0995106035889064E-2</v>
      </c>
      <c r="CQ64" s="114">
        <f>CQ63/CL63-1</f>
        <v>0.13458110516934041</v>
      </c>
      <c r="CR64" s="114">
        <f>CR63/CM63-1</f>
        <v>1.8382352941177516E-3</v>
      </c>
      <c r="CS64" s="114">
        <f>CS63/CN63-1</f>
        <v>-3.9904229848363948E-2</v>
      </c>
      <c r="CT64" s="113">
        <f>+CT63/CO63-1</f>
        <v>1.3862230752825777E-2</v>
      </c>
      <c r="CU64" s="114">
        <f>CU63/CP63-1</f>
        <v>5.3872053872053849E-2</v>
      </c>
      <c r="CV64" s="114">
        <f>CV63/CQ63-1</f>
        <v>-8.1913833622801691E-2</v>
      </c>
      <c r="CW64" s="114">
        <f>CW63/CR63-1</f>
        <v>-8.6268001595886212E-2</v>
      </c>
      <c r="CX64" s="114">
        <f>CX63/CS63-1</f>
        <v>-9.94036301494714E-2</v>
      </c>
      <c r="CY64" s="113">
        <f>+CY63/CT63-1</f>
        <v>-5.3405763359519742E-2</v>
      </c>
      <c r="CZ64" s="114">
        <f>CZ63/CU63-1</f>
        <v>-0.16139935609777589</v>
      </c>
      <c r="DA64" s="114">
        <f>DA63/CV63-1</f>
        <v>-4.585390268519085E-2</v>
      </c>
      <c r="DB64" s="114">
        <f>DB63/CW63-1</f>
        <v>-2.7201299826297709E-2</v>
      </c>
      <c r="DC64" s="114">
        <f>DC63/CX63-1</f>
        <v>-2.5649483446702814E-2</v>
      </c>
      <c r="DD64" s="113">
        <f>+DD63/CY63-1</f>
        <v>-6.9007940583171945E-2</v>
      </c>
      <c r="DE64" s="114">
        <f>DE63/CZ63-1</f>
        <v>5.6365691082849168E-4</v>
      </c>
      <c r="DF64" s="114">
        <f>DF63/DA63-1</f>
        <v>1.9018489910072045E-3</v>
      </c>
      <c r="DG64" s="114">
        <f>DG63/DB63-1</f>
        <v>6.8869772883577429E-3</v>
      </c>
      <c r="DH64" s="114">
        <f>DH63/DC63-1</f>
        <v>7.1439572043374699E-3</v>
      </c>
      <c r="DI64" s="113">
        <f>+DI63/DD63-1</f>
        <v>4.0401816045183558E-3</v>
      </c>
      <c r="DP64" s="398"/>
      <c r="DT64" s="180"/>
    </row>
    <row r="65" spans="1:124" s="3" customFormat="1" ht="12" hidden="1" customHeight="1" outlineLevel="1">
      <c r="A65" s="219"/>
      <c r="B65" s="110" t="s">
        <v>216</v>
      </c>
      <c r="C65" s="399" t="s">
        <v>1</v>
      </c>
      <c r="D65" s="112">
        <f t="shared" ref="D65:AA65" si="102">-D63/D57</f>
        <v>0.1064927716520879</v>
      </c>
      <c r="E65" s="52">
        <f t="shared" si="102"/>
        <v>0.11819200050245471</v>
      </c>
      <c r="F65" s="112">
        <f t="shared" si="102"/>
        <v>0.11149722567193426</v>
      </c>
      <c r="G65" s="52">
        <f t="shared" si="102"/>
        <v>0.10874809618570111</v>
      </c>
      <c r="H65" s="112">
        <f t="shared" si="102"/>
        <v>0.10519770677008686</v>
      </c>
      <c r="I65" s="52">
        <f t="shared" si="102"/>
        <v>0.10390174871120995</v>
      </c>
      <c r="J65" s="112">
        <f t="shared" si="102"/>
        <v>0.10907731139571843</v>
      </c>
      <c r="K65" s="52">
        <f t="shared" si="102"/>
        <v>0.11245317511486889</v>
      </c>
      <c r="L65" s="112">
        <f t="shared" si="102"/>
        <v>0.11650181590573304</v>
      </c>
      <c r="M65" s="52">
        <f t="shared" si="102"/>
        <v>0.11636319868404338</v>
      </c>
      <c r="N65" s="112">
        <f t="shared" si="102"/>
        <v>0.11713902449482111</v>
      </c>
      <c r="O65" s="112">
        <f t="shared" si="102"/>
        <v>0.12392226338111345</v>
      </c>
      <c r="P65" s="112">
        <f t="shared" si="102"/>
        <v>0.12262138808203964</v>
      </c>
      <c r="Q65" s="112">
        <f t="shared" si="102"/>
        <v>0.12390869885347638</v>
      </c>
      <c r="R65" s="52">
        <f t="shared" si="102"/>
        <v>0.13120772946859904</v>
      </c>
      <c r="S65" s="52">
        <f t="shared" si="102"/>
        <v>0.11854605534902933</v>
      </c>
      <c r="T65" s="52">
        <f t="shared" si="102"/>
        <v>0.1138019295136838</v>
      </c>
      <c r="U65" s="52">
        <f t="shared" si="102"/>
        <v>0.10700659035726674</v>
      </c>
      <c r="V65" s="112">
        <f t="shared" si="102"/>
        <v>0.11734253666954271</v>
      </c>
      <c r="W65" s="52">
        <f t="shared" si="102"/>
        <v>0.11379707284986022</v>
      </c>
      <c r="X65" s="52">
        <f t="shared" si="102"/>
        <v>0.11237131390682255</v>
      </c>
      <c r="Y65" s="52">
        <f t="shared" si="102"/>
        <v>0.10520013684570646</v>
      </c>
      <c r="Z65" s="52">
        <f t="shared" si="102"/>
        <v>0.11746522411128284</v>
      </c>
      <c r="AA65" s="112">
        <f t="shared" si="102"/>
        <v>0.1123590848806366</v>
      </c>
      <c r="AB65" s="391"/>
      <c r="AC65" s="52">
        <f t="shared" ref="AC65:BX65" si="103">-AC63/AC57</f>
        <v>0.13453815261044177</v>
      </c>
      <c r="AD65" s="52">
        <f t="shared" si="103"/>
        <v>0.10293870696893367</v>
      </c>
      <c r="AE65" s="52">
        <f t="shared" si="103"/>
        <v>0.10004848876676903</v>
      </c>
      <c r="AF65" s="52">
        <f t="shared" si="103"/>
        <v>9.5863819620725696E-2</v>
      </c>
      <c r="AG65" s="112">
        <f t="shared" si="103"/>
        <v>0.10844230237427409</v>
      </c>
      <c r="AH65" s="52">
        <f t="shared" si="103"/>
        <v>0.10486300387318892</v>
      </c>
      <c r="AI65" s="52">
        <f t="shared" si="103"/>
        <v>0.10744829730990514</v>
      </c>
      <c r="AJ65" s="52">
        <f t="shared" si="103"/>
        <v>0.10513482501434308</v>
      </c>
      <c r="AK65" s="52">
        <f t="shared" si="103"/>
        <v>0.11797979797979798</v>
      </c>
      <c r="AL65" s="112">
        <f t="shared" si="103"/>
        <v>0.10903269901795029</v>
      </c>
      <c r="AM65" s="52">
        <f t="shared" si="103"/>
        <v>0.11237785016286644</v>
      </c>
      <c r="AN65" s="52">
        <f t="shared" si="103"/>
        <v>0.10379403794037941</v>
      </c>
      <c r="AO65" s="52">
        <f t="shared" si="103"/>
        <v>9.7989276139410192E-2</v>
      </c>
      <c r="AP65" s="52">
        <f t="shared" si="103"/>
        <v>0.10528345545699962</v>
      </c>
      <c r="AQ65" s="112">
        <f t="shared" si="103"/>
        <v>0.10499656873958367</v>
      </c>
      <c r="AR65" s="52">
        <f t="shared" si="103"/>
        <v>9.8882814357024007E-2</v>
      </c>
      <c r="AS65" s="52">
        <f t="shared" si="103"/>
        <v>0.1000520426749935</v>
      </c>
      <c r="AT65" s="52">
        <f t="shared" si="103"/>
        <v>0.10009960159362549</v>
      </c>
      <c r="AU65" s="52">
        <f t="shared" si="103"/>
        <v>0.10589519650655022</v>
      </c>
      <c r="AV65" s="112">
        <f t="shared" si="103"/>
        <v>0.1012478379046207</v>
      </c>
      <c r="AW65" s="52">
        <f t="shared" si="103"/>
        <v>0.11488798145900012</v>
      </c>
      <c r="AX65" s="52">
        <f t="shared" si="103"/>
        <v>9.3154034229828847E-2</v>
      </c>
      <c r="AY65" s="52">
        <f t="shared" si="103"/>
        <v>8.8828273244781777E-2</v>
      </c>
      <c r="AZ65" s="52">
        <f t="shared" si="103"/>
        <v>9.0930044946410049E-2</v>
      </c>
      <c r="BA65" s="112">
        <f t="shared" si="103"/>
        <v>9.726346433770014E-2</v>
      </c>
      <c r="BB65" s="52">
        <f t="shared" si="103"/>
        <v>9.4266813671444322E-2</v>
      </c>
      <c r="BC65" s="52">
        <f t="shared" si="103"/>
        <v>0.10252513444002806</v>
      </c>
      <c r="BD65" s="52">
        <f t="shared" si="103"/>
        <v>9.5948352626892247E-2</v>
      </c>
      <c r="BE65" s="52">
        <f t="shared" si="103"/>
        <v>0.1004188374706303</v>
      </c>
      <c r="BF65" s="112">
        <f t="shared" si="103"/>
        <v>9.8277330549221095E-2</v>
      </c>
      <c r="BG65" s="52">
        <f t="shared" si="103"/>
        <v>9.6903900281463617E-2</v>
      </c>
      <c r="BH65" s="52">
        <f t="shared" si="103"/>
        <v>9.707702154896522E-2</v>
      </c>
      <c r="BI65" s="52">
        <f t="shared" si="103"/>
        <v>9.0001040474456354E-2</v>
      </c>
      <c r="BJ65" s="52">
        <f t="shared" si="103"/>
        <v>9.9567949725058918E-2</v>
      </c>
      <c r="BK65" s="112">
        <f t="shared" si="103"/>
        <v>9.5942940409540614E-2</v>
      </c>
      <c r="BL65" s="52">
        <f t="shared" si="103"/>
        <v>9.5497185741088175E-2</v>
      </c>
      <c r="BM65" s="52">
        <f t="shared" si="103"/>
        <v>8.5318613209374394E-2</v>
      </c>
      <c r="BN65" s="52">
        <f t="shared" si="103"/>
        <v>8.6104513064133012E-2</v>
      </c>
      <c r="BO65" s="52">
        <f t="shared" si="103"/>
        <v>0.1303659116109615</v>
      </c>
      <c r="BP65" s="112">
        <f t="shared" si="103"/>
        <v>9.6035077400208543E-2</v>
      </c>
      <c r="BQ65" s="52">
        <f t="shared" si="103"/>
        <v>6.390409665848594E-2</v>
      </c>
      <c r="BR65" s="52">
        <f t="shared" si="103"/>
        <v>6.4840345103620037E-2</v>
      </c>
      <c r="BS65" s="52">
        <f t="shared" si="103"/>
        <v>6.8649222747899974E-2</v>
      </c>
      <c r="BT65" s="114">
        <f t="shared" si="103"/>
        <v>8.0767984445884636E-2</v>
      </c>
      <c r="BU65" s="112">
        <f t="shared" si="103"/>
        <v>6.9917822982621586E-2</v>
      </c>
      <c r="BV65" s="52">
        <f t="shared" si="103"/>
        <v>7.4951012410189422E-2</v>
      </c>
      <c r="BW65" s="52">
        <f t="shared" si="103"/>
        <v>8.954829620498371E-2</v>
      </c>
      <c r="BX65" s="52">
        <f t="shared" si="103"/>
        <v>7.8557630392788153E-2</v>
      </c>
      <c r="BY65" s="114">
        <f t="shared" ref="BY65" si="104">-BY63/BY57</f>
        <v>8.6725519045283639E-2</v>
      </c>
      <c r="BZ65" s="112">
        <f>-BZ63/BZ57</f>
        <v>8.2423463926354093E-2</v>
      </c>
      <c r="CA65" s="52">
        <f t="shared" ref="CA65:CG65" si="105">-CA63/CA57</f>
        <v>7.4328052337037917E-2</v>
      </c>
      <c r="CB65" s="52">
        <f t="shared" si="105"/>
        <v>8.2763800225309797E-2</v>
      </c>
      <c r="CC65" s="52">
        <f t="shared" si="105"/>
        <v>7.4495560936238908E-2</v>
      </c>
      <c r="CD65" s="114">
        <f t="shared" si="105"/>
        <v>8.5146198830409359E-2</v>
      </c>
      <c r="CE65" s="112">
        <f>-CE63/CE57</f>
        <v>7.9270554698635212E-2</v>
      </c>
      <c r="CF65" s="52">
        <f t="shared" si="105"/>
        <v>8.2618440374062907E-2</v>
      </c>
      <c r="CG65" s="52">
        <f t="shared" si="105"/>
        <v>8.3208843740663285E-2</v>
      </c>
      <c r="CH65" s="52">
        <f t="shared" ref="CH65:CI65" si="106">-CH63/CH57</f>
        <v>8.1342022688872792E-2</v>
      </c>
      <c r="CI65" s="114">
        <f t="shared" si="106"/>
        <v>8.6546089163890214E-2</v>
      </c>
      <c r="CJ65" s="112">
        <f>-CJ63/CJ57</f>
        <v>8.3427436626299603E-2</v>
      </c>
      <c r="CK65" s="52">
        <f t="shared" ref="CK65:CN65" si="107">-CK63/CK57</f>
        <v>0.10578997325049616</v>
      </c>
      <c r="CL65" s="52">
        <f t="shared" si="107"/>
        <v>9.0820786789703734E-2</v>
      </c>
      <c r="CM65" s="52">
        <f t="shared" si="107"/>
        <v>9.6548052178542912E-2</v>
      </c>
      <c r="CN65" s="52">
        <f t="shared" si="107"/>
        <v>0.11291340001802289</v>
      </c>
      <c r="CO65" s="112">
        <f>-CO63/CO57</f>
        <v>0.10125461573344274</v>
      </c>
      <c r="CP65" s="52">
        <f t="shared" ref="CP65:CQ65" si="108">-CP63/CP57</f>
        <v>0.10136518771331059</v>
      </c>
      <c r="CQ65" s="52">
        <f t="shared" si="108"/>
        <v>0.10243823931761487</v>
      </c>
      <c r="CR65" s="52">
        <f t="shared" ref="CR65:CS65" si="109">-CR63/CR57</f>
        <v>9.6639773029523895E-2</v>
      </c>
      <c r="CS65" s="52">
        <f t="shared" si="109"/>
        <v>0.10964272694130514</v>
      </c>
      <c r="CT65" s="112">
        <f>-CT63/CT57</f>
        <v>0.10246131298762878</v>
      </c>
      <c r="CU65" s="52">
        <f t="shared" ref="CU65" si="110">-CU63/CU57</f>
        <v>0.11165611343975743</v>
      </c>
      <c r="CV65" s="114">
        <f>CQ65+CV66/10000</f>
        <v>0.10743823931761487</v>
      </c>
      <c r="CW65" s="114">
        <f>CR65+CW66/10000</f>
        <v>9.6639773029523895E-2</v>
      </c>
      <c r="CX65" s="114">
        <f>CS65+CX66/10000</f>
        <v>0.10964272694130514</v>
      </c>
      <c r="CY65" s="112">
        <f>-CY63/CY57</f>
        <v>0.10643984614090922</v>
      </c>
      <c r="CZ65" s="114">
        <f>CU65+CZ66/10000</f>
        <v>0.10165611343975743</v>
      </c>
      <c r="DA65" s="114">
        <f>CV65+DA66/10000</f>
        <v>0.10763823931761488</v>
      </c>
      <c r="DB65" s="114">
        <f>CW65+DB66/10000</f>
        <v>9.6639773029523895E-2</v>
      </c>
      <c r="DC65" s="114">
        <f>CX65+DC66/10000</f>
        <v>0.10964272694130514</v>
      </c>
      <c r="DD65" s="112">
        <f>-DD63/DD57</f>
        <v>0.10385177933447981</v>
      </c>
      <c r="DE65" s="114">
        <f>CZ65+DE66/10000</f>
        <v>0.10165611343975743</v>
      </c>
      <c r="DF65" s="114">
        <f>DA65+DF66/10000</f>
        <v>0.10763823931761488</v>
      </c>
      <c r="DG65" s="114">
        <f>DB65+DG66/10000</f>
        <v>9.6639773029523895E-2</v>
      </c>
      <c r="DH65" s="114">
        <f>DC65+DH66/10000</f>
        <v>0.10964272694130514</v>
      </c>
      <c r="DI65" s="112">
        <f>-DI63/DI57</f>
        <v>0.10385084534273882</v>
      </c>
      <c r="DP65" s="400"/>
      <c r="DT65" s="226"/>
    </row>
    <row r="66" spans="1:124" s="3" customFormat="1" ht="12" hidden="1" customHeight="1" outlineLevel="1">
      <c r="A66" s="219"/>
      <c r="B66" s="110" t="s">
        <v>275</v>
      </c>
      <c r="C66" s="401" t="s">
        <v>126</v>
      </c>
      <c r="D66" s="217" t="s">
        <v>126</v>
      </c>
      <c r="E66" s="220">
        <f t="shared" ref="E66:Q66" si="111">+(E65-D65)*100*100</f>
        <v>116.99228850366809</v>
      </c>
      <c r="F66" s="220">
        <f t="shared" si="111"/>
        <v>-66.947748305204442</v>
      </c>
      <c r="G66" s="220">
        <f t="shared" si="111"/>
        <v>-27.491294862331539</v>
      </c>
      <c r="H66" s="220">
        <f t="shared" si="111"/>
        <v>-35.503894156142522</v>
      </c>
      <c r="I66" s="220">
        <f t="shared" si="111"/>
        <v>-12.959580588769033</v>
      </c>
      <c r="J66" s="220">
        <f t="shared" si="111"/>
        <v>51.75562684508472</v>
      </c>
      <c r="K66" s="220">
        <f t="shared" si="111"/>
        <v>33.758637191504683</v>
      </c>
      <c r="L66" s="220">
        <f t="shared" si="111"/>
        <v>40.486407908641439</v>
      </c>
      <c r="M66" s="220">
        <f t="shared" si="111"/>
        <v>-1.3861722168966029</v>
      </c>
      <c r="N66" s="220">
        <f t="shared" si="111"/>
        <v>7.758258107777305</v>
      </c>
      <c r="O66" s="220">
        <f t="shared" si="111"/>
        <v>67.832388862923423</v>
      </c>
      <c r="P66" s="220">
        <f t="shared" si="111"/>
        <v>-13.008752990738143</v>
      </c>
      <c r="Q66" s="220">
        <f t="shared" si="111"/>
        <v>12.873107714367476</v>
      </c>
      <c r="R66" s="217" t="s">
        <v>126</v>
      </c>
      <c r="S66" s="217" t="s">
        <v>126</v>
      </c>
      <c r="T66" s="217" t="s">
        <v>126</v>
      </c>
      <c r="U66" s="217" t="s">
        <v>126</v>
      </c>
      <c r="V66" s="220">
        <f t="shared" ref="V66:AA66" si="112">+(V65-Q65)*100*100</f>
        <v>-65.661621839336746</v>
      </c>
      <c r="W66" s="184">
        <f t="shared" si="112"/>
        <v>-174.10656618738821</v>
      </c>
      <c r="X66" s="184">
        <f t="shared" si="112"/>
        <v>-61.747414422067827</v>
      </c>
      <c r="Y66" s="184">
        <f t="shared" si="112"/>
        <v>-86.017926679773367</v>
      </c>
      <c r="Z66" s="184">
        <f t="shared" si="112"/>
        <v>104.58633754016095</v>
      </c>
      <c r="AA66" s="220">
        <f t="shared" si="112"/>
        <v>-49.834517889061068</v>
      </c>
      <c r="AB66" s="112"/>
      <c r="AC66" s="202">
        <f>+(AC65-W65)*100*100</f>
        <v>207.41079760581553</v>
      </c>
      <c r="AD66" s="184">
        <f>+(AD65-X65)*100*100</f>
        <v>-94.326069378888747</v>
      </c>
      <c r="AE66" s="184">
        <f>+(AE65-Y65)*100*100</f>
        <v>-51.516480789374341</v>
      </c>
      <c r="AF66" s="184">
        <f>+(AF65-Z65)*100*100</f>
        <v>-216.01404490557141</v>
      </c>
      <c r="AG66" s="220">
        <f>+(AG65-AA65)*100*100</f>
        <v>-39.167825063625152</v>
      </c>
      <c r="AH66" s="202">
        <f t="shared" ref="AH66:CC66" si="113">+(AH65-AC65)*100*100</f>
        <v>-296.75148737252857</v>
      </c>
      <c r="AI66" s="184">
        <f t="shared" si="113"/>
        <v>45.095903409714673</v>
      </c>
      <c r="AJ66" s="184">
        <f t="shared" si="113"/>
        <v>50.863362475740544</v>
      </c>
      <c r="AK66" s="185">
        <f t="shared" si="113"/>
        <v>221.15978359072281</v>
      </c>
      <c r="AL66" s="185">
        <f t="shared" si="113"/>
        <v>5.9039664367620261</v>
      </c>
      <c r="AM66" s="202">
        <f t="shared" si="113"/>
        <v>75.148462896775243</v>
      </c>
      <c r="AN66" s="184">
        <f t="shared" si="113"/>
        <v>-36.542593695257366</v>
      </c>
      <c r="AO66" s="184">
        <f t="shared" si="113"/>
        <v>-71.455488749328921</v>
      </c>
      <c r="AP66" s="185">
        <f t="shared" si="113"/>
        <v>-126.96342522798361</v>
      </c>
      <c r="AQ66" s="185">
        <f t="shared" si="113"/>
        <v>-40.361302783666204</v>
      </c>
      <c r="AR66" s="202">
        <f t="shared" si="113"/>
        <v>-134.95035805842437</v>
      </c>
      <c r="AS66" s="184">
        <f t="shared" si="113"/>
        <v>-37.419952653859056</v>
      </c>
      <c r="AT66" s="184">
        <f t="shared" si="113"/>
        <v>21.103254542153003</v>
      </c>
      <c r="AU66" s="185">
        <f t="shared" si="113"/>
        <v>6.1174104955059869</v>
      </c>
      <c r="AV66" s="185">
        <f t="shared" si="113"/>
        <v>-37.487308349629657</v>
      </c>
      <c r="AW66" s="202">
        <f t="shared" si="113"/>
        <v>160.05167101976107</v>
      </c>
      <c r="AX66" s="184">
        <f t="shared" si="113"/>
        <v>-68.980084451646519</v>
      </c>
      <c r="AY66" s="184">
        <f t="shared" si="113"/>
        <v>-112.71328348843714</v>
      </c>
      <c r="AZ66" s="185">
        <f t="shared" si="113"/>
        <v>-149.65151560140166</v>
      </c>
      <c r="BA66" s="185">
        <f t="shared" si="113"/>
        <v>-39.843735669205657</v>
      </c>
      <c r="BB66" s="202">
        <f t="shared" si="113"/>
        <v>-206.21167787555797</v>
      </c>
      <c r="BC66" s="184">
        <f t="shared" si="113"/>
        <v>93.711002101992122</v>
      </c>
      <c r="BD66" s="184">
        <f t="shared" si="113"/>
        <v>71.200793821104696</v>
      </c>
      <c r="BE66" s="185">
        <f t="shared" si="113"/>
        <v>94.887925242202471</v>
      </c>
      <c r="BF66" s="185">
        <f t="shared" si="113"/>
        <v>10.138662115209558</v>
      </c>
      <c r="BG66" s="202">
        <f t="shared" si="113"/>
        <v>26.370866100192959</v>
      </c>
      <c r="BH66" s="184">
        <f t="shared" si="113"/>
        <v>-54.481128910628399</v>
      </c>
      <c r="BI66" s="184">
        <f t="shared" si="113"/>
        <v>-59.47312152435893</v>
      </c>
      <c r="BJ66" s="185">
        <f t="shared" si="113"/>
        <v>-8.5088774557137707</v>
      </c>
      <c r="BK66" s="220">
        <f t="shared" si="113"/>
        <v>-23.34390139680481</v>
      </c>
      <c r="BL66" s="115">
        <f t="shared" si="113"/>
        <v>-14.067145403754422</v>
      </c>
      <c r="BM66" s="115">
        <f t="shared" si="113"/>
        <v>-117.58408339590827</v>
      </c>
      <c r="BN66" s="115">
        <f t="shared" si="113"/>
        <v>-38.965274103233419</v>
      </c>
      <c r="BO66" s="115">
        <f t="shared" si="113"/>
        <v>307.97961885902583</v>
      </c>
      <c r="BP66" s="220">
        <f t="shared" si="113"/>
        <v>0.92136990667929242</v>
      </c>
      <c r="BQ66" s="115">
        <f t="shared" si="113"/>
        <v>-315.93089082602239</v>
      </c>
      <c r="BR66" s="115">
        <f t="shared" si="113"/>
        <v>-204.78268105754358</v>
      </c>
      <c r="BS66" s="115">
        <f t="shared" si="113"/>
        <v>-174.55290316233038</v>
      </c>
      <c r="BT66" s="115">
        <f t="shared" si="113"/>
        <v>-495.97927165076874</v>
      </c>
      <c r="BU66" s="220">
        <f t="shared" si="113"/>
        <v>-261.17254417586958</v>
      </c>
      <c r="BV66" s="115">
        <f t="shared" si="113"/>
        <v>110.46915751703482</v>
      </c>
      <c r="BW66" s="115">
        <f t="shared" si="113"/>
        <v>247.07951101363673</v>
      </c>
      <c r="BX66" s="115">
        <f t="shared" si="113"/>
        <v>99.084076448881788</v>
      </c>
      <c r="BY66" s="115">
        <f t="shared" si="113"/>
        <v>59.575345993990034</v>
      </c>
      <c r="BZ66" s="220">
        <f>+(BZ65-BU65)*100*100</f>
        <v>125.05640943732507</v>
      </c>
      <c r="CA66" s="115">
        <f t="shared" si="113"/>
        <v>-6.2296007315150446</v>
      </c>
      <c r="CB66" s="115">
        <f t="shared" si="113"/>
        <v>-67.844959796739118</v>
      </c>
      <c r="CC66" s="115">
        <f t="shared" si="113"/>
        <v>-40.620694565492443</v>
      </c>
      <c r="CD66" s="115">
        <f t="shared" ref="CD66" si="114">+(CD65-BY65)*100*100</f>
        <v>-15.793202148742802</v>
      </c>
      <c r="CE66" s="220">
        <f>+(CE65-BZ65)*100*100</f>
        <v>-31.529092277188809</v>
      </c>
      <c r="CF66" s="115">
        <f t="shared" ref="CF66:CP66" si="115">+(CF65-CA65)*100*100</f>
        <v>82.903880370249894</v>
      </c>
      <c r="CG66" s="115">
        <f t="shared" si="115"/>
        <v>4.4504351535348814</v>
      </c>
      <c r="CH66" s="115">
        <f t="shared" si="115"/>
        <v>68.464617526338827</v>
      </c>
      <c r="CI66" s="115">
        <f t="shared" si="115"/>
        <v>13.998903334808549</v>
      </c>
      <c r="CJ66" s="220">
        <f>+(CJ65-CE65)*100*100</f>
        <v>41.568819276643907</v>
      </c>
      <c r="CK66" s="115">
        <f t="shared" si="115"/>
        <v>231.71532876433253</v>
      </c>
      <c r="CL66" s="115">
        <f>+(CL65-CG65)*100*100</f>
        <v>76.119430490404483</v>
      </c>
      <c r="CM66" s="115">
        <f t="shared" si="115"/>
        <v>152.06029489670118</v>
      </c>
      <c r="CN66" s="115">
        <f t="shared" si="115"/>
        <v>263.67310854132671</v>
      </c>
      <c r="CO66" s="220">
        <f>+(CO65-CJ65)*100*100</f>
        <v>178.27179107143141</v>
      </c>
      <c r="CP66" s="115">
        <f t="shared" si="115"/>
        <v>-44.247855371855742</v>
      </c>
      <c r="CQ66" s="115">
        <f>+(CQ65-CL65)*100*100</f>
        <v>116.17452527911132</v>
      </c>
      <c r="CR66" s="115">
        <f>+(CR65-CM65)*100*100</f>
        <v>0.91720850980983593</v>
      </c>
      <c r="CS66" s="115">
        <f t="shared" ref="CS66" si="116">+(CS65-CN65)*100*100</f>
        <v>-32.706730767177447</v>
      </c>
      <c r="CT66" s="220">
        <f>+(CT65-CO65)*100*100</f>
        <v>12.066972541860398</v>
      </c>
      <c r="CU66" s="115">
        <f t="shared" ref="CU66" si="117">+(CU65-CP65)*100*100</f>
        <v>102.90925726446841</v>
      </c>
      <c r="CV66" s="186">
        <v>50</v>
      </c>
      <c r="CW66" s="186">
        <v>0</v>
      </c>
      <c r="CX66" s="186">
        <v>0</v>
      </c>
      <c r="CY66" s="220">
        <f>+(CY65-CT65)*100*100</f>
        <v>39.785331532804364</v>
      </c>
      <c r="CZ66" s="186">
        <v>-100</v>
      </c>
      <c r="DA66" s="186">
        <v>2</v>
      </c>
      <c r="DB66" s="186">
        <v>0</v>
      </c>
      <c r="DC66" s="186">
        <v>0</v>
      </c>
      <c r="DD66" s="220">
        <f>+(DD65-CY65)*100*100</f>
        <v>-25.880668064294092</v>
      </c>
      <c r="DE66" s="186">
        <v>0</v>
      </c>
      <c r="DF66" s="186">
        <v>0</v>
      </c>
      <c r="DG66" s="186">
        <v>0</v>
      </c>
      <c r="DH66" s="186">
        <v>0</v>
      </c>
      <c r="DI66" s="220">
        <f>+(DI65-DD65)*100*100</f>
        <v>-9.3399174098951487E-3</v>
      </c>
      <c r="DP66" s="9"/>
      <c r="DT66" s="226"/>
    </row>
    <row r="67" spans="1:124" s="395" customFormat="1" ht="12" customHeight="1" collapsed="1">
      <c r="A67" s="239"/>
      <c r="B67" s="20" t="s">
        <v>81</v>
      </c>
      <c r="C67" s="39" t="s">
        <v>1</v>
      </c>
      <c r="D67" s="36">
        <v>-1325.4039999999998</v>
      </c>
      <c r="E67" s="43">
        <v>-1494.8000000000002</v>
      </c>
      <c r="F67" s="36">
        <v>-1448</v>
      </c>
      <c r="G67" s="43">
        <v>-1628.1999999999996</v>
      </c>
      <c r="H67" s="36">
        <v>-1691.4999999999998</v>
      </c>
      <c r="I67" s="43">
        <v>-1792.5</v>
      </c>
      <c r="J67" s="36">
        <v>-1983.9999999999998</v>
      </c>
      <c r="K67" s="43">
        <v>-2324.1000000000004</v>
      </c>
      <c r="L67" s="36">
        <v>-2621</v>
      </c>
      <c r="M67" s="43">
        <v>-2737.6</v>
      </c>
      <c r="N67" s="36">
        <v>-3116.3000000000006</v>
      </c>
      <c r="O67" s="36">
        <v>-3645.3999999999987</v>
      </c>
      <c r="P67" s="36">
        <v>-3798.1999999999994</v>
      </c>
      <c r="Q67" s="36">
        <v>-3970.3999999999996</v>
      </c>
      <c r="R67" s="43">
        <v>-994.00000000000023</v>
      </c>
      <c r="S67" s="43">
        <v>-1036.9999999999998</v>
      </c>
      <c r="T67" s="43">
        <v>-1059</v>
      </c>
      <c r="U67" s="43">
        <v>-1155</v>
      </c>
      <c r="V67" s="36">
        <v>-4245</v>
      </c>
      <c r="W67" s="43">
        <v>-1131</v>
      </c>
      <c r="X67" s="43">
        <v>-1176</v>
      </c>
      <c r="Y67" s="43">
        <v>-1187</v>
      </c>
      <c r="Z67" s="43">
        <v>-1226</v>
      </c>
      <c r="AA67" s="36">
        <v>-4720</v>
      </c>
      <c r="AB67" s="40" t="s">
        <v>126</v>
      </c>
      <c r="AC67" s="43">
        <f>-2411+1223-5</f>
        <v>-1193</v>
      </c>
      <c r="AD67" s="43">
        <f>-1223-2</f>
        <v>-1225</v>
      </c>
      <c r="AE67" s="43">
        <f>-1244-2</f>
        <v>-1246</v>
      </c>
      <c r="AF67" s="43">
        <v>-1387</v>
      </c>
      <c r="AG67" s="36">
        <v>-5051</v>
      </c>
      <c r="AH67" s="43">
        <f>-1325-2</f>
        <v>-1327</v>
      </c>
      <c r="AI67" s="43">
        <f>-1397-3</f>
        <v>-1400</v>
      </c>
      <c r="AJ67" s="43">
        <f>-1433-3</f>
        <v>-1436</v>
      </c>
      <c r="AK67" s="43">
        <v>-1572</v>
      </c>
      <c r="AL67" s="36">
        <v>-5735</v>
      </c>
      <c r="AM67" s="43">
        <v>-1583</v>
      </c>
      <c r="AN67" s="43">
        <v>-1672</v>
      </c>
      <c r="AO67" s="43">
        <v>-1648</v>
      </c>
      <c r="AP67" s="43">
        <v>-1776</v>
      </c>
      <c r="AQ67" s="36">
        <v>-6679</v>
      </c>
      <c r="AR67" s="43">
        <v>-1745</v>
      </c>
      <c r="AS67" s="43">
        <v>-1791</v>
      </c>
      <c r="AT67" s="43">
        <v>-1762</v>
      </c>
      <c r="AU67" s="43">
        <v>-1893</v>
      </c>
      <c r="AV67" s="36">
        <v>-7191</v>
      </c>
      <c r="AW67" s="43">
        <v>-1856</v>
      </c>
      <c r="AX67" s="43">
        <v>-1743</v>
      </c>
      <c r="AY67" s="43">
        <v>-1747</v>
      </c>
      <c r="AZ67" s="43">
        <v>-1876</v>
      </c>
      <c r="BA67" s="36">
        <v>-7222</v>
      </c>
      <c r="BB67" s="43">
        <v>-2001</v>
      </c>
      <c r="BC67" s="43">
        <v>-1891</v>
      </c>
      <c r="BD67" s="43">
        <v>-1905</v>
      </c>
      <c r="BE67" s="43">
        <v>-2137</v>
      </c>
      <c r="BF67" s="36">
        <f>SUM(BB67:BE67)</f>
        <v>-7934</v>
      </c>
      <c r="BG67" s="43">
        <v>-2099</v>
      </c>
      <c r="BH67" s="43">
        <v>-2232</v>
      </c>
      <c r="BI67" s="369">
        <v>-2226</v>
      </c>
      <c r="BJ67" s="369">
        <v>-2392</v>
      </c>
      <c r="BK67" s="36">
        <f>SUM(BG67:BJ67)</f>
        <v>-8949</v>
      </c>
      <c r="BL67" s="369">
        <v>-2310</v>
      </c>
      <c r="BM67" s="369">
        <v>-2443</v>
      </c>
      <c r="BN67" s="369">
        <v>-2413</v>
      </c>
      <c r="BO67" s="369">
        <v>-2368</v>
      </c>
      <c r="BP67" s="36">
        <f>SUM(BL67:BO67)</f>
        <v>-9534</v>
      </c>
      <c r="BQ67" s="369">
        <v>-2298</v>
      </c>
      <c r="BR67" s="369">
        <v>-2538</v>
      </c>
      <c r="BS67" s="369">
        <v>-2330</v>
      </c>
      <c r="BT67" s="369">
        <v>-2745</v>
      </c>
      <c r="BU67" s="36">
        <f>SUM(BQ67:BT67)</f>
        <v>-9911</v>
      </c>
      <c r="BV67" s="369">
        <v>-2654</v>
      </c>
      <c r="BW67" s="369">
        <v>-2742</v>
      </c>
      <c r="BX67" s="369">
        <v>-2584</v>
      </c>
      <c r="BY67" s="369">
        <v>-2974</v>
      </c>
      <c r="BZ67" s="36">
        <f>SUM(BV67:BY67)</f>
        <v>-10954</v>
      </c>
      <c r="CA67" s="369">
        <v>-2977</v>
      </c>
      <c r="CB67" s="369">
        <v>-3022</v>
      </c>
      <c r="CC67" s="369">
        <v>-3036</v>
      </c>
      <c r="CD67" s="369">
        <v>-3282</v>
      </c>
      <c r="CE67" s="36">
        <f>SUM(CA67:CD67)</f>
        <v>-12317</v>
      </c>
      <c r="CF67" s="369">
        <v>-3047</v>
      </c>
      <c r="CG67" s="369">
        <v>-3032</v>
      </c>
      <c r="CH67" s="369">
        <f>-3215+340</f>
        <v>-2875</v>
      </c>
      <c r="CI67" s="369">
        <f>-2997+(379-340)</f>
        <v>-2958</v>
      </c>
      <c r="CJ67" s="36">
        <f>SUM(CF67:CI67)</f>
        <v>-11912</v>
      </c>
      <c r="CK67" s="369">
        <v>-2822</v>
      </c>
      <c r="CL67" s="369">
        <v>-2883</v>
      </c>
      <c r="CM67" s="369">
        <v>-2799</v>
      </c>
      <c r="CN67" s="369">
        <v>-2895</v>
      </c>
      <c r="CO67" s="36">
        <f>SUM(CK67:CN67)</f>
        <v>-11399</v>
      </c>
      <c r="CP67" s="369">
        <v>-2828</v>
      </c>
      <c r="CQ67" s="369">
        <v>-2766</v>
      </c>
      <c r="CR67" s="369">
        <v>-2887</v>
      </c>
      <c r="CS67" s="369">
        <v>-2879</v>
      </c>
      <c r="CT67" s="36">
        <f>SUM(CP67:CS67)</f>
        <v>-11360</v>
      </c>
      <c r="CU67" s="369">
        <v>-2658</v>
      </c>
      <c r="CV67" s="369">
        <f>+CV57*-CV69</f>
        <v>-2568.0999085777048</v>
      </c>
      <c r="CW67" s="369">
        <f>+CW57*-CW69</f>
        <v>-2560.6494053176762</v>
      </c>
      <c r="CX67" s="369">
        <f>+CX57*-CX69</f>
        <v>-2627.4016505946715</v>
      </c>
      <c r="CY67" s="36">
        <f>SUM(CU67:CX67)</f>
        <v>-10414.150964490053</v>
      </c>
      <c r="CZ67" s="369">
        <f>+CZ57*-CZ69</f>
        <v>-2474.0898060489008</v>
      </c>
      <c r="DA67" s="369">
        <f>+DA57*-DA69</f>
        <v>-2471.6896062971141</v>
      </c>
      <c r="DB67" s="369">
        <f>+DB57*-DB69</f>
        <v>-2490.9964130935996</v>
      </c>
      <c r="DC67" s="369">
        <f>+DC57*-DC69</f>
        <v>-2560.0101554499038</v>
      </c>
      <c r="DD67" s="36">
        <f>SUM(CZ67:DC67)</f>
        <v>-9996.7859808895191</v>
      </c>
      <c r="DE67" s="369">
        <f>+DE57*-DE69</f>
        <v>-2454.81623508649</v>
      </c>
      <c r="DF67" s="369">
        <f>+DF57*-DF69</f>
        <v>-2455.6309619747212</v>
      </c>
      <c r="DG67" s="369">
        <f>+DG57*-DG69</f>
        <v>-2487.9624618672015</v>
      </c>
      <c r="DH67" s="369">
        <f>+DH57*-DH69</f>
        <v>-2558.9054119124353</v>
      </c>
      <c r="DI67" s="36">
        <f>SUM(DE67:DH67)</f>
        <v>-9957.3150708408484</v>
      </c>
      <c r="DP67" s="396"/>
      <c r="DT67" s="397"/>
    </row>
    <row r="68" spans="1:124" s="3" customFormat="1" ht="12" hidden="1" customHeight="1" outlineLevel="1">
      <c r="A68" s="219"/>
      <c r="B68" s="110" t="s">
        <v>215</v>
      </c>
      <c r="C68" s="52" t="s">
        <v>126</v>
      </c>
      <c r="D68" s="232" t="s">
        <v>126</v>
      </c>
      <c r="E68" s="52">
        <f t="shared" ref="E68:Q68" si="118">+E67/D67-1</f>
        <v>0.12780706863718572</v>
      </c>
      <c r="F68" s="112">
        <f t="shared" si="118"/>
        <v>-3.1308536259031405E-2</v>
      </c>
      <c r="G68" s="52">
        <f t="shared" si="118"/>
        <v>0.12444751381215435</v>
      </c>
      <c r="H68" s="112">
        <f t="shared" si="118"/>
        <v>3.8877287802481453E-2</v>
      </c>
      <c r="I68" s="52">
        <f t="shared" si="118"/>
        <v>5.9710316287319154E-2</v>
      </c>
      <c r="J68" s="112">
        <f t="shared" si="118"/>
        <v>0.10683403068340303</v>
      </c>
      <c r="K68" s="52">
        <f t="shared" si="118"/>
        <v>0.17142137096774235</v>
      </c>
      <c r="L68" s="112">
        <f t="shared" si="118"/>
        <v>0.1277483757153306</v>
      </c>
      <c r="M68" s="52">
        <f t="shared" si="118"/>
        <v>4.4486837085081943E-2</v>
      </c>
      <c r="N68" s="112">
        <f t="shared" si="118"/>
        <v>0.13833284628872033</v>
      </c>
      <c r="O68" s="112">
        <f t="shared" si="118"/>
        <v>0.16978468055065243</v>
      </c>
      <c r="P68" s="112">
        <f t="shared" si="118"/>
        <v>4.1915839139737843E-2</v>
      </c>
      <c r="Q68" s="112">
        <f t="shared" si="118"/>
        <v>4.5337265020272799E-2</v>
      </c>
      <c r="R68" s="378" t="s">
        <v>126</v>
      </c>
      <c r="S68" s="378" t="s">
        <v>126</v>
      </c>
      <c r="T68" s="378" t="s">
        <v>126</v>
      </c>
      <c r="U68" s="378" t="s">
        <v>126</v>
      </c>
      <c r="V68" s="112">
        <f t="shared" ref="V68:AA68" si="119">+V67/Q67-1</f>
        <v>6.9161797300020256E-2</v>
      </c>
      <c r="W68" s="52">
        <f t="shared" si="119"/>
        <v>0.13782696177062359</v>
      </c>
      <c r="X68" s="52">
        <f t="shared" si="119"/>
        <v>0.1340405014464805</v>
      </c>
      <c r="Y68" s="52">
        <f t="shared" si="119"/>
        <v>0.12086874409820592</v>
      </c>
      <c r="Z68" s="52">
        <f t="shared" si="119"/>
        <v>6.1471861471861455E-2</v>
      </c>
      <c r="AA68" s="112">
        <f t="shared" si="119"/>
        <v>0.11189634864546516</v>
      </c>
      <c r="AB68" s="379"/>
      <c r="AC68" s="52">
        <f>+AC67/W67-1</f>
        <v>5.4818744473916992E-2</v>
      </c>
      <c r="AD68" s="52">
        <f>+AD67/X67-1</f>
        <v>4.1666666666666741E-2</v>
      </c>
      <c r="AE68" s="52">
        <f>+AE67/Y67-1</f>
        <v>4.9705139005897125E-2</v>
      </c>
      <c r="AF68" s="52">
        <f>+AF67/Z67-1</f>
        <v>0.13132137030995117</v>
      </c>
      <c r="AG68" s="112">
        <f>+AG67/AA67-1</f>
        <v>7.0127118644067732E-2</v>
      </c>
      <c r="AH68" s="52">
        <f t="shared" ref="AH68:BM68" si="120">+AH67/AC67-1</f>
        <v>0.11232187761944679</v>
      </c>
      <c r="AI68" s="52">
        <f t="shared" si="120"/>
        <v>0.14285714285714279</v>
      </c>
      <c r="AJ68" s="52">
        <f t="shared" si="120"/>
        <v>0.15248796147672561</v>
      </c>
      <c r="AK68" s="52">
        <f t="shared" si="120"/>
        <v>0.13338139870223498</v>
      </c>
      <c r="AL68" s="112">
        <f t="shared" si="120"/>
        <v>0.13541872896456142</v>
      </c>
      <c r="AM68" s="52">
        <f t="shared" si="120"/>
        <v>0.19291635267520713</v>
      </c>
      <c r="AN68" s="52">
        <f t="shared" si="120"/>
        <v>0.19428571428571439</v>
      </c>
      <c r="AO68" s="52">
        <f t="shared" si="120"/>
        <v>0.14763231197771587</v>
      </c>
      <c r="AP68" s="52">
        <f t="shared" si="120"/>
        <v>0.12977099236641232</v>
      </c>
      <c r="AQ68" s="112">
        <f t="shared" si="120"/>
        <v>0.16460331299040987</v>
      </c>
      <c r="AR68" s="52">
        <f t="shared" si="120"/>
        <v>0.10233733417561597</v>
      </c>
      <c r="AS68" s="52">
        <f t="shared" si="120"/>
        <v>7.1172248803827776E-2</v>
      </c>
      <c r="AT68" s="52">
        <f t="shared" si="120"/>
        <v>6.9174757281553312E-2</v>
      </c>
      <c r="AU68" s="52">
        <f t="shared" si="120"/>
        <v>6.5878378378378288E-2</v>
      </c>
      <c r="AV68" s="112">
        <f t="shared" si="120"/>
        <v>7.6658182362629113E-2</v>
      </c>
      <c r="AW68" s="52">
        <f t="shared" si="120"/>
        <v>6.361031518624638E-2</v>
      </c>
      <c r="AX68" s="52">
        <f t="shared" si="120"/>
        <v>-2.6800670016750461E-2</v>
      </c>
      <c r="AY68" s="52">
        <f t="shared" si="120"/>
        <v>-8.5130533484676363E-3</v>
      </c>
      <c r="AZ68" s="52">
        <f t="shared" si="120"/>
        <v>-8.9804543053354502E-3</v>
      </c>
      <c r="BA68" s="112">
        <f t="shared" si="120"/>
        <v>4.3109442358504335E-3</v>
      </c>
      <c r="BB68" s="52">
        <f t="shared" si="120"/>
        <v>7.8125E-2</v>
      </c>
      <c r="BC68" s="52">
        <f t="shared" si="120"/>
        <v>8.4911072862880133E-2</v>
      </c>
      <c r="BD68" s="52">
        <f t="shared" si="120"/>
        <v>9.0440755580996068E-2</v>
      </c>
      <c r="BE68" s="52">
        <f t="shared" si="120"/>
        <v>0.13912579957356086</v>
      </c>
      <c r="BF68" s="112">
        <f t="shared" si="120"/>
        <v>9.8587648850733789E-2</v>
      </c>
      <c r="BG68" s="52">
        <f t="shared" si="120"/>
        <v>4.8975512243877972E-2</v>
      </c>
      <c r="BH68" s="52">
        <f t="shared" si="120"/>
        <v>0.18032786885245899</v>
      </c>
      <c r="BI68" s="52">
        <f t="shared" si="120"/>
        <v>0.16850393700787403</v>
      </c>
      <c r="BJ68" s="52">
        <f t="shared" si="120"/>
        <v>0.11932615816565284</v>
      </c>
      <c r="BK68" s="112">
        <f t="shared" si="120"/>
        <v>0.12793042601462057</v>
      </c>
      <c r="BL68" s="52">
        <f t="shared" si="120"/>
        <v>0.10052405907575035</v>
      </c>
      <c r="BM68" s="52">
        <f t="shared" si="120"/>
        <v>9.4534050179211571E-2</v>
      </c>
      <c r="BN68" s="52">
        <f t="shared" ref="BN68:CK68" si="121">+BN67/BI67-1</f>
        <v>8.4007187780772652E-2</v>
      </c>
      <c r="BO68" s="52">
        <f t="shared" si="121"/>
        <v>-1.0033444816053505E-2</v>
      </c>
      <c r="BP68" s="112">
        <f t="shared" si="121"/>
        <v>6.5370432450553073E-2</v>
      </c>
      <c r="BQ68" s="52">
        <f t="shared" si="121"/>
        <v>-5.1948051948051965E-3</v>
      </c>
      <c r="BR68" s="52">
        <f t="shared" si="121"/>
        <v>3.8886614817846832E-2</v>
      </c>
      <c r="BS68" s="52">
        <f t="shared" si="121"/>
        <v>-3.4397016162453387E-2</v>
      </c>
      <c r="BT68" s="114">
        <f t="shared" si="121"/>
        <v>0.15920608108108114</v>
      </c>
      <c r="BU68" s="112">
        <f t="shared" si="121"/>
        <v>3.9542689322425106E-2</v>
      </c>
      <c r="BV68" s="52">
        <f t="shared" si="121"/>
        <v>0.15491731940818099</v>
      </c>
      <c r="BW68" s="52">
        <f t="shared" si="121"/>
        <v>8.0378250591016442E-2</v>
      </c>
      <c r="BX68" s="52">
        <f t="shared" si="121"/>
        <v>0.10901287553648076</v>
      </c>
      <c r="BY68" s="114">
        <f t="shared" si="121"/>
        <v>8.3424408014571849E-2</v>
      </c>
      <c r="BZ68" s="112">
        <f t="shared" si="121"/>
        <v>0.10523660579154481</v>
      </c>
      <c r="CA68" s="52">
        <f t="shared" si="121"/>
        <v>0.12170308967596077</v>
      </c>
      <c r="CB68" s="52">
        <f t="shared" si="121"/>
        <v>0.10211524434719177</v>
      </c>
      <c r="CC68" s="52">
        <f t="shared" si="121"/>
        <v>0.17492260061919507</v>
      </c>
      <c r="CD68" s="114">
        <f t="shared" ref="CD68" si="122">+CD67/BY67-1</f>
        <v>0.10356422326832559</v>
      </c>
      <c r="CE68" s="112">
        <f t="shared" ref="CE68" si="123">+CE67/BZ67-1</f>
        <v>0.12442943217089653</v>
      </c>
      <c r="CF68" s="52">
        <f t="shared" si="121"/>
        <v>2.3513604299630453E-2</v>
      </c>
      <c r="CG68" s="52">
        <f t="shared" si="121"/>
        <v>3.3090668431501324E-3</v>
      </c>
      <c r="CH68" s="52">
        <f t="shared" si="121"/>
        <v>-5.3030303030302983E-2</v>
      </c>
      <c r="CI68" s="114">
        <f t="shared" si="121"/>
        <v>-9.8720292504570373E-2</v>
      </c>
      <c r="CJ68" s="112">
        <f t="shared" si="121"/>
        <v>-3.2881383453763124E-2</v>
      </c>
      <c r="CK68" s="52">
        <f t="shared" si="121"/>
        <v>-7.3843124384640579E-2</v>
      </c>
      <c r="CL68" s="52">
        <f>+CL67/CG67-1</f>
        <v>-4.9142480211081807E-2</v>
      </c>
      <c r="CM68" s="52">
        <f t="shared" ref="CM68" si="124">+CM67/CH67-1</f>
        <v>-2.6434782608695695E-2</v>
      </c>
      <c r="CN68" s="52">
        <f t="shared" ref="CN68" si="125">+CN67/CI67-1</f>
        <v>-2.1298174442190621E-2</v>
      </c>
      <c r="CO68" s="112">
        <f t="shared" ref="CO68:CP68" si="126">+CO67/CJ67-1</f>
        <v>-4.3065815983881817E-2</v>
      </c>
      <c r="CP68" s="52">
        <f t="shared" si="126"/>
        <v>2.1261516654855761E-3</v>
      </c>
      <c r="CQ68" s="52">
        <f>+CQ67/CL67-1</f>
        <v>-4.0582726326742979E-2</v>
      </c>
      <c r="CR68" s="52">
        <f>+CR67/CM67-1</f>
        <v>3.1439799928545842E-2</v>
      </c>
      <c r="CS68" s="52">
        <f t="shared" ref="CS68" si="127">+CS67/CN67-1</f>
        <v>-5.5267702936097063E-3</v>
      </c>
      <c r="CT68" s="112">
        <f t="shared" ref="CT68" si="128">+CT67/CO67-1</f>
        <v>-3.4213527502412466E-3</v>
      </c>
      <c r="CU68" s="52">
        <f t="shared" ref="CU68" si="129">+CU67/CP67-1</f>
        <v>-6.0113154172560135E-2</v>
      </c>
      <c r="CV68" s="52">
        <f t="shared" ref="CV68" si="130">+CV67/CQ67-1</f>
        <v>-7.1547393862001152E-2</v>
      </c>
      <c r="CW68" s="52">
        <f t="shared" ref="CW68" si="131">+CW67/CR67-1</f>
        <v>-0.11304142524500305</v>
      </c>
      <c r="CX68" s="52">
        <f t="shared" ref="CX68" si="132">+CX67/CS67-1</f>
        <v>-8.7390882044226625E-2</v>
      </c>
      <c r="CY68" s="112">
        <f t="shared" ref="CY68" si="133">+CY67/CT67-1</f>
        <v>-8.3261358759678439E-2</v>
      </c>
      <c r="CZ68" s="52">
        <f t="shared" ref="CZ68" si="134">+CZ67/CU67-1</f>
        <v>-6.9191194112527943E-2</v>
      </c>
      <c r="DA68" s="52">
        <f t="shared" ref="DA68" si="135">+DA67/CV67-1</f>
        <v>-3.7541492041867519E-2</v>
      </c>
      <c r="DB68" s="52">
        <f t="shared" ref="DB68" si="136">+DB67/CW67-1</f>
        <v>-2.7201299826297487E-2</v>
      </c>
      <c r="DC68" s="52">
        <f t="shared" ref="DC68" si="137">+DC67/CX67-1</f>
        <v>-2.5649483446702814E-2</v>
      </c>
      <c r="DD68" s="112">
        <f t="shared" ref="DD68" si="138">+DD67/CY67-1</f>
        <v>-4.007671724979367E-2</v>
      </c>
      <c r="DE68" s="52">
        <f t="shared" ref="DE68" si="139">+DE67/CZ67-1</f>
        <v>-7.7901662725777809E-3</v>
      </c>
      <c r="DF68" s="52">
        <f t="shared" ref="DF68" si="140">+DF67/DA67-1</f>
        <v>-6.4970311326634222E-3</v>
      </c>
      <c r="DG68" s="52">
        <f t="shared" ref="DG68" si="141">+DG67/DB67-1</f>
        <v>-1.2179669189608111E-3</v>
      </c>
      <c r="DH68" s="52">
        <f t="shared" ref="DH68" si="142">+DH67/DC67-1</f>
        <v>-4.3153873242129936E-4</v>
      </c>
      <c r="DI68" s="112">
        <f t="shared" ref="DI68" si="143">+DI67/DD67-1</f>
        <v>-3.9483600153215059E-3</v>
      </c>
      <c r="DP68" s="9"/>
      <c r="DQ68" s="402"/>
      <c r="DR68" s="402"/>
      <c r="DS68" s="402"/>
      <c r="DT68" s="402"/>
    </row>
    <row r="69" spans="1:124" ht="12" hidden="1" customHeight="1" outlineLevel="1">
      <c r="A69" s="219"/>
      <c r="B69" s="110" t="s">
        <v>216</v>
      </c>
      <c r="C69" s="399" t="s">
        <v>1</v>
      </c>
      <c r="D69" s="112">
        <f t="shared" ref="D69:AA69" si="144">-D67/D57</f>
        <v>0.14427675101580689</v>
      </c>
      <c r="E69" s="52">
        <f t="shared" si="144"/>
        <v>0.15647276800200985</v>
      </c>
      <c r="F69" s="112">
        <f t="shared" si="144"/>
        <v>0.16497852316877254</v>
      </c>
      <c r="G69" s="52">
        <f t="shared" si="144"/>
        <v>0.18100966081533273</v>
      </c>
      <c r="H69" s="112">
        <f t="shared" si="144"/>
        <v>0.17826279403085743</v>
      </c>
      <c r="I69" s="52">
        <f t="shared" si="144"/>
        <v>0.18118871929647226</v>
      </c>
      <c r="J69" s="112">
        <f t="shared" si="144"/>
        <v>0.18547256240067306</v>
      </c>
      <c r="K69" s="52">
        <f t="shared" si="144"/>
        <v>0.18967444973108849</v>
      </c>
      <c r="L69" s="112">
        <f t="shared" si="144"/>
        <v>0.19076107920842525</v>
      </c>
      <c r="M69" s="52">
        <f t="shared" si="144"/>
        <v>0.18305705822171997</v>
      </c>
      <c r="N69" s="112">
        <f t="shared" si="144"/>
        <v>0.19088074776888259</v>
      </c>
      <c r="O69" s="112">
        <f t="shared" si="144"/>
        <v>0.19570515917753792</v>
      </c>
      <c r="P69" s="112">
        <f t="shared" si="144"/>
        <v>0.19806947189470225</v>
      </c>
      <c r="Q69" s="112">
        <f t="shared" si="144"/>
        <v>0.20881455769433047</v>
      </c>
      <c r="R69" s="52">
        <f t="shared" si="144"/>
        <v>0.19207729468599039</v>
      </c>
      <c r="S69" s="52">
        <f t="shared" si="144"/>
        <v>0.21416769929781077</v>
      </c>
      <c r="T69" s="52">
        <f t="shared" si="144"/>
        <v>0.20850561134081513</v>
      </c>
      <c r="U69" s="52">
        <f t="shared" si="144"/>
        <v>0.20031217481789804</v>
      </c>
      <c r="V69" s="112">
        <f t="shared" si="144"/>
        <v>0.20348001150417025</v>
      </c>
      <c r="W69" s="52">
        <f t="shared" si="144"/>
        <v>0.18598914652195361</v>
      </c>
      <c r="X69" s="52">
        <f t="shared" si="144"/>
        <v>0.20519979061245855</v>
      </c>
      <c r="Y69" s="52">
        <f t="shared" si="144"/>
        <v>0.20304481696886761</v>
      </c>
      <c r="Z69" s="52">
        <f t="shared" si="144"/>
        <v>0.18948995363214838</v>
      </c>
      <c r="AA69" s="112">
        <f t="shared" si="144"/>
        <v>0.1956233421750663</v>
      </c>
      <c r="AB69" s="391"/>
      <c r="AC69" s="52">
        <f t="shared" ref="AC69:BX69" si="145">-AC67/AC57</f>
        <v>0.18427556379363608</v>
      </c>
      <c r="AD69" s="52">
        <f t="shared" si="145"/>
        <v>0.20570948782535683</v>
      </c>
      <c r="AE69" s="52">
        <f t="shared" si="145"/>
        <v>0.20139001131404557</v>
      </c>
      <c r="AF69" s="52">
        <f t="shared" si="145"/>
        <v>0.20710766014633417</v>
      </c>
      <c r="AG69" s="112">
        <f t="shared" si="145"/>
        <v>0.19954173744716153</v>
      </c>
      <c r="AH69" s="52">
        <f t="shared" si="145"/>
        <v>0.19036006311863435</v>
      </c>
      <c r="AI69" s="52">
        <f t="shared" si="145"/>
        <v>0.21769553724148655</v>
      </c>
      <c r="AJ69" s="52">
        <f t="shared" si="145"/>
        <v>0.2059667240390132</v>
      </c>
      <c r="AK69" s="52">
        <f t="shared" si="145"/>
        <v>0.21171717171717172</v>
      </c>
      <c r="AL69" s="112">
        <f t="shared" si="145"/>
        <v>0.2063023849778769</v>
      </c>
      <c r="AM69" s="52">
        <f t="shared" si="145"/>
        <v>0.19832122275119018</v>
      </c>
      <c r="AN69" s="52">
        <f t="shared" si="145"/>
        <v>0.22655826558265582</v>
      </c>
      <c r="AO69" s="52">
        <f t="shared" si="145"/>
        <v>0.22091152815013404</v>
      </c>
      <c r="AP69" s="52">
        <f t="shared" si="145"/>
        <v>0.22830698033166216</v>
      </c>
      <c r="AQ69" s="112">
        <f t="shared" si="145"/>
        <v>0.21826084114898206</v>
      </c>
      <c r="AR69" s="52">
        <f t="shared" si="145"/>
        <v>0.20739244116947944</v>
      </c>
      <c r="AS69" s="52">
        <f t="shared" si="145"/>
        <v>0.23302107728337237</v>
      </c>
      <c r="AT69" s="52">
        <f t="shared" si="145"/>
        <v>0.21937250996015936</v>
      </c>
      <c r="AU69" s="52">
        <f t="shared" si="145"/>
        <v>0.22962154294032022</v>
      </c>
      <c r="AV69" s="112">
        <f t="shared" si="145"/>
        <v>0.22210896960711637</v>
      </c>
      <c r="AW69" s="52">
        <f t="shared" si="145"/>
        <v>0.20483390354265535</v>
      </c>
      <c r="AX69" s="52">
        <f t="shared" si="145"/>
        <v>0.21308068459657703</v>
      </c>
      <c r="AY69" s="52">
        <f t="shared" si="145"/>
        <v>0.20718690702087286</v>
      </c>
      <c r="AZ69" s="52">
        <f t="shared" si="145"/>
        <v>0.21620375705889133</v>
      </c>
      <c r="BA69" s="112">
        <f t="shared" si="145"/>
        <v>0.21024745269286754</v>
      </c>
      <c r="BB69" s="52">
        <f t="shared" si="145"/>
        <v>0.22061742006615215</v>
      </c>
      <c r="BC69" s="52">
        <f t="shared" si="145"/>
        <v>0.2210661678746785</v>
      </c>
      <c r="BD69" s="52">
        <f t="shared" si="145"/>
        <v>0.21204363312555655</v>
      </c>
      <c r="BE69" s="52">
        <f t="shared" si="145"/>
        <v>0.21830626213096332</v>
      </c>
      <c r="BF69" s="112">
        <f t="shared" si="145"/>
        <v>0.21798499876363436</v>
      </c>
      <c r="BG69" s="52">
        <f t="shared" si="145"/>
        <v>0.21099718536389225</v>
      </c>
      <c r="BH69" s="52">
        <f t="shared" si="145"/>
        <v>0.23810539790911031</v>
      </c>
      <c r="BI69" s="52">
        <f t="shared" si="145"/>
        <v>0.2316096139839767</v>
      </c>
      <c r="BJ69" s="52">
        <f t="shared" si="145"/>
        <v>0.23487824037706206</v>
      </c>
      <c r="BK69" s="112">
        <f t="shared" si="145"/>
        <v>0.22877521282306926</v>
      </c>
      <c r="BL69" s="52">
        <f t="shared" si="145"/>
        <v>0.21669793621013134</v>
      </c>
      <c r="BM69" s="52">
        <f t="shared" si="145"/>
        <v>0.23658725547162501</v>
      </c>
      <c r="BN69" s="52">
        <f t="shared" si="145"/>
        <v>0.23881631037212986</v>
      </c>
      <c r="BO69" s="52">
        <f t="shared" si="145"/>
        <v>0.37509900205924285</v>
      </c>
      <c r="BP69" s="112">
        <f t="shared" si="145"/>
        <v>0.25489933962516376</v>
      </c>
      <c r="BQ69" s="114">
        <f t="shared" si="145"/>
        <v>0.21691523503870117</v>
      </c>
      <c r="BR69" s="114">
        <f t="shared" si="145"/>
        <v>0.22574046073112158</v>
      </c>
      <c r="BS69" s="114">
        <f t="shared" si="145"/>
        <v>0.22496862025683112</v>
      </c>
      <c r="BT69" s="114">
        <f t="shared" si="145"/>
        <v>0.22237524303305251</v>
      </c>
      <c r="BU69" s="112">
        <f t="shared" si="145"/>
        <v>0.22252907629440027</v>
      </c>
      <c r="BV69" s="114">
        <f t="shared" si="145"/>
        <v>0.21668843892880471</v>
      </c>
      <c r="BW69" s="114">
        <f t="shared" si="145"/>
        <v>0.2414369992075372</v>
      </c>
      <c r="BX69" s="114">
        <f t="shared" si="145"/>
        <v>0.23769662404562597</v>
      </c>
      <c r="BY69" s="114">
        <f t="shared" ref="BY69" si="146">-BY67/BY57</f>
        <v>0.24309301945398071</v>
      </c>
      <c r="BZ69" s="112">
        <f>-BZ67/BZ57</f>
        <v>0.23451081138942412</v>
      </c>
      <c r="CA69" s="114">
        <f t="shared" ref="CA69:CG69" si="147">-CA67/CA57</f>
        <v>0.23464964136517696</v>
      </c>
      <c r="CB69" s="114">
        <f t="shared" si="147"/>
        <v>0.22696207285016898</v>
      </c>
      <c r="CC69" s="114">
        <f t="shared" si="147"/>
        <v>0.24503631961259079</v>
      </c>
      <c r="CD69" s="114">
        <f t="shared" si="147"/>
        <v>0.25590643274853803</v>
      </c>
      <c r="CE69" s="112">
        <f>-CE67/CE57</f>
        <v>0.24048655719780543</v>
      </c>
      <c r="CF69" s="114">
        <f t="shared" si="147"/>
        <v>0.23548960506994357</v>
      </c>
      <c r="CG69" s="114">
        <f t="shared" si="147"/>
        <v>0.22647146698536003</v>
      </c>
      <c r="CH69" s="114">
        <f t="shared" ref="CH69:CI69" si="148">-CH67/CH57</f>
        <v>0.23131386274036528</v>
      </c>
      <c r="CI69" s="114">
        <f t="shared" si="148"/>
        <v>0.23465016658733936</v>
      </c>
      <c r="CJ69" s="112">
        <f>-CJ67/CJ57</f>
        <v>0.23192243292706671</v>
      </c>
      <c r="CK69" s="114">
        <f t="shared" ref="CK69:CN69" si="149">-CK67/CK57</f>
        <v>0.24350677366468201</v>
      </c>
      <c r="CL69" s="114">
        <f t="shared" si="149"/>
        <v>0.23336571151044197</v>
      </c>
      <c r="CM69" s="114">
        <f t="shared" si="149"/>
        <v>0.24838051291152718</v>
      </c>
      <c r="CN69" s="114">
        <f t="shared" si="149"/>
        <v>0.26088131927547986</v>
      </c>
      <c r="CO69" s="112">
        <f>-CO67/CO57</f>
        <v>0.24615085620505733</v>
      </c>
      <c r="CP69" s="114">
        <f t="shared" ref="CP69:CQ69" si="150">-CP67/CP57</f>
        <v>0.24129692832764504</v>
      </c>
      <c r="CQ69" s="114">
        <f t="shared" si="150"/>
        <v>0.22257986641989216</v>
      </c>
      <c r="CR69" s="114">
        <f t="shared" ref="CR69:CS69" si="151">-CR67/CR57</f>
        <v>0.25596240801489495</v>
      </c>
      <c r="CS69" s="114">
        <f t="shared" si="151"/>
        <v>0.26239518775063797</v>
      </c>
      <c r="CT69" s="112">
        <f>-CT67/CT57</f>
        <v>0.24483813957498168</v>
      </c>
      <c r="CU69" s="114">
        <f t="shared" ref="CU69" si="152">-CU67/CU57</f>
        <v>0.23704628556140195</v>
      </c>
      <c r="CV69" s="114">
        <f>CQ69+CV70/10000</f>
        <v>0.23607986641989218</v>
      </c>
      <c r="CW69" s="114">
        <f>CR69+CW70/10000</f>
        <v>0.24846240801489494</v>
      </c>
      <c r="CX69" s="114">
        <f>CS69+CX70/10000</f>
        <v>0.26589518775063797</v>
      </c>
      <c r="CY69" s="112">
        <f>-CY67/CY57</f>
        <v>0.24632306153138683</v>
      </c>
      <c r="CZ69" s="114">
        <f>CU69+CZ70/10000</f>
        <v>0.23954628556140195</v>
      </c>
      <c r="DA69" s="114">
        <f>CV69+DA70/10000</f>
        <v>0.23857986641989218</v>
      </c>
      <c r="DB69" s="114">
        <f>CW69+DB70/10000</f>
        <v>0.24846240801489494</v>
      </c>
      <c r="DC69" s="114">
        <f>CX69+DC70/10000</f>
        <v>0.26589518775063797</v>
      </c>
      <c r="DD69" s="112">
        <f>-DD67/DD57</f>
        <v>0.24780229612718541</v>
      </c>
      <c r="DE69" s="114">
        <f>CZ69+DE70/10000</f>
        <v>0.23754628556140195</v>
      </c>
      <c r="DF69" s="114">
        <f>DA69+DF70/10000</f>
        <v>0.23657986641989218</v>
      </c>
      <c r="DG69" s="114">
        <f>DB69+DG70/10000</f>
        <v>0.24646240801489494</v>
      </c>
      <c r="DH69" s="114">
        <f>DC69+DH70/10000</f>
        <v>0.26389518775063797</v>
      </c>
      <c r="DI69" s="112">
        <f>-DI67/DI57</f>
        <v>0.24582847196673463</v>
      </c>
      <c r="DP69" s="206"/>
      <c r="DQ69" s="393"/>
      <c r="DR69" s="393"/>
      <c r="DT69" s="180"/>
    </row>
    <row r="70" spans="1:124" s="3" customFormat="1" ht="12" hidden="1" customHeight="1" outlineLevel="1">
      <c r="A70" s="219"/>
      <c r="B70" s="110" t="s">
        <v>275</v>
      </c>
      <c r="C70" s="217" t="s">
        <v>126</v>
      </c>
      <c r="D70" s="403" t="s">
        <v>126</v>
      </c>
      <c r="E70" s="220">
        <f t="shared" ref="E70:Q70" si="153">+(E69-D69)*100*100</f>
        <v>121.96016986202957</v>
      </c>
      <c r="F70" s="220">
        <f t="shared" si="153"/>
        <v>85.05755166762691</v>
      </c>
      <c r="G70" s="220">
        <f t="shared" si="153"/>
        <v>160.31137646560194</v>
      </c>
      <c r="H70" s="220">
        <f t="shared" si="153"/>
        <v>-27.468667844753046</v>
      </c>
      <c r="I70" s="220">
        <f t="shared" si="153"/>
        <v>29.259252656148316</v>
      </c>
      <c r="J70" s="220">
        <f t="shared" si="153"/>
        <v>42.838431042007961</v>
      </c>
      <c r="K70" s="220">
        <f t="shared" si="153"/>
        <v>42.018873304154326</v>
      </c>
      <c r="L70" s="220">
        <f t="shared" si="153"/>
        <v>10.86629477336759</v>
      </c>
      <c r="M70" s="220">
        <f t="shared" si="153"/>
        <v>-77.040209867052795</v>
      </c>
      <c r="N70" s="220">
        <f t="shared" si="153"/>
        <v>78.236895471626156</v>
      </c>
      <c r="O70" s="220">
        <f t="shared" si="153"/>
        <v>48.244114086553324</v>
      </c>
      <c r="P70" s="220">
        <f t="shared" si="153"/>
        <v>23.643127171643354</v>
      </c>
      <c r="Q70" s="220">
        <f t="shared" si="153"/>
        <v>107.45085799628211</v>
      </c>
      <c r="R70" s="217" t="s">
        <v>126</v>
      </c>
      <c r="S70" s="217" t="s">
        <v>126</v>
      </c>
      <c r="T70" s="217" t="s">
        <v>126</v>
      </c>
      <c r="U70" s="217" t="s">
        <v>126</v>
      </c>
      <c r="V70" s="220">
        <f t="shared" ref="V70:AA70" si="154">+(V69-Q69)*100*100</f>
        <v>-53.345461901602164</v>
      </c>
      <c r="W70" s="184">
        <f t="shared" si="154"/>
        <v>-60.881481640367717</v>
      </c>
      <c r="X70" s="184">
        <f t="shared" si="154"/>
        <v>-89.679086853522165</v>
      </c>
      <c r="Y70" s="184">
        <f t="shared" si="154"/>
        <v>-54.607943719475195</v>
      </c>
      <c r="Z70" s="184">
        <f t="shared" si="154"/>
        <v>-108.22221185749659</v>
      </c>
      <c r="AA70" s="220">
        <f t="shared" si="154"/>
        <v>-78.566693291039485</v>
      </c>
      <c r="AB70" s="112"/>
      <c r="AC70" s="202">
        <f>+(AC69-W69)*100*100</f>
        <v>-17.135827283175363</v>
      </c>
      <c r="AD70" s="184">
        <f>+(AD69-X69)*100*100</f>
        <v>5.0969721289828573</v>
      </c>
      <c r="AE70" s="184">
        <f>+(AE69-Y69)*100*100</f>
        <v>-16.548056548220391</v>
      </c>
      <c r="AF70" s="184">
        <f>+(AF69-Z69)*100*100</f>
        <v>176.1770651418579</v>
      </c>
      <c r="AG70" s="220">
        <f>+(AG69-AA69)*100*100</f>
        <v>39.183952720952263</v>
      </c>
      <c r="AH70" s="202">
        <f t="shared" ref="AH70:CC70" si="155">+(AH69-AC69)*100*100</f>
        <v>60.844993249982714</v>
      </c>
      <c r="AI70" s="184">
        <f t="shared" si="155"/>
        <v>119.86049416129711</v>
      </c>
      <c r="AJ70" s="184">
        <f t="shared" si="155"/>
        <v>45.767127249676243</v>
      </c>
      <c r="AK70" s="185">
        <f t="shared" si="155"/>
        <v>46.095115708375545</v>
      </c>
      <c r="AL70" s="185">
        <f t="shared" si="155"/>
        <v>67.606475307153687</v>
      </c>
      <c r="AM70" s="202">
        <f t="shared" si="155"/>
        <v>79.611596325558367</v>
      </c>
      <c r="AN70" s="184">
        <f t="shared" si="155"/>
        <v>88.62728341169273</v>
      </c>
      <c r="AO70" s="184">
        <f t="shared" si="155"/>
        <v>149.44804111120843</v>
      </c>
      <c r="AP70" s="185">
        <f t="shared" si="155"/>
        <v>165.89808614490443</v>
      </c>
      <c r="AQ70" s="185">
        <f t="shared" si="155"/>
        <v>119.58456171105163</v>
      </c>
      <c r="AR70" s="202">
        <f t="shared" si="155"/>
        <v>90.712184182892557</v>
      </c>
      <c r="AS70" s="184">
        <f t="shared" si="155"/>
        <v>64.628117007165528</v>
      </c>
      <c r="AT70" s="184">
        <f t="shared" si="155"/>
        <v>-15.39018189974678</v>
      </c>
      <c r="AU70" s="185">
        <f t="shared" si="155"/>
        <v>13.145626086580597</v>
      </c>
      <c r="AV70" s="185">
        <f t="shared" si="155"/>
        <v>38.481284581343147</v>
      </c>
      <c r="AW70" s="202">
        <f t="shared" si="155"/>
        <v>-25.585376268240921</v>
      </c>
      <c r="AX70" s="184">
        <f t="shared" si="155"/>
        <v>-199.40392686795346</v>
      </c>
      <c r="AY70" s="184">
        <f t="shared" si="155"/>
        <v>-121.856029392865</v>
      </c>
      <c r="AZ70" s="185">
        <f t="shared" si="155"/>
        <v>-134.1778588142889</v>
      </c>
      <c r="BA70" s="185">
        <f t="shared" si="155"/>
        <v>-118.61516914248833</v>
      </c>
      <c r="BB70" s="202">
        <f t="shared" si="155"/>
        <v>157.835165234968</v>
      </c>
      <c r="BC70" s="184">
        <f t="shared" si="155"/>
        <v>79.854832781014736</v>
      </c>
      <c r="BD70" s="184">
        <f t="shared" si="155"/>
        <v>48.56726104683684</v>
      </c>
      <c r="BE70" s="185">
        <f t="shared" si="155"/>
        <v>21.025050720719918</v>
      </c>
      <c r="BF70" s="185">
        <f t="shared" si="155"/>
        <v>77.375460707668211</v>
      </c>
      <c r="BG70" s="202">
        <f t="shared" si="155"/>
        <v>-96.202347022598943</v>
      </c>
      <c r="BH70" s="184">
        <f t="shared" si="155"/>
        <v>170.39230034431807</v>
      </c>
      <c r="BI70" s="184">
        <f t="shared" si="155"/>
        <v>195.6598085842015</v>
      </c>
      <c r="BJ70" s="185">
        <f t="shared" si="155"/>
        <v>165.7197824609874</v>
      </c>
      <c r="BK70" s="220">
        <f t="shared" si="155"/>
        <v>107.90214059434895</v>
      </c>
      <c r="BL70" s="202">
        <f t="shared" si="155"/>
        <v>57.007508462390831</v>
      </c>
      <c r="BM70" s="184">
        <f t="shared" si="155"/>
        <v>-15.18142437485298</v>
      </c>
      <c r="BN70" s="184">
        <f t="shared" si="155"/>
        <v>72.066963881531606</v>
      </c>
      <c r="BO70" s="184">
        <f t="shared" si="155"/>
        <v>1402.2076168218077</v>
      </c>
      <c r="BP70" s="220">
        <f t="shared" si="155"/>
        <v>261.24126802094503</v>
      </c>
      <c r="BQ70" s="115">
        <f t="shared" si="155"/>
        <v>2.1729882856982852</v>
      </c>
      <c r="BR70" s="115">
        <f t="shared" si="155"/>
        <v>-108.46794740503429</v>
      </c>
      <c r="BS70" s="115">
        <f t="shared" si="155"/>
        <v>-138.47690115298738</v>
      </c>
      <c r="BT70" s="115">
        <f t="shared" si="155"/>
        <v>-1527.2375902619035</v>
      </c>
      <c r="BU70" s="220">
        <f t="shared" si="155"/>
        <v>-323.70263330763481</v>
      </c>
      <c r="BV70" s="115">
        <f t="shared" si="155"/>
        <v>-2.2679610989645438</v>
      </c>
      <c r="BW70" s="115">
        <f t="shared" si="155"/>
        <v>156.96538476415611</v>
      </c>
      <c r="BX70" s="115">
        <f t="shared" si="155"/>
        <v>127.28003788794851</v>
      </c>
      <c r="BY70" s="115">
        <f t="shared" si="155"/>
        <v>207.17776420928203</v>
      </c>
      <c r="BZ70" s="220">
        <f>+(BZ69-BU69)*100*100</f>
        <v>119.81735095023845</v>
      </c>
      <c r="CA70" s="115">
        <f t="shared" si="155"/>
        <v>179.61202436372253</v>
      </c>
      <c r="CB70" s="115">
        <f t="shared" si="155"/>
        <v>-144.74926357368219</v>
      </c>
      <c r="CC70" s="115">
        <f t="shared" si="155"/>
        <v>73.39695566964815</v>
      </c>
      <c r="CD70" s="115">
        <f t="shared" ref="CD70" si="156">+(CD69-BY69)*100*100</f>
        <v>128.13413294557319</v>
      </c>
      <c r="CE70" s="220">
        <f>+(CE69-BZ69)*100*100</f>
        <v>59.757458083813106</v>
      </c>
      <c r="CF70" s="115">
        <f t="shared" ref="CF70:CP70" si="157">+(CF69-CA69)*100*100</f>
        <v>8.3996370476660527</v>
      </c>
      <c r="CG70" s="115">
        <f t="shared" si="157"/>
        <v>-4.9060586480895179</v>
      </c>
      <c r="CH70" s="115">
        <f t="shared" si="157"/>
        <v>-137.22456872225507</v>
      </c>
      <c r="CI70" s="115">
        <f t="shared" si="157"/>
        <v>-212.56266161198661</v>
      </c>
      <c r="CJ70" s="220">
        <f>+(CJ69-CE69)*100*100</f>
        <v>-85.64124270738715</v>
      </c>
      <c r="CK70" s="115">
        <f t="shared" si="157"/>
        <v>80.171685947384447</v>
      </c>
      <c r="CL70" s="115">
        <f>+(CL69-CG69)*100*100</f>
        <v>68.942445250819446</v>
      </c>
      <c r="CM70" s="115">
        <f t="shared" si="157"/>
        <v>170.66650171161908</v>
      </c>
      <c r="CN70" s="115">
        <f t="shared" si="157"/>
        <v>262.31152688140497</v>
      </c>
      <c r="CO70" s="220">
        <f>+(CO69-CJ69)*100*100</f>
        <v>142.2842327799062</v>
      </c>
      <c r="CP70" s="115">
        <f t="shared" si="157"/>
        <v>-22.098453370369697</v>
      </c>
      <c r="CQ70" s="115">
        <f>+(CQ69-CL69)*100*100</f>
        <v>-107.85845090549806</v>
      </c>
      <c r="CR70" s="115">
        <f>+(CR69-CM69)*100*100</f>
        <v>75.818951033677635</v>
      </c>
      <c r="CS70" s="115">
        <f t="shared" ref="CS70" si="158">+(CS69-CN69)*100*100</f>
        <v>15.138684751581089</v>
      </c>
      <c r="CT70" s="220">
        <f>+(CT69-CO69)*100*100</f>
        <v>-13.1271663007565</v>
      </c>
      <c r="CU70" s="115">
        <f t="shared" ref="CU70" si="159">+(CU69-CP69)*100*100</f>
        <v>-42.506427662430958</v>
      </c>
      <c r="CV70" s="186">
        <v>135</v>
      </c>
      <c r="CW70" s="186">
        <v>-75</v>
      </c>
      <c r="CX70" s="186">
        <v>35</v>
      </c>
      <c r="CY70" s="220">
        <f>+(CY69-CT69)*100*100</f>
        <v>14.849219564051497</v>
      </c>
      <c r="CZ70" s="186">
        <v>25</v>
      </c>
      <c r="DA70" s="186">
        <v>25</v>
      </c>
      <c r="DB70" s="186">
        <v>0</v>
      </c>
      <c r="DC70" s="186">
        <v>0</v>
      </c>
      <c r="DD70" s="220">
        <f>+(DD69-CY69)*100*100</f>
        <v>14.792345957985731</v>
      </c>
      <c r="DE70" s="186">
        <v>-20</v>
      </c>
      <c r="DF70" s="186">
        <v>-20</v>
      </c>
      <c r="DG70" s="186">
        <v>-20</v>
      </c>
      <c r="DH70" s="186">
        <v>-20</v>
      </c>
      <c r="DI70" s="220">
        <f>+(DI69-DD69)*100*100</f>
        <v>-19.738241604507767</v>
      </c>
      <c r="DP70" s="9"/>
    </row>
    <row r="71" spans="1:124" s="405" customFormat="1" ht="12" customHeight="1" collapsed="1">
      <c r="A71" s="404"/>
      <c r="B71" s="362" t="s">
        <v>3</v>
      </c>
      <c r="C71" s="360">
        <v>-1588.6120000000001</v>
      </c>
      <c r="D71" s="364">
        <f t="shared" ref="D71:AA71" si="160">SUM(D63+D67)</f>
        <v>-2303.7039999999997</v>
      </c>
      <c r="E71" s="363">
        <f t="shared" si="160"/>
        <v>-2623.9</v>
      </c>
      <c r="F71" s="364">
        <f t="shared" si="160"/>
        <v>-2426.6</v>
      </c>
      <c r="G71" s="363">
        <f t="shared" si="160"/>
        <v>-2606.3999999999996</v>
      </c>
      <c r="H71" s="364">
        <f t="shared" si="160"/>
        <v>-2689.7</v>
      </c>
      <c r="I71" s="363">
        <f t="shared" si="160"/>
        <v>-2820.4</v>
      </c>
      <c r="J71" s="364">
        <f t="shared" si="160"/>
        <v>-3150.7999999999997</v>
      </c>
      <c r="K71" s="363">
        <f t="shared" si="160"/>
        <v>-3702.0000000000005</v>
      </c>
      <c r="L71" s="364">
        <f t="shared" si="160"/>
        <v>-4221.7</v>
      </c>
      <c r="M71" s="363">
        <f t="shared" si="160"/>
        <v>-4477.8</v>
      </c>
      <c r="N71" s="364">
        <f t="shared" si="160"/>
        <v>-5028.7000000000007</v>
      </c>
      <c r="O71" s="364">
        <f t="shared" si="160"/>
        <v>-5953.6999999999989</v>
      </c>
      <c r="P71" s="364">
        <f t="shared" si="160"/>
        <v>-6149.5999999999995</v>
      </c>
      <c r="Q71" s="364">
        <f t="shared" si="160"/>
        <v>-6326.4</v>
      </c>
      <c r="R71" s="363">
        <f t="shared" si="160"/>
        <v>-1673.0000000000002</v>
      </c>
      <c r="S71" s="363">
        <f t="shared" si="160"/>
        <v>-1610.9999999999998</v>
      </c>
      <c r="T71" s="363">
        <f t="shared" si="160"/>
        <v>-1637</v>
      </c>
      <c r="U71" s="363">
        <f t="shared" si="160"/>
        <v>-1772</v>
      </c>
      <c r="V71" s="364">
        <f t="shared" si="160"/>
        <v>-6693</v>
      </c>
      <c r="W71" s="363">
        <f t="shared" si="160"/>
        <v>-1823</v>
      </c>
      <c r="X71" s="363">
        <f t="shared" si="160"/>
        <v>-1820</v>
      </c>
      <c r="Y71" s="363">
        <f t="shared" si="160"/>
        <v>-1802</v>
      </c>
      <c r="Z71" s="363">
        <f t="shared" si="160"/>
        <v>-1986</v>
      </c>
      <c r="AA71" s="364">
        <f t="shared" si="160"/>
        <v>-7431</v>
      </c>
      <c r="AB71" s="361"/>
      <c r="AC71" s="363">
        <f t="shared" ref="AC71:BH71" si="161">SUM(AC63+AC67)</f>
        <v>-2064</v>
      </c>
      <c r="AD71" s="363">
        <f t="shared" si="161"/>
        <v>-1838</v>
      </c>
      <c r="AE71" s="363">
        <f t="shared" si="161"/>
        <v>-1865</v>
      </c>
      <c r="AF71" s="363">
        <f t="shared" si="161"/>
        <v>-2029</v>
      </c>
      <c r="AG71" s="364">
        <f t="shared" si="161"/>
        <v>-7796</v>
      </c>
      <c r="AH71" s="363">
        <f t="shared" si="161"/>
        <v>-2058</v>
      </c>
      <c r="AI71" s="363">
        <f t="shared" si="161"/>
        <v>-2091</v>
      </c>
      <c r="AJ71" s="363">
        <f t="shared" si="161"/>
        <v>-2169</v>
      </c>
      <c r="AK71" s="363">
        <f t="shared" si="161"/>
        <v>-2448</v>
      </c>
      <c r="AL71" s="364">
        <f t="shared" si="161"/>
        <v>-8766</v>
      </c>
      <c r="AM71" s="363">
        <f t="shared" si="161"/>
        <v>-2480</v>
      </c>
      <c r="AN71" s="363">
        <f t="shared" si="161"/>
        <v>-2438</v>
      </c>
      <c r="AO71" s="363">
        <f t="shared" si="161"/>
        <v>-2379</v>
      </c>
      <c r="AP71" s="363">
        <f t="shared" si="161"/>
        <v>-2595</v>
      </c>
      <c r="AQ71" s="364">
        <f t="shared" si="161"/>
        <v>-9892</v>
      </c>
      <c r="AR71" s="363">
        <f t="shared" si="161"/>
        <v>-2577</v>
      </c>
      <c r="AS71" s="363">
        <f t="shared" si="161"/>
        <v>-2560</v>
      </c>
      <c r="AT71" s="363">
        <f t="shared" si="161"/>
        <v>-2566</v>
      </c>
      <c r="AU71" s="363">
        <f t="shared" si="161"/>
        <v>-2766</v>
      </c>
      <c r="AV71" s="364">
        <f t="shared" si="161"/>
        <v>-10469</v>
      </c>
      <c r="AW71" s="363">
        <f t="shared" si="161"/>
        <v>-2897</v>
      </c>
      <c r="AX71" s="363">
        <f t="shared" si="161"/>
        <v>-2505</v>
      </c>
      <c r="AY71" s="363">
        <f t="shared" si="161"/>
        <v>-2496</v>
      </c>
      <c r="AZ71" s="363">
        <f t="shared" si="161"/>
        <v>-2665</v>
      </c>
      <c r="BA71" s="364">
        <f t="shared" si="161"/>
        <v>-10563</v>
      </c>
      <c r="BB71" s="363">
        <f t="shared" si="161"/>
        <v>-2856</v>
      </c>
      <c r="BC71" s="363">
        <f t="shared" si="161"/>
        <v>-2768</v>
      </c>
      <c r="BD71" s="363">
        <f t="shared" si="161"/>
        <v>-2767</v>
      </c>
      <c r="BE71" s="363">
        <f t="shared" si="161"/>
        <v>-3120</v>
      </c>
      <c r="BF71" s="364">
        <f t="shared" si="161"/>
        <v>-11511</v>
      </c>
      <c r="BG71" s="363">
        <f t="shared" si="161"/>
        <v>-3063</v>
      </c>
      <c r="BH71" s="363">
        <f t="shared" si="161"/>
        <v>-3142</v>
      </c>
      <c r="BI71" s="371">
        <f t="shared" ref="BI71:CJ71" si="162">SUM(BI63+BI67)</f>
        <v>-3091</v>
      </c>
      <c r="BJ71" s="371">
        <f t="shared" si="162"/>
        <v>-3406</v>
      </c>
      <c r="BK71" s="364">
        <f t="shared" si="162"/>
        <v>-12702</v>
      </c>
      <c r="BL71" s="371">
        <f t="shared" si="162"/>
        <v>-3328</v>
      </c>
      <c r="BM71" s="371">
        <f t="shared" si="162"/>
        <v>-3324</v>
      </c>
      <c r="BN71" s="371">
        <f t="shared" si="162"/>
        <v>-3283</v>
      </c>
      <c r="BO71" s="371">
        <f t="shared" si="162"/>
        <v>-3191</v>
      </c>
      <c r="BP71" s="364">
        <f t="shared" si="162"/>
        <v>-13126</v>
      </c>
      <c r="BQ71" s="371">
        <f t="shared" si="162"/>
        <v>-2975</v>
      </c>
      <c r="BR71" s="371">
        <f t="shared" si="162"/>
        <v>-3267</v>
      </c>
      <c r="BS71" s="371">
        <f t="shared" si="162"/>
        <v>-3041</v>
      </c>
      <c r="BT71" s="371">
        <f t="shared" si="162"/>
        <v>-3742</v>
      </c>
      <c r="BU71" s="364">
        <f t="shared" si="162"/>
        <v>-13025</v>
      </c>
      <c r="BV71" s="371">
        <f t="shared" si="162"/>
        <v>-3572</v>
      </c>
      <c r="BW71" s="371">
        <f t="shared" si="162"/>
        <v>-3759</v>
      </c>
      <c r="BX71" s="371">
        <f t="shared" si="162"/>
        <v>-3438</v>
      </c>
      <c r="BY71" s="371">
        <f t="shared" si="162"/>
        <v>-4035</v>
      </c>
      <c r="BZ71" s="364">
        <f t="shared" si="162"/>
        <v>-14804</v>
      </c>
      <c r="CA71" s="371">
        <f t="shared" si="162"/>
        <v>-3920</v>
      </c>
      <c r="CB71" s="371">
        <f t="shared" ref="CB71:CE71" si="163">SUM(CB63+CB67)</f>
        <v>-4124</v>
      </c>
      <c r="CC71" s="371">
        <f t="shared" si="163"/>
        <v>-3959</v>
      </c>
      <c r="CD71" s="371">
        <f t="shared" si="163"/>
        <v>-4374</v>
      </c>
      <c r="CE71" s="364">
        <f t="shared" si="163"/>
        <v>-16377</v>
      </c>
      <c r="CF71" s="371">
        <f t="shared" si="162"/>
        <v>-4116</v>
      </c>
      <c r="CG71" s="371">
        <f t="shared" si="162"/>
        <v>-4146</v>
      </c>
      <c r="CH71" s="371">
        <f t="shared" si="162"/>
        <v>-3886</v>
      </c>
      <c r="CI71" s="371">
        <f>SUM(CI63+CI67)</f>
        <v>-4049</v>
      </c>
      <c r="CJ71" s="364">
        <f t="shared" si="162"/>
        <v>-16197</v>
      </c>
      <c r="CK71" s="371">
        <f t="shared" ref="CK71:CL71" si="164">SUM(CK63+CK67)</f>
        <v>-4048</v>
      </c>
      <c r="CL71" s="371">
        <f t="shared" si="164"/>
        <v>-4005</v>
      </c>
      <c r="CM71" s="371">
        <f t="shared" ref="CM71:CQ71" si="165">SUM(CM63+CM67)</f>
        <v>-3887</v>
      </c>
      <c r="CN71" s="371">
        <f>SUM(CN63+CN67)</f>
        <v>-4148</v>
      </c>
      <c r="CO71" s="364">
        <f t="shared" si="165"/>
        <v>-16088</v>
      </c>
      <c r="CP71" s="371">
        <f t="shared" si="165"/>
        <v>-4016</v>
      </c>
      <c r="CQ71" s="371">
        <f t="shared" si="165"/>
        <v>-4039</v>
      </c>
      <c r="CR71" s="371">
        <f t="shared" ref="CR71" si="166">SUM(CR63+CR67)</f>
        <v>-3977</v>
      </c>
      <c r="CS71" s="371">
        <f>SUM(CS63+CS67)</f>
        <v>-4082</v>
      </c>
      <c r="CT71" s="364">
        <f t="shared" ref="CT71" si="167">SUM(CT63+CT67)</f>
        <v>-16114</v>
      </c>
      <c r="CU71" s="371">
        <f t="shared" ref="CU71:CY71" si="168">SUM(CU63+CU67)</f>
        <v>-3910</v>
      </c>
      <c r="CV71" s="371">
        <f t="shared" si="168"/>
        <v>-3736.8235983758782</v>
      </c>
      <c r="CW71" s="371">
        <f t="shared" si="168"/>
        <v>-3556.6172835781599</v>
      </c>
      <c r="CX71" s="371">
        <f t="shared" si="168"/>
        <v>-3710.8190835248574</v>
      </c>
      <c r="CY71" s="364">
        <f t="shared" si="168"/>
        <v>-14914.259965478896</v>
      </c>
      <c r="CZ71" s="371">
        <f t="shared" ref="CZ71:DD71" si="169">SUM(CZ63+CZ67)</f>
        <v>-3524.0178122144853</v>
      </c>
      <c r="DA71" s="371">
        <f t="shared" si="169"/>
        <v>-3586.8227537574048</v>
      </c>
      <c r="DB71" s="371">
        <f t="shared" si="169"/>
        <v>-3459.8726704801584</v>
      </c>
      <c r="DC71" s="371">
        <f t="shared" si="169"/>
        <v>-3615.6384908682776</v>
      </c>
      <c r="DD71" s="364">
        <f t="shared" si="169"/>
        <v>-14186.351727320327</v>
      </c>
      <c r="DE71" s="371">
        <f t="shared" ref="DE71:DI71" si="170">SUM(DE63+DE67)</f>
        <v>-3505.3360404286223</v>
      </c>
      <c r="DF71" s="371">
        <f t="shared" si="170"/>
        <v>-3572.884924286348</v>
      </c>
      <c r="DG71" s="371">
        <f t="shared" si="170"/>
        <v>-3463.5113480336108</v>
      </c>
      <c r="DH71" s="371">
        <f t="shared" si="170"/>
        <v>-3622.0751109827243</v>
      </c>
      <c r="DI71" s="364">
        <f t="shared" si="170"/>
        <v>-14163.807423731305</v>
      </c>
      <c r="DP71" s="396"/>
      <c r="DT71" s="406"/>
    </row>
    <row r="72" spans="1:124" s="3" customFormat="1" ht="12" customHeight="1">
      <c r="A72" s="219"/>
      <c r="B72" s="110" t="s">
        <v>215</v>
      </c>
      <c r="C72" s="52" t="s">
        <v>126</v>
      </c>
      <c r="D72" s="112">
        <f t="shared" ref="D72:Q72" si="171">+D71/C71-1</f>
        <v>0.45013634543865932</v>
      </c>
      <c r="E72" s="52">
        <f t="shared" si="171"/>
        <v>0.13899181492066703</v>
      </c>
      <c r="F72" s="112">
        <f t="shared" si="171"/>
        <v>-7.5193414383170176E-2</v>
      </c>
      <c r="G72" s="52">
        <f t="shared" si="171"/>
        <v>7.4095442182477322E-2</v>
      </c>
      <c r="H72" s="112">
        <f t="shared" si="171"/>
        <v>3.1959791282995864E-2</v>
      </c>
      <c r="I72" s="52">
        <f t="shared" si="171"/>
        <v>4.8592779863925406E-2</v>
      </c>
      <c r="J72" s="112">
        <f t="shared" si="171"/>
        <v>0.11714650404197968</v>
      </c>
      <c r="K72" s="52">
        <f t="shared" si="171"/>
        <v>0.17493969785451347</v>
      </c>
      <c r="L72" s="112">
        <f t="shared" si="171"/>
        <v>0.14038357644516464</v>
      </c>
      <c r="M72" s="52">
        <f t="shared" si="171"/>
        <v>6.0662766184238714E-2</v>
      </c>
      <c r="N72" s="112">
        <f t="shared" si="171"/>
        <v>0.1230291661083569</v>
      </c>
      <c r="O72" s="112">
        <f t="shared" si="171"/>
        <v>0.18394416051862272</v>
      </c>
      <c r="P72" s="112">
        <f t="shared" si="171"/>
        <v>3.2903908493877809E-2</v>
      </c>
      <c r="Q72" s="112">
        <f t="shared" si="171"/>
        <v>2.8749837387797683E-2</v>
      </c>
      <c r="R72" s="378" t="s">
        <v>126</v>
      </c>
      <c r="S72" s="378" t="s">
        <v>126</v>
      </c>
      <c r="T72" s="378" t="s">
        <v>126</v>
      </c>
      <c r="U72" s="378" t="s">
        <v>126</v>
      </c>
      <c r="V72" s="112">
        <f t="shared" ref="V72:AA72" si="172">+V71/Q71-1</f>
        <v>5.7947647951441583E-2</v>
      </c>
      <c r="W72" s="52">
        <f t="shared" si="172"/>
        <v>8.9659294680215051E-2</v>
      </c>
      <c r="X72" s="52">
        <f t="shared" si="172"/>
        <v>0.12973308504034775</v>
      </c>
      <c r="Y72" s="52">
        <f t="shared" si="172"/>
        <v>0.10079413561392792</v>
      </c>
      <c r="Z72" s="52">
        <f t="shared" si="172"/>
        <v>0.12076749435665923</v>
      </c>
      <c r="AA72" s="112">
        <f t="shared" si="172"/>
        <v>0.11026445540116536</v>
      </c>
      <c r="AB72" s="379"/>
      <c r="AC72" s="52">
        <f>+AC71/W71-1</f>
        <v>0.13219967087218865</v>
      </c>
      <c r="AD72" s="52">
        <f>+AD71/X71-1</f>
        <v>9.890109890109855E-3</v>
      </c>
      <c r="AE72" s="52">
        <f>+AE71/Y71-1</f>
        <v>3.4961154273029926E-2</v>
      </c>
      <c r="AF72" s="52">
        <f>+AF71/Z71-1</f>
        <v>2.1651560926485347E-2</v>
      </c>
      <c r="AG72" s="112">
        <f>+AG71/AA71-1</f>
        <v>4.9118557394697948E-2</v>
      </c>
      <c r="AH72" s="52">
        <f t="shared" ref="AH72:BM72" si="173">+AH71/AC71-1</f>
        <v>-2.9069767441860517E-3</v>
      </c>
      <c r="AI72" s="52">
        <f t="shared" si="173"/>
        <v>0.13764961915125129</v>
      </c>
      <c r="AJ72" s="52">
        <f t="shared" si="173"/>
        <v>0.16300268096514747</v>
      </c>
      <c r="AK72" s="52">
        <f t="shared" si="173"/>
        <v>0.20650566781665836</v>
      </c>
      <c r="AL72" s="112">
        <f t="shared" si="173"/>
        <v>0.12442278091328896</v>
      </c>
      <c r="AM72" s="52">
        <f t="shared" si="173"/>
        <v>0.20505344995140917</v>
      </c>
      <c r="AN72" s="52">
        <f t="shared" si="173"/>
        <v>0.16594930655188911</v>
      </c>
      <c r="AO72" s="52">
        <f t="shared" si="173"/>
        <v>9.681881051175667E-2</v>
      </c>
      <c r="AP72" s="52">
        <f t="shared" si="173"/>
        <v>6.0049019607843146E-2</v>
      </c>
      <c r="AQ72" s="112">
        <f t="shared" si="173"/>
        <v>0.12845083276294766</v>
      </c>
      <c r="AR72" s="52">
        <f t="shared" si="173"/>
        <v>3.9112903225806406E-2</v>
      </c>
      <c r="AS72" s="52">
        <f t="shared" si="173"/>
        <v>5.0041017227235418E-2</v>
      </c>
      <c r="AT72" s="52">
        <f t="shared" si="173"/>
        <v>7.8604455653636052E-2</v>
      </c>
      <c r="AU72" s="52">
        <f t="shared" si="173"/>
        <v>6.5895953757225456E-2</v>
      </c>
      <c r="AV72" s="112">
        <f t="shared" si="173"/>
        <v>5.8329963606955193E-2</v>
      </c>
      <c r="AW72" s="52">
        <f t="shared" si="173"/>
        <v>0.12417539774932096</v>
      </c>
      <c r="AX72" s="52">
        <f t="shared" si="173"/>
        <v>-2.1484375E-2</v>
      </c>
      <c r="AY72" s="52">
        <f t="shared" si="173"/>
        <v>-2.7279812938425518E-2</v>
      </c>
      <c r="AZ72" s="52">
        <f t="shared" si="173"/>
        <v>-3.6514822848879303E-2</v>
      </c>
      <c r="BA72" s="112">
        <f t="shared" si="173"/>
        <v>8.9788900563567697E-3</v>
      </c>
      <c r="BB72" s="52">
        <f t="shared" si="173"/>
        <v>-1.4152571625819843E-2</v>
      </c>
      <c r="BC72" s="52">
        <f t="shared" si="173"/>
        <v>0.10499001996007995</v>
      </c>
      <c r="BD72" s="52">
        <f t="shared" si="173"/>
        <v>0.10857371794871784</v>
      </c>
      <c r="BE72" s="52">
        <f t="shared" si="173"/>
        <v>0.1707317073170731</v>
      </c>
      <c r="BF72" s="112">
        <f t="shared" si="173"/>
        <v>8.9747230900312447E-2</v>
      </c>
      <c r="BG72" s="52">
        <f t="shared" si="173"/>
        <v>7.247899159663862E-2</v>
      </c>
      <c r="BH72" s="52">
        <f t="shared" si="173"/>
        <v>0.13511560693641611</v>
      </c>
      <c r="BI72" s="52">
        <f t="shared" si="173"/>
        <v>0.11709432598482117</v>
      </c>
      <c r="BJ72" s="52">
        <f t="shared" si="173"/>
        <v>9.1666666666666563E-2</v>
      </c>
      <c r="BK72" s="112">
        <f t="shared" si="173"/>
        <v>0.10346624967422469</v>
      </c>
      <c r="BL72" s="52">
        <f t="shared" si="173"/>
        <v>8.6516487104146167E-2</v>
      </c>
      <c r="BM72" s="52">
        <f t="shared" si="173"/>
        <v>5.7924888605983549E-2</v>
      </c>
      <c r="BN72" s="52">
        <f t="shared" ref="BN72:CK72" si="174">+BN71/BI71-1</f>
        <v>6.2115820122937482E-2</v>
      </c>
      <c r="BO72" s="52">
        <f t="shared" si="174"/>
        <v>-6.312389900176163E-2</v>
      </c>
      <c r="BP72" s="112">
        <f t="shared" si="174"/>
        <v>3.3380569988978204E-2</v>
      </c>
      <c r="BQ72" s="52">
        <f t="shared" si="174"/>
        <v>-0.10606971153846156</v>
      </c>
      <c r="BR72" s="52">
        <f t="shared" si="174"/>
        <v>-1.7148014440433235E-2</v>
      </c>
      <c r="BS72" s="52">
        <f t="shared" si="174"/>
        <v>-7.3713067316478864E-2</v>
      </c>
      <c r="BT72" s="52">
        <f t="shared" si="174"/>
        <v>0.17267314321529303</v>
      </c>
      <c r="BU72" s="112">
        <f t="shared" si="174"/>
        <v>-7.6946518360505589E-3</v>
      </c>
      <c r="BV72" s="52">
        <f t="shared" si="174"/>
        <v>0.20067226890756307</v>
      </c>
      <c r="BW72" s="52">
        <f t="shared" si="174"/>
        <v>0.15059687786960518</v>
      </c>
      <c r="BX72" s="52">
        <f t="shared" si="174"/>
        <v>0.13054916146004603</v>
      </c>
      <c r="BY72" s="52">
        <f t="shared" si="174"/>
        <v>7.8300374131480499E-2</v>
      </c>
      <c r="BZ72" s="112">
        <f t="shared" si="174"/>
        <v>0.13658349328214969</v>
      </c>
      <c r="CA72" s="52">
        <f t="shared" si="174"/>
        <v>9.7424412094065049E-2</v>
      </c>
      <c r="CB72" s="52">
        <f t="shared" si="174"/>
        <v>9.7100292631018936E-2</v>
      </c>
      <c r="CC72" s="52">
        <f t="shared" si="174"/>
        <v>0.15154159394997091</v>
      </c>
      <c r="CD72" s="52">
        <f t="shared" ref="CD72" si="175">+CD71/BY71-1</f>
        <v>8.4014869888475729E-2</v>
      </c>
      <c r="CE72" s="112">
        <f t="shared" ref="CE72" si="176">+CE71/BZ71-1</f>
        <v>0.10625506619832481</v>
      </c>
      <c r="CF72" s="52">
        <f t="shared" si="174"/>
        <v>5.0000000000000044E-2</v>
      </c>
      <c r="CG72" s="52">
        <f t="shared" si="174"/>
        <v>5.3346265761395895E-3</v>
      </c>
      <c r="CH72" s="52">
        <f t="shared" si="174"/>
        <v>-1.8438999747410922E-2</v>
      </c>
      <c r="CI72" s="114">
        <f t="shared" si="174"/>
        <v>-7.4302697759487835E-2</v>
      </c>
      <c r="CJ72" s="112">
        <f t="shared" si="174"/>
        <v>-1.0991023997069083E-2</v>
      </c>
      <c r="CK72" s="52">
        <f t="shared" si="174"/>
        <v>-1.6520894071914483E-2</v>
      </c>
      <c r="CL72" s="52">
        <f>+CL71/CG71-1</f>
        <v>-3.4008683068017409E-2</v>
      </c>
      <c r="CM72" s="52">
        <f t="shared" ref="CM72" si="177">+CM71/CH71-1</f>
        <v>2.5733401955729818E-4</v>
      </c>
      <c r="CN72" s="52">
        <f t="shared" ref="CN72" si="178">+CN71/CI71-1</f>
        <v>2.4450481600395202E-2</v>
      </c>
      <c r="CO72" s="112">
        <f t="shared" ref="CO72:CP72" si="179">+CO71/CJ71-1</f>
        <v>-6.7296412915972548E-3</v>
      </c>
      <c r="CP72" s="52">
        <f t="shared" si="179"/>
        <v>-7.905138339920903E-3</v>
      </c>
      <c r="CQ72" s="52">
        <f>+CQ71/CL71-1</f>
        <v>8.4893882646692731E-3</v>
      </c>
      <c r="CR72" s="52">
        <f>+CR71/CM71-1</f>
        <v>2.315410342166202E-2</v>
      </c>
      <c r="CS72" s="52">
        <f t="shared" ref="CS72" si="180">+CS71/CN71-1</f>
        <v>-1.5911282545805205E-2</v>
      </c>
      <c r="CT72" s="112">
        <f t="shared" ref="CT72" si="181">+CT71/CO71-1</f>
        <v>1.61611138736939E-3</v>
      </c>
      <c r="CU72" s="52">
        <f t="shared" ref="CU72" si="182">+CU71/CP71-1</f>
        <v>-2.6394422310756949E-2</v>
      </c>
      <c r="CV72" s="52">
        <f t="shared" ref="CV72" si="183">+CV71/CQ71-1</f>
        <v>-7.4814657495449799E-2</v>
      </c>
      <c r="CW72" s="52">
        <f t="shared" ref="CW72" si="184">+CW71/CR71-1</f>
        <v>-0.10570347408142822</v>
      </c>
      <c r="CX72" s="52">
        <f t="shared" ref="CX72" si="185">+CX71/CS71-1</f>
        <v>-9.0931140733743865E-2</v>
      </c>
      <c r="CY72" s="112">
        <f t="shared" ref="CY72" si="186">+CY71/CT71-1</f>
        <v>-7.4453272590362718E-2</v>
      </c>
      <c r="CZ72" s="52">
        <f t="shared" ref="CZ72" si="187">+CZ71/CU71-1</f>
        <v>-9.8716672067906575E-2</v>
      </c>
      <c r="DA72" s="52">
        <f t="shared" ref="DA72" si="188">+DA71/CV71-1</f>
        <v>-4.0141269896622256E-2</v>
      </c>
      <c r="DB72" s="52">
        <f t="shared" ref="DB72" si="189">+DB71/CW71-1</f>
        <v>-2.7201299826297598E-2</v>
      </c>
      <c r="DC72" s="52">
        <f t="shared" ref="DC72" si="190">+DC71/CX71-1</f>
        <v>-2.5649483446702814E-2</v>
      </c>
      <c r="DD72" s="112">
        <f>+DD71/CY71-1</f>
        <v>-4.8806192184084995E-2</v>
      </c>
      <c r="DE72" s="52">
        <f t="shared" ref="DE72" si="191">+DE71/CZ71-1</f>
        <v>-5.3012705330576226E-3</v>
      </c>
      <c r="DF72" s="52">
        <f t="shared" ref="DF72" si="192">+DF71/DA71-1</f>
        <v>-3.885842827459518E-3</v>
      </c>
      <c r="DG72" s="52">
        <f t="shared" ref="DG72" si="193">+DG71/DB71-1</f>
        <v>1.0516796136741391E-3</v>
      </c>
      <c r="DH72" s="52">
        <f t="shared" ref="DH72" si="194">+DH71/DC71-1</f>
        <v>1.7802167254008516E-3</v>
      </c>
      <c r="DI72" s="112">
        <f t="shared" ref="DI72" si="195">+DI71/DD71-1</f>
        <v>-1.5891544226699361E-3</v>
      </c>
      <c r="DP72" s="9"/>
      <c r="DQ72" s="207"/>
      <c r="DR72" s="207"/>
      <c r="DS72" s="207"/>
      <c r="DT72" s="207"/>
    </row>
    <row r="73" spans="1:124" s="3" customFormat="1" ht="12" customHeight="1">
      <c r="A73" s="219"/>
      <c r="B73" s="110" t="s">
        <v>216</v>
      </c>
      <c r="C73" s="52">
        <f t="shared" ref="C73:AA73" si="196">+-C71/C57</f>
        <v>0.24551136868540521</v>
      </c>
      <c r="D73" s="112">
        <f t="shared" si="196"/>
        <v>0.25076952266789482</v>
      </c>
      <c r="E73" s="52">
        <f t="shared" si="196"/>
        <v>0.27466476850446458</v>
      </c>
      <c r="F73" s="112">
        <f t="shared" si="196"/>
        <v>0.2764757488407068</v>
      </c>
      <c r="G73" s="52">
        <f t="shared" si="196"/>
        <v>0.28975775700103384</v>
      </c>
      <c r="H73" s="112">
        <f t="shared" si="196"/>
        <v>0.28346050080094426</v>
      </c>
      <c r="I73" s="52">
        <f t="shared" si="196"/>
        <v>0.28509046800768223</v>
      </c>
      <c r="J73" s="112">
        <f t="shared" si="196"/>
        <v>0.29454987379639147</v>
      </c>
      <c r="K73" s="52">
        <f t="shared" si="196"/>
        <v>0.3021276248459574</v>
      </c>
      <c r="L73" s="112">
        <f t="shared" si="196"/>
        <v>0.30726289511415827</v>
      </c>
      <c r="M73" s="52">
        <f t="shared" si="196"/>
        <v>0.29942025690576335</v>
      </c>
      <c r="N73" s="112">
        <f t="shared" si="196"/>
        <v>0.3080197722637037</v>
      </c>
      <c r="O73" s="112">
        <f t="shared" si="196"/>
        <v>0.31962742255865134</v>
      </c>
      <c r="P73" s="112">
        <f t="shared" si="196"/>
        <v>0.3206908599767419</v>
      </c>
      <c r="Q73" s="112">
        <f t="shared" si="196"/>
        <v>0.33272325654780688</v>
      </c>
      <c r="R73" s="52">
        <f t="shared" si="196"/>
        <v>0.32328502415458943</v>
      </c>
      <c r="S73" s="52">
        <f t="shared" si="196"/>
        <v>0.33271375464684011</v>
      </c>
      <c r="T73" s="52">
        <f t="shared" si="196"/>
        <v>0.32230754085449892</v>
      </c>
      <c r="U73" s="52">
        <f t="shared" si="196"/>
        <v>0.30731876517516477</v>
      </c>
      <c r="V73" s="112">
        <f t="shared" si="196"/>
        <v>0.32082254817371297</v>
      </c>
      <c r="W73" s="52">
        <f t="shared" si="196"/>
        <v>0.29978621937181382</v>
      </c>
      <c r="X73" s="52">
        <f t="shared" si="196"/>
        <v>0.31757110451928111</v>
      </c>
      <c r="Y73" s="52">
        <f t="shared" si="196"/>
        <v>0.30824495381457406</v>
      </c>
      <c r="Z73" s="52">
        <f t="shared" si="196"/>
        <v>0.30695517774343123</v>
      </c>
      <c r="AA73" s="112">
        <f t="shared" si="196"/>
        <v>0.30798242705570295</v>
      </c>
      <c r="AB73" s="379"/>
      <c r="AC73" s="52">
        <f t="shared" ref="AC73:BH73" si="197">+-AC71/AC57</f>
        <v>0.31881371640407785</v>
      </c>
      <c r="AD73" s="52">
        <f t="shared" si="197"/>
        <v>0.30864819479429051</v>
      </c>
      <c r="AE73" s="52">
        <f t="shared" si="197"/>
        <v>0.30143850008081463</v>
      </c>
      <c r="AF73" s="52">
        <f t="shared" si="197"/>
        <v>0.3029714797670599</v>
      </c>
      <c r="AG73" s="112">
        <f t="shared" si="197"/>
        <v>0.30798403982143563</v>
      </c>
      <c r="AH73" s="52">
        <f t="shared" si="197"/>
        <v>0.29522306699182327</v>
      </c>
      <c r="AI73" s="52">
        <f t="shared" si="197"/>
        <v>0.32514383455139168</v>
      </c>
      <c r="AJ73" s="52">
        <f t="shared" si="197"/>
        <v>0.3111015490533563</v>
      </c>
      <c r="AK73" s="52">
        <f t="shared" si="197"/>
        <v>0.32969696969696971</v>
      </c>
      <c r="AL73" s="112">
        <f t="shared" si="197"/>
        <v>0.31533508399582721</v>
      </c>
      <c r="AM73" s="52">
        <f t="shared" si="197"/>
        <v>0.31069907291405663</v>
      </c>
      <c r="AN73" s="52">
        <f t="shared" si="197"/>
        <v>0.33035230352303524</v>
      </c>
      <c r="AO73" s="52">
        <f t="shared" si="197"/>
        <v>0.31890080428954426</v>
      </c>
      <c r="AP73" s="52">
        <f t="shared" si="197"/>
        <v>0.33359043578866177</v>
      </c>
      <c r="AQ73" s="112">
        <f t="shared" si="197"/>
        <v>0.32325740988856572</v>
      </c>
      <c r="AR73" s="52">
        <f t="shared" si="197"/>
        <v>0.30627525552650342</v>
      </c>
      <c r="AS73" s="52">
        <f t="shared" si="197"/>
        <v>0.33307311995836586</v>
      </c>
      <c r="AT73" s="52">
        <f t="shared" si="197"/>
        <v>0.31947211155378485</v>
      </c>
      <c r="AU73" s="52">
        <f t="shared" si="197"/>
        <v>0.33551673944687044</v>
      </c>
      <c r="AV73" s="112">
        <f t="shared" si="197"/>
        <v>0.32335680751173707</v>
      </c>
      <c r="AW73" s="52">
        <f t="shared" si="197"/>
        <v>0.31972188500165544</v>
      </c>
      <c r="AX73" s="52">
        <f t="shared" si="197"/>
        <v>0.30623471882640585</v>
      </c>
      <c r="AY73" s="52">
        <f t="shared" si="197"/>
        <v>0.29601518026565465</v>
      </c>
      <c r="AZ73" s="52">
        <f t="shared" si="197"/>
        <v>0.30713380200530138</v>
      </c>
      <c r="BA73" s="112">
        <f t="shared" si="197"/>
        <v>0.30751091703056771</v>
      </c>
      <c r="BB73" s="52">
        <f t="shared" si="197"/>
        <v>0.3148842337375965</v>
      </c>
      <c r="BC73" s="52">
        <f t="shared" si="197"/>
        <v>0.32359130231470656</v>
      </c>
      <c r="BD73" s="52">
        <f t="shared" si="197"/>
        <v>0.30799198575244879</v>
      </c>
      <c r="BE73" s="52">
        <f t="shared" si="197"/>
        <v>0.31872509960159362</v>
      </c>
      <c r="BF73" s="112">
        <f t="shared" si="197"/>
        <v>0.31626232931285547</v>
      </c>
      <c r="BG73" s="52">
        <f t="shared" si="197"/>
        <v>0.30790108564535584</v>
      </c>
      <c r="BH73" s="52">
        <f t="shared" si="197"/>
        <v>0.33518241945807553</v>
      </c>
      <c r="BI73" s="52">
        <f t="shared" ref="BI73:CJ73" si="198">+-BI71/BI57</f>
        <v>0.32161065445843307</v>
      </c>
      <c r="BJ73" s="52">
        <f t="shared" si="198"/>
        <v>0.33444619010212095</v>
      </c>
      <c r="BK73" s="112">
        <f t="shared" si="198"/>
        <v>0.32471815323260989</v>
      </c>
      <c r="BL73" s="52">
        <f t="shared" si="198"/>
        <v>0.31219512195121951</v>
      </c>
      <c r="BM73" s="52">
        <f t="shared" si="198"/>
        <v>0.32190586868099941</v>
      </c>
      <c r="BN73" s="52">
        <f t="shared" si="198"/>
        <v>0.32492082343626288</v>
      </c>
      <c r="BO73" s="52">
        <f t="shared" si="198"/>
        <v>0.5054649136702043</v>
      </c>
      <c r="BP73" s="112">
        <f t="shared" si="198"/>
        <v>0.35093441702537231</v>
      </c>
      <c r="BQ73" s="52">
        <f t="shared" si="198"/>
        <v>0.28081933169718709</v>
      </c>
      <c r="BR73" s="52">
        <f t="shared" si="198"/>
        <v>0.29058080583474161</v>
      </c>
      <c r="BS73" s="52">
        <f t="shared" si="198"/>
        <v>0.29361784300473109</v>
      </c>
      <c r="BT73" s="52">
        <f t="shared" si="198"/>
        <v>0.30314322747893713</v>
      </c>
      <c r="BU73" s="112">
        <f t="shared" si="198"/>
        <v>0.29244689927702189</v>
      </c>
      <c r="BV73" s="52">
        <f t="shared" si="198"/>
        <v>0.2916394513389941</v>
      </c>
      <c r="BW73" s="52">
        <f t="shared" si="198"/>
        <v>0.33098529541252092</v>
      </c>
      <c r="BX73" s="52">
        <f t="shared" si="198"/>
        <v>0.31625425443841415</v>
      </c>
      <c r="BY73" s="52">
        <f t="shared" ref="BY73" si="199">+-BY71/BY57</f>
        <v>0.32981853849926435</v>
      </c>
      <c r="BZ73" s="112">
        <f t="shared" si="198"/>
        <v>0.31693427531577822</v>
      </c>
      <c r="CA73" s="52">
        <f t="shared" ref="CA73:CE73" si="200">+-CA71/CA57</f>
        <v>0.30897769370221484</v>
      </c>
      <c r="CB73" s="52">
        <f t="shared" si="200"/>
        <v>0.30972587307547877</v>
      </c>
      <c r="CC73" s="52">
        <f t="shared" si="200"/>
        <v>0.31953188054882969</v>
      </c>
      <c r="CD73" s="52">
        <f t="shared" si="200"/>
        <v>0.34105263157894739</v>
      </c>
      <c r="CE73" s="112">
        <f t="shared" si="200"/>
        <v>0.31975711189644063</v>
      </c>
      <c r="CF73" s="52">
        <f t="shared" si="198"/>
        <v>0.3181080454440065</v>
      </c>
      <c r="CG73" s="52">
        <f t="shared" si="198"/>
        <v>0.30968031072602331</v>
      </c>
      <c r="CH73" s="52">
        <f t="shared" si="198"/>
        <v>0.31265588542923806</v>
      </c>
      <c r="CI73" s="114">
        <f t="shared" si="198"/>
        <v>0.32119625575122956</v>
      </c>
      <c r="CJ73" s="112">
        <f t="shared" si="198"/>
        <v>0.3153498695533663</v>
      </c>
      <c r="CK73" s="52">
        <f t="shared" ref="CK73:CL73" si="201">+-CK71/CK57</f>
        <v>0.3492967469151782</v>
      </c>
      <c r="CL73" s="52">
        <f t="shared" si="201"/>
        <v>0.32418649830014568</v>
      </c>
      <c r="CM73" s="52">
        <f t="shared" ref="CM73:CQ73" si="202">+-CM71/CM57</f>
        <v>0.34492856509007008</v>
      </c>
      <c r="CN73" s="52">
        <f t="shared" si="202"/>
        <v>0.37379471929350278</v>
      </c>
      <c r="CO73" s="112">
        <f t="shared" si="202"/>
        <v>0.34740547193850008</v>
      </c>
      <c r="CP73" s="52">
        <f t="shared" si="202"/>
        <v>0.34266211604095564</v>
      </c>
      <c r="CQ73" s="52">
        <f t="shared" si="202"/>
        <v>0.32501810573750706</v>
      </c>
      <c r="CR73" s="52">
        <f t="shared" ref="CR73:CS73" si="203">+-CR71/CR57</f>
        <v>0.35260218104441882</v>
      </c>
      <c r="CS73" s="52">
        <f t="shared" si="203"/>
        <v>0.37203791469194314</v>
      </c>
      <c r="CT73" s="112">
        <f t="shared" ref="CT73" si="204">+-CT71/CT57</f>
        <v>0.34729945256261047</v>
      </c>
      <c r="CU73" s="52">
        <f t="shared" ref="CU73:CY73" si="205">+-CU71/CU57</f>
        <v>0.34870239900115935</v>
      </c>
      <c r="CV73" s="52">
        <f t="shared" si="205"/>
        <v>0.34351810573750707</v>
      </c>
      <c r="CW73" s="52">
        <f t="shared" si="205"/>
        <v>0.34510218104441881</v>
      </c>
      <c r="CX73" s="52">
        <f t="shared" si="205"/>
        <v>0.37553791469194314</v>
      </c>
      <c r="CY73" s="112">
        <f t="shared" si="205"/>
        <v>0.35276290767229607</v>
      </c>
      <c r="CZ73" s="52">
        <f t="shared" ref="CZ73:DD73" si="206">+-CZ71/CZ57</f>
        <v>0.3412023990011594</v>
      </c>
      <c r="DA73" s="52">
        <f t="shared" si="206"/>
        <v>0.34621810573750705</v>
      </c>
      <c r="DB73" s="52">
        <f t="shared" si="206"/>
        <v>0.34510218104441881</v>
      </c>
      <c r="DC73" s="52">
        <f t="shared" si="206"/>
        <v>0.37553791469194314</v>
      </c>
      <c r="DD73" s="112">
        <f t="shared" si="206"/>
        <v>0.35165407546166522</v>
      </c>
      <c r="DE73" s="52">
        <f t="shared" ref="DE73:DI73" si="207">+-DE71/DE57</f>
        <v>0.33920239900115939</v>
      </c>
      <c r="DF73" s="52">
        <f t="shared" si="207"/>
        <v>0.34421810573750705</v>
      </c>
      <c r="DG73" s="52">
        <f t="shared" si="207"/>
        <v>0.34310218104441886</v>
      </c>
      <c r="DH73" s="52">
        <f t="shared" si="207"/>
        <v>0.37353791469194314</v>
      </c>
      <c r="DI73" s="112">
        <f t="shared" si="207"/>
        <v>0.34967931730947344</v>
      </c>
      <c r="DP73" s="9"/>
      <c r="DQ73" s="407"/>
      <c r="DR73" s="407"/>
      <c r="DS73" s="407"/>
      <c r="DT73" s="407"/>
    </row>
    <row r="74" spans="1:124" s="3" customFormat="1" ht="12" customHeight="1">
      <c r="A74" s="219"/>
      <c r="B74" s="110" t="s">
        <v>277</v>
      </c>
      <c r="C74" s="217" t="s">
        <v>126</v>
      </c>
      <c r="D74" s="220">
        <f t="shared" ref="D74:Q74" si="208">+(D73-C73)*100*100</f>
        <v>52.581539824896048</v>
      </c>
      <c r="E74" s="202">
        <f t="shared" si="208"/>
        <v>238.95245836569768</v>
      </c>
      <c r="F74" s="220">
        <f t="shared" si="208"/>
        <v>18.109803362422184</v>
      </c>
      <c r="G74" s="184">
        <f t="shared" si="208"/>
        <v>132.82008160327041</v>
      </c>
      <c r="H74" s="220">
        <f t="shared" si="208"/>
        <v>-62.972562000895849</v>
      </c>
      <c r="I74" s="184">
        <f t="shared" si="208"/>
        <v>16.299672067379699</v>
      </c>
      <c r="J74" s="220">
        <f t="shared" si="208"/>
        <v>94.594057887092404</v>
      </c>
      <c r="K74" s="184">
        <f t="shared" si="208"/>
        <v>75.777510495659286</v>
      </c>
      <c r="L74" s="220">
        <f t="shared" si="208"/>
        <v>51.352702682008754</v>
      </c>
      <c r="M74" s="185">
        <f t="shared" si="208"/>
        <v>-78.42638208394925</v>
      </c>
      <c r="N74" s="220">
        <f t="shared" si="208"/>
        <v>85.995153579403464</v>
      </c>
      <c r="O74" s="202">
        <f t="shared" si="208"/>
        <v>116.07650294947646</v>
      </c>
      <c r="P74" s="220">
        <f t="shared" si="208"/>
        <v>10.634374180905626</v>
      </c>
      <c r="Q74" s="220">
        <f t="shared" si="208"/>
        <v>120.32396571064974</v>
      </c>
      <c r="R74" s="217" t="s">
        <v>126</v>
      </c>
      <c r="S74" s="217" t="s">
        <v>126</v>
      </c>
      <c r="T74" s="217" t="s">
        <v>126</v>
      </c>
      <c r="U74" s="217" t="s">
        <v>126</v>
      </c>
      <c r="V74" s="220">
        <f t="shared" ref="V74:AA74" si="209">+(V73-Q73)*100*100</f>
        <v>-119.00708374093905</v>
      </c>
      <c r="W74" s="202">
        <f t="shared" si="209"/>
        <v>-234.98804782775605</v>
      </c>
      <c r="X74" s="184">
        <f t="shared" si="209"/>
        <v>-151.42650127559</v>
      </c>
      <c r="Y74" s="184">
        <f t="shared" si="209"/>
        <v>-140.62587039924856</v>
      </c>
      <c r="Z74" s="184">
        <f t="shared" si="209"/>
        <v>-3.6358743173353636</v>
      </c>
      <c r="AA74" s="220">
        <f t="shared" si="209"/>
        <v>-128.40121118010029</v>
      </c>
      <c r="AB74" s="112"/>
      <c r="AC74" s="202">
        <f>+(AC73-W73)*100*100</f>
        <v>190.27497032264029</v>
      </c>
      <c r="AD74" s="184">
        <f>+(AD73-X73)*100*100</f>
        <v>-89.229097249906019</v>
      </c>
      <c r="AE74" s="184">
        <f>+(AE73-Y73)*100*100</f>
        <v>-68.064537337594317</v>
      </c>
      <c r="AF74" s="184">
        <f>+(AF73-Z73)*100*100</f>
        <v>-39.836979763713252</v>
      </c>
      <c r="AG74" s="220">
        <f>+(AG73-AA73)*100*100</f>
        <v>1.612765732683652E-2</v>
      </c>
      <c r="AH74" s="184">
        <f t="shared" ref="AH74:BM74" si="210">+(AH73-AC73)*100*100</f>
        <v>-235.90649412254584</v>
      </c>
      <c r="AI74" s="184">
        <f t="shared" si="210"/>
        <v>164.95639757101165</v>
      </c>
      <c r="AJ74" s="184">
        <f t="shared" si="210"/>
        <v>96.630489725416652</v>
      </c>
      <c r="AK74" s="185">
        <f t="shared" si="210"/>
        <v>267.2548992990981</v>
      </c>
      <c r="AL74" s="185">
        <f t="shared" si="210"/>
        <v>73.510441743915862</v>
      </c>
      <c r="AM74" s="202">
        <f t="shared" si="210"/>
        <v>154.76005922233361</v>
      </c>
      <c r="AN74" s="184">
        <f t="shared" si="210"/>
        <v>52.084689716435648</v>
      </c>
      <c r="AO74" s="184">
        <f t="shared" si="210"/>
        <v>77.992552361879632</v>
      </c>
      <c r="AP74" s="184">
        <f t="shared" si="210"/>
        <v>38.934660916920549</v>
      </c>
      <c r="AQ74" s="220">
        <f t="shared" si="210"/>
        <v>79.223258927385018</v>
      </c>
      <c r="AR74" s="184">
        <f t="shared" si="210"/>
        <v>-44.238173875532084</v>
      </c>
      <c r="AS74" s="184">
        <f t="shared" si="210"/>
        <v>27.208164353306195</v>
      </c>
      <c r="AT74" s="184">
        <f t="shared" si="210"/>
        <v>5.7130726424059475</v>
      </c>
      <c r="AU74" s="184">
        <f t="shared" si="210"/>
        <v>19.263036582086723</v>
      </c>
      <c r="AV74" s="220">
        <f t="shared" si="210"/>
        <v>0.99397623171348926</v>
      </c>
      <c r="AW74" s="184">
        <f t="shared" si="210"/>
        <v>134.46629475152017</v>
      </c>
      <c r="AX74" s="184">
        <f t="shared" si="210"/>
        <v>-268.38401131960012</v>
      </c>
      <c r="AY74" s="184">
        <f t="shared" si="210"/>
        <v>-234.56931288130201</v>
      </c>
      <c r="AZ74" s="184">
        <f t="shared" si="210"/>
        <v>-283.82937441569055</v>
      </c>
      <c r="BA74" s="220">
        <f t="shared" si="210"/>
        <v>-158.45890481169357</v>
      </c>
      <c r="BB74" s="184">
        <f t="shared" si="210"/>
        <v>-48.376512640589397</v>
      </c>
      <c r="BC74" s="184">
        <f t="shared" si="210"/>
        <v>173.56583488300714</v>
      </c>
      <c r="BD74" s="184">
        <f t="shared" si="210"/>
        <v>119.7680548679414</v>
      </c>
      <c r="BE74" s="184">
        <f t="shared" si="210"/>
        <v>115.91297596292239</v>
      </c>
      <c r="BF74" s="220">
        <f t="shared" si="210"/>
        <v>87.514122822877624</v>
      </c>
      <c r="BG74" s="184">
        <f t="shared" si="210"/>
        <v>-69.831480922406541</v>
      </c>
      <c r="BH74" s="184">
        <f t="shared" si="210"/>
        <v>115.91117143368967</v>
      </c>
      <c r="BI74" s="184">
        <f t="shared" si="210"/>
        <v>136.18668705984271</v>
      </c>
      <c r="BJ74" s="184">
        <f t="shared" si="210"/>
        <v>157.21090500527336</v>
      </c>
      <c r="BK74" s="220">
        <f t="shared" si="210"/>
        <v>84.558239197544125</v>
      </c>
      <c r="BL74" s="184">
        <f t="shared" si="210"/>
        <v>42.940363058636692</v>
      </c>
      <c r="BM74" s="184">
        <f t="shared" si="210"/>
        <v>-132.76550777076125</v>
      </c>
      <c r="BN74" s="184">
        <f t="shared" ref="BN74:CK74" si="211">+(BN73-BI73)*100*100</f>
        <v>33.101689778298194</v>
      </c>
      <c r="BO74" s="185">
        <f t="shared" si="211"/>
        <v>1710.1872356808335</v>
      </c>
      <c r="BP74" s="185">
        <f t="shared" si="211"/>
        <v>262.1626379276243</v>
      </c>
      <c r="BQ74" s="184">
        <f t="shared" si="211"/>
        <v>-313.75790254032421</v>
      </c>
      <c r="BR74" s="184">
        <f t="shared" si="211"/>
        <v>-313.25062846257799</v>
      </c>
      <c r="BS74" s="184">
        <f t="shared" si="211"/>
        <v>-313.0298043153179</v>
      </c>
      <c r="BT74" s="185">
        <f t="shared" si="211"/>
        <v>-2023.2168619126717</v>
      </c>
      <c r="BU74" s="185">
        <f t="shared" si="211"/>
        <v>-584.87517748350422</v>
      </c>
      <c r="BV74" s="184">
        <f t="shared" si="211"/>
        <v>108.20119641807014</v>
      </c>
      <c r="BW74" s="184">
        <f t="shared" si="211"/>
        <v>404.0448957777931</v>
      </c>
      <c r="BX74" s="184">
        <f t="shared" si="211"/>
        <v>226.36411433683054</v>
      </c>
      <c r="BY74" s="185">
        <f t="shared" si="211"/>
        <v>266.75311020327223</v>
      </c>
      <c r="BZ74" s="185">
        <f t="shared" si="211"/>
        <v>244.87376038756335</v>
      </c>
      <c r="CA74" s="184">
        <f t="shared" si="211"/>
        <v>173.38242363220735</v>
      </c>
      <c r="CB74" s="184">
        <f t="shared" si="211"/>
        <v>-212.59422337042145</v>
      </c>
      <c r="CC74" s="184">
        <f t="shared" si="211"/>
        <v>32.776261104155438</v>
      </c>
      <c r="CD74" s="185">
        <f t="shared" ref="CD74" si="212">+(CD73-BY73)*100*100</f>
        <v>112.34093079683038</v>
      </c>
      <c r="CE74" s="185">
        <f t="shared" ref="CE74" si="213">+(CE73-BZ73)*100*100</f>
        <v>28.228365806624023</v>
      </c>
      <c r="CF74" s="184">
        <f t="shared" si="211"/>
        <v>91.303517417916652</v>
      </c>
      <c r="CG74" s="184">
        <f t="shared" si="211"/>
        <v>-0.45562349455463558</v>
      </c>
      <c r="CH74" s="184">
        <f t="shared" si="211"/>
        <v>-68.759951195916386</v>
      </c>
      <c r="CI74" s="253">
        <f t="shared" si="211"/>
        <v>-198.56375827717821</v>
      </c>
      <c r="CJ74" s="185">
        <f t="shared" si="211"/>
        <v>-44.072423430743243</v>
      </c>
      <c r="CK74" s="184">
        <f t="shared" si="211"/>
        <v>311.88701471171697</v>
      </c>
      <c r="CL74" s="184">
        <f>+(CL73-CG73)*100*100</f>
        <v>145.06187574122364</v>
      </c>
      <c r="CM74" s="184">
        <f t="shared" ref="CM74" si="214">+(CM73-CH73)*100*100</f>
        <v>322.72679660832029</v>
      </c>
      <c r="CN74" s="185">
        <f t="shared" ref="CN74" si="215">+(CN73-CI73)*100*100</f>
        <v>525.98463542273203</v>
      </c>
      <c r="CO74" s="185">
        <f t="shared" ref="CO74:CP74" si="216">+(CO73-CJ73)*100*100</f>
        <v>320.55602385133773</v>
      </c>
      <c r="CP74" s="184">
        <f t="shared" si="216"/>
        <v>-66.346308742225574</v>
      </c>
      <c r="CQ74" s="184">
        <f>+(CQ73-CL73)*100*100</f>
        <v>8.3160743736138123</v>
      </c>
      <c r="CR74" s="184">
        <f>+(CR73-CM73)*100*100</f>
        <v>76.736159543487332</v>
      </c>
      <c r="CS74" s="185">
        <f t="shared" ref="CS74" si="217">+(CS73-CN73)*100*100</f>
        <v>-17.568046015596362</v>
      </c>
      <c r="CT74" s="185">
        <f t="shared" ref="CT74" si="218">+(CT73-CO73)*100*100</f>
        <v>-1.0601937588960997</v>
      </c>
      <c r="CU74" s="184">
        <f t="shared" ref="CU74" si="219">+(CU73-CP73)*100*100</f>
        <v>60.402829602037023</v>
      </c>
      <c r="CV74" s="184">
        <f t="shared" ref="CV74" si="220">+(CV73-CQ73)*100*100</f>
        <v>185.00000000000017</v>
      </c>
      <c r="CW74" s="184">
        <f t="shared" ref="CW74" si="221">+(CW73-CR73)*100*100</f>
        <v>-75.000000000000071</v>
      </c>
      <c r="CX74" s="185">
        <f t="shared" ref="CX74" si="222">+(CX73-CS73)*100*100</f>
        <v>35.000000000000028</v>
      </c>
      <c r="CY74" s="185">
        <f t="shared" ref="CY74" si="223">+(CY73-CT73)*100*100</f>
        <v>54.634551096856001</v>
      </c>
      <c r="CZ74" s="184">
        <f t="shared" ref="CZ74" si="224">+(CZ73-CU73)*100*100</f>
        <v>-74.999999999999517</v>
      </c>
      <c r="DA74" s="184">
        <f t="shared" ref="DA74" si="225">+(DA73-CV73)*100*100</f>
        <v>26.999999999999801</v>
      </c>
      <c r="DB74" s="184">
        <f t="shared" ref="DB74" si="226">+(DB73-CW73)*100*100</f>
        <v>0</v>
      </c>
      <c r="DC74" s="185">
        <f t="shared" ref="DC74" si="227">+(DC73-CX73)*100*100</f>
        <v>0</v>
      </c>
      <c r="DD74" s="185">
        <f t="shared" ref="DD74" si="228">+(DD73-CY73)*100*100</f>
        <v>-11.088322106308501</v>
      </c>
      <c r="DE74" s="184">
        <f t="shared" ref="DE74" si="229">+(DE73-CZ73)*100*100</f>
        <v>-20.000000000000018</v>
      </c>
      <c r="DF74" s="184">
        <f t="shared" ref="DF74" si="230">+(DF73-DA73)*100*100</f>
        <v>-20.000000000000018</v>
      </c>
      <c r="DG74" s="184">
        <f t="shared" ref="DG74" si="231">+(DG73-DB73)*100*100</f>
        <v>-19.999999999999464</v>
      </c>
      <c r="DH74" s="185">
        <f t="shared" ref="DH74" si="232">+(DH73-DC73)*100*100</f>
        <v>-20.000000000000018</v>
      </c>
      <c r="DI74" s="185">
        <f t="shared" ref="DI74" si="233">+(DI73-DD73)*100*100</f>
        <v>-19.747581521917802</v>
      </c>
      <c r="DJ74" s="4"/>
      <c r="DP74" s="9"/>
      <c r="DQ74" s="408"/>
      <c r="DR74" s="408"/>
      <c r="DS74" s="408"/>
      <c r="DT74" s="408"/>
    </row>
    <row r="75" spans="1:124" s="7" customFormat="1" ht="12" customHeight="1">
      <c r="A75" s="239"/>
      <c r="B75" s="20" t="s">
        <v>86</v>
      </c>
      <c r="C75" s="39" t="s">
        <v>1</v>
      </c>
      <c r="D75" s="40" t="s">
        <v>1</v>
      </c>
      <c r="E75" s="39" t="s">
        <v>1</v>
      </c>
      <c r="F75" s="40" t="s">
        <v>1</v>
      </c>
      <c r="G75" s="39" t="s">
        <v>1</v>
      </c>
      <c r="H75" s="40" t="s">
        <v>1</v>
      </c>
      <c r="I75" s="39" t="s">
        <v>1</v>
      </c>
      <c r="J75" s="40" t="s">
        <v>1</v>
      </c>
      <c r="K75" s="39" t="s">
        <v>1</v>
      </c>
      <c r="L75" s="40" t="s">
        <v>1</v>
      </c>
      <c r="M75" s="39" t="s">
        <v>1</v>
      </c>
      <c r="N75" s="40" t="s">
        <v>1</v>
      </c>
      <c r="O75" s="409" t="s">
        <v>1</v>
      </c>
      <c r="P75" s="36">
        <v>88.5</v>
      </c>
      <c r="Q75" s="36">
        <v>49.2</v>
      </c>
      <c r="R75" s="43">
        <v>-7</v>
      </c>
      <c r="S75" s="43">
        <v>28</v>
      </c>
      <c r="T75" s="43">
        <v>17</v>
      </c>
      <c r="U75" s="43">
        <v>-5</v>
      </c>
      <c r="V75" s="36">
        <v>33</v>
      </c>
      <c r="W75" s="43">
        <v>-18</v>
      </c>
      <c r="X75" s="43">
        <v>-9</v>
      </c>
      <c r="Y75" s="43">
        <v>11</v>
      </c>
      <c r="Z75" s="43">
        <v>-38</v>
      </c>
      <c r="AA75" s="36">
        <v>-54</v>
      </c>
      <c r="AB75" s="40" t="s">
        <v>126</v>
      </c>
      <c r="AC75" s="43">
        <v>28</v>
      </c>
      <c r="AD75" s="43">
        <v>17</v>
      </c>
      <c r="AE75" s="43">
        <v>-17</v>
      </c>
      <c r="AF75" s="43">
        <v>-13</v>
      </c>
      <c r="AG75" s="36">
        <v>15</v>
      </c>
      <c r="AH75" s="43">
        <v>-28</v>
      </c>
      <c r="AI75" s="43">
        <v>-13</v>
      </c>
      <c r="AJ75" s="43">
        <v>-45</v>
      </c>
      <c r="AK75" s="43">
        <v>-17</v>
      </c>
      <c r="AL75" s="36">
        <v>-103</v>
      </c>
      <c r="AM75" s="43">
        <v>-3</v>
      </c>
      <c r="AN75" s="43">
        <v>-2</v>
      </c>
      <c r="AO75" s="43">
        <v>5</v>
      </c>
      <c r="AP75" s="43">
        <v>58</v>
      </c>
      <c r="AQ75" s="36">
        <v>58</v>
      </c>
      <c r="AR75" s="43">
        <v>31</v>
      </c>
      <c r="AS75" s="43">
        <v>34</v>
      </c>
      <c r="AT75" s="43">
        <v>17</v>
      </c>
      <c r="AU75" s="43">
        <v>58</v>
      </c>
      <c r="AV75" s="36">
        <v>140</v>
      </c>
      <c r="AW75" s="43">
        <v>62</v>
      </c>
      <c r="AX75" s="43">
        <v>18</v>
      </c>
      <c r="AY75" s="43">
        <v>88</v>
      </c>
      <c r="AZ75" s="43">
        <v>28</v>
      </c>
      <c r="BA75" s="36">
        <v>196</v>
      </c>
      <c r="BB75" s="43">
        <v>-18</v>
      </c>
      <c r="BC75" s="43">
        <v>-18</v>
      </c>
      <c r="BD75" s="369">
        <v>1</v>
      </c>
      <c r="BE75" s="369">
        <v>-31</v>
      </c>
      <c r="BF75" s="15">
        <f>SUM(BB75:BE75)</f>
        <v>-66</v>
      </c>
      <c r="BG75" s="369">
        <v>-53</v>
      </c>
      <c r="BH75" s="369">
        <v>48</v>
      </c>
      <c r="BI75" s="369">
        <v>55</v>
      </c>
      <c r="BJ75" s="369">
        <v>28</v>
      </c>
      <c r="BK75" s="36">
        <f>SUM(BG75:BJ75)</f>
        <v>78</v>
      </c>
      <c r="BL75" s="369">
        <v>33</v>
      </c>
      <c r="BM75" s="369">
        <v>41</v>
      </c>
      <c r="BN75" s="369">
        <f>-297+400</f>
        <v>103</v>
      </c>
      <c r="BO75" s="369">
        <v>84</v>
      </c>
      <c r="BP75" s="36">
        <f>SUM(BL75:BO75)</f>
        <v>261</v>
      </c>
      <c r="BQ75" s="369">
        <v>14</v>
      </c>
      <c r="BR75" s="369">
        <v>-54</v>
      </c>
      <c r="BS75" s="369">
        <v>22</v>
      </c>
      <c r="BT75" s="369">
        <v>4</v>
      </c>
      <c r="BU75" s="36">
        <f>SUM(BQ75:BT75)</f>
        <v>-14</v>
      </c>
      <c r="BV75" s="369">
        <v>39</v>
      </c>
      <c r="BW75" s="369">
        <v>102</v>
      </c>
      <c r="BX75" s="369">
        <v>94</v>
      </c>
      <c r="BY75" s="369">
        <v>-54</v>
      </c>
      <c r="BZ75" s="36">
        <f>SUM(BV75:BY75)</f>
        <v>181</v>
      </c>
      <c r="CA75" s="369">
        <v>146</v>
      </c>
      <c r="CB75" s="369">
        <v>79</v>
      </c>
      <c r="CC75" s="369">
        <v>58</v>
      </c>
      <c r="CD75" s="369">
        <v>-3</v>
      </c>
      <c r="CE75" s="36">
        <f>SUM(CA75:CD75)</f>
        <v>280</v>
      </c>
      <c r="CF75" s="369">
        <v>10</v>
      </c>
      <c r="CG75" s="369">
        <v>75</v>
      </c>
      <c r="CH75" s="369">
        <f>16</f>
        <v>16</v>
      </c>
      <c r="CI75" s="369">
        <v>127</v>
      </c>
      <c r="CJ75" s="36">
        <f>SUM(CF75:CI75)</f>
        <v>228</v>
      </c>
      <c r="CK75" s="369">
        <v>55</v>
      </c>
      <c r="CL75" s="369">
        <v>8</v>
      </c>
      <c r="CM75" s="369">
        <v>38</v>
      </c>
      <c r="CN75" s="369">
        <v>-25</v>
      </c>
      <c r="CO75" s="36">
        <f>SUM(CK75:CN75)</f>
        <v>76</v>
      </c>
      <c r="CP75" s="369">
        <v>-23</v>
      </c>
      <c r="CQ75" s="369">
        <v>-16</v>
      </c>
      <c r="CR75" s="369">
        <v>82</v>
      </c>
      <c r="CS75" s="369">
        <v>10</v>
      </c>
      <c r="CT75" s="36">
        <f>SUM(CP75:CS75)</f>
        <v>53</v>
      </c>
      <c r="CU75" s="369">
        <v>19</v>
      </c>
      <c r="CV75" s="410">
        <v>15</v>
      </c>
      <c r="CW75" s="410">
        <v>15</v>
      </c>
      <c r="CX75" s="410">
        <v>15</v>
      </c>
      <c r="CY75" s="36">
        <f>SUM(CU75:CX75)</f>
        <v>64</v>
      </c>
      <c r="CZ75" s="410">
        <v>10</v>
      </c>
      <c r="DA75" s="410">
        <v>10</v>
      </c>
      <c r="DB75" s="410">
        <v>10</v>
      </c>
      <c r="DC75" s="410">
        <v>10</v>
      </c>
      <c r="DD75" s="36">
        <f>SUM(CZ75:DC75)</f>
        <v>40</v>
      </c>
      <c r="DE75" s="410">
        <v>10</v>
      </c>
      <c r="DF75" s="410">
        <v>10</v>
      </c>
      <c r="DG75" s="410">
        <v>10</v>
      </c>
      <c r="DH75" s="410">
        <v>10</v>
      </c>
      <c r="DI75" s="36">
        <f>SUM(DE75:DH75)</f>
        <v>40</v>
      </c>
      <c r="DP75" s="43"/>
      <c r="DQ75" s="380"/>
      <c r="DR75" s="380"/>
      <c r="DS75" s="380"/>
      <c r="DT75" s="380"/>
    </row>
    <row r="76" spans="1:124" s="117" customFormat="1" ht="12" customHeight="1">
      <c r="A76" s="239"/>
      <c r="B76" s="362" t="s">
        <v>5</v>
      </c>
      <c r="C76" s="363">
        <f t="shared" ref="C76:O76" si="234">C60+C71</f>
        <v>975.26699999999983</v>
      </c>
      <c r="D76" s="364">
        <f t="shared" si="234"/>
        <v>1379.8420000000006</v>
      </c>
      <c r="E76" s="363">
        <f t="shared" si="234"/>
        <v>863.79999999999882</v>
      </c>
      <c r="F76" s="364">
        <f t="shared" si="234"/>
        <v>856.80000000000155</v>
      </c>
      <c r="G76" s="363">
        <f t="shared" si="234"/>
        <v>984.90000000000055</v>
      </c>
      <c r="H76" s="364">
        <f t="shared" si="234"/>
        <v>1014.1999999999998</v>
      </c>
      <c r="I76" s="363">
        <f t="shared" si="234"/>
        <v>1067.9000000000001</v>
      </c>
      <c r="J76" s="364">
        <f t="shared" si="234"/>
        <v>1232.5999999999999</v>
      </c>
      <c r="K76" s="363">
        <f t="shared" si="234"/>
        <v>1549.7000000000003</v>
      </c>
      <c r="L76" s="364">
        <f t="shared" si="234"/>
        <v>1893.6999999999989</v>
      </c>
      <c r="M76" s="363">
        <f t="shared" si="234"/>
        <v>2109.1999999999998</v>
      </c>
      <c r="N76" s="364">
        <f t="shared" si="234"/>
        <v>2131.8000000000011</v>
      </c>
      <c r="O76" s="411">
        <f t="shared" si="234"/>
        <v>2433.7000000000007</v>
      </c>
      <c r="P76" s="364">
        <f t="shared" ref="P76:AA76" si="235">+P60+P71+P75</f>
        <v>2543.2999999999984</v>
      </c>
      <c r="Q76" s="364">
        <f t="shared" si="235"/>
        <v>2523.2000000000016</v>
      </c>
      <c r="R76" s="363">
        <f t="shared" si="235"/>
        <v>753.99999999999977</v>
      </c>
      <c r="S76" s="363">
        <f t="shared" si="235"/>
        <v>610.00000000000023</v>
      </c>
      <c r="T76" s="363">
        <f t="shared" si="235"/>
        <v>707</v>
      </c>
      <c r="U76" s="363">
        <f t="shared" si="235"/>
        <v>777</v>
      </c>
      <c r="V76" s="364">
        <f t="shared" si="235"/>
        <v>2848</v>
      </c>
      <c r="W76" s="363">
        <f t="shared" si="235"/>
        <v>852</v>
      </c>
      <c r="X76" s="363">
        <f t="shared" si="235"/>
        <v>621</v>
      </c>
      <c r="Y76" s="363">
        <f t="shared" si="235"/>
        <v>770</v>
      </c>
      <c r="Z76" s="363">
        <f t="shared" si="235"/>
        <v>743</v>
      </c>
      <c r="AA76" s="364">
        <f t="shared" si="235"/>
        <v>2986</v>
      </c>
      <c r="AB76" s="361" t="s">
        <v>126</v>
      </c>
      <c r="AC76" s="363">
        <f t="shared" ref="AC76:BE76" si="236">+AC60+AC71+AC75</f>
        <v>792</v>
      </c>
      <c r="AD76" s="363">
        <f t="shared" si="236"/>
        <v>709</v>
      </c>
      <c r="AE76" s="363">
        <f t="shared" si="236"/>
        <v>854</v>
      </c>
      <c r="AF76" s="363">
        <f t="shared" si="236"/>
        <v>898</v>
      </c>
      <c r="AG76" s="364">
        <f t="shared" si="236"/>
        <v>3253</v>
      </c>
      <c r="AH76" s="363">
        <f t="shared" si="236"/>
        <v>1046</v>
      </c>
      <c r="AI76" s="363">
        <f t="shared" si="236"/>
        <v>722</v>
      </c>
      <c r="AJ76" s="363">
        <f t="shared" si="236"/>
        <v>889</v>
      </c>
      <c r="AK76" s="363">
        <f t="shared" si="236"/>
        <v>920</v>
      </c>
      <c r="AL76" s="364">
        <f t="shared" si="236"/>
        <v>3577</v>
      </c>
      <c r="AM76" s="363">
        <f t="shared" si="236"/>
        <v>1238</v>
      </c>
      <c r="AN76" s="363">
        <f t="shared" si="236"/>
        <v>887</v>
      </c>
      <c r="AO76" s="363">
        <f t="shared" si="236"/>
        <v>1052</v>
      </c>
      <c r="AP76" s="363">
        <f t="shared" si="236"/>
        <v>1056</v>
      </c>
      <c r="AQ76" s="364">
        <f t="shared" si="236"/>
        <v>4233</v>
      </c>
      <c r="AR76" s="363">
        <f t="shared" si="236"/>
        <v>1449</v>
      </c>
      <c r="AS76" s="363">
        <f t="shared" si="236"/>
        <v>975</v>
      </c>
      <c r="AT76" s="363">
        <f t="shared" si="236"/>
        <v>1140</v>
      </c>
      <c r="AU76" s="363">
        <f t="shared" si="236"/>
        <v>1078</v>
      </c>
      <c r="AV76" s="364">
        <f t="shared" si="236"/>
        <v>4642</v>
      </c>
      <c r="AW76" s="363">
        <f t="shared" si="236"/>
        <v>1288</v>
      </c>
      <c r="AX76" s="363">
        <f t="shared" si="236"/>
        <v>1129</v>
      </c>
      <c r="AY76" s="363">
        <f t="shared" si="236"/>
        <v>1342</v>
      </c>
      <c r="AZ76" s="363">
        <f t="shared" si="236"/>
        <v>1186</v>
      </c>
      <c r="BA76" s="364">
        <f t="shared" si="236"/>
        <v>4945</v>
      </c>
      <c r="BB76" s="363">
        <f t="shared" si="236"/>
        <v>1088</v>
      </c>
      <c r="BC76" s="363">
        <f t="shared" si="236"/>
        <v>892</v>
      </c>
      <c r="BD76" s="363">
        <f t="shared" si="236"/>
        <v>1172</v>
      </c>
      <c r="BE76" s="363">
        <f t="shared" si="236"/>
        <v>1227</v>
      </c>
      <c r="BF76" s="364">
        <f>SUM(BB76:BE76)</f>
        <v>4379</v>
      </c>
      <c r="BG76" s="363">
        <f>+BG60+BG71+BG75</f>
        <v>1281</v>
      </c>
      <c r="BH76" s="363">
        <f>+BH60+BH71+BH75</f>
        <v>1011</v>
      </c>
      <c r="BI76" s="371">
        <f>+BI60+BI71+BI75</f>
        <v>1303</v>
      </c>
      <c r="BJ76" s="371">
        <f>+BJ60+BJ71+BJ75</f>
        <v>1255</v>
      </c>
      <c r="BK76" s="364">
        <f>SUM(BG76:BJ76)</f>
        <v>4850</v>
      </c>
      <c r="BL76" s="363">
        <f>+BL60+BL71+BL75</f>
        <v>1576</v>
      </c>
      <c r="BM76" s="363">
        <f>+BM60+BM71+BM75</f>
        <v>1261</v>
      </c>
      <c r="BN76" s="363">
        <f>+BN60+BN71+BN75</f>
        <v>1293</v>
      </c>
      <c r="BO76" s="363">
        <f>+BO60+BO71+BO75</f>
        <v>-754</v>
      </c>
      <c r="BP76" s="364">
        <f>SUM(BL76:BO76)</f>
        <v>3376</v>
      </c>
      <c r="BQ76" s="363">
        <f>+BQ60+BQ71+BQ75</f>
        <v>1780</v>
      </c>
      <c r="BR76" s="363">
        <f>+BR60+BR71+BR75</f>
        <v>1526</v>
      </c>
      <c r="BS76" s="363">
        <f>+BS60+BS71+BS75</f>
        <v>1700</v>
      </c>
      <c r="BT76" s="363">
        <f>+BT60+BT71+BT75</f>
        <v>1917</v>
      </c>
      <c r="BU76" s="364">
        <f>SUM(BQ76:BT76)</f>
        <v>6923</v>
      </c>
      <c r="BV76" s="363">
        <f>+BV60+BV71+BV75</f>
        <v>2163</v>
      </c>
      <c r="BW76" s="363">
        <f>+BW60+BW71+BW75</f>
        <v>1556</v>
      </c>
      <c r="BX76" s="363">
        <f>+BX60+BX71+BX75</f>
        <v>1723</v>
      </c>
      <c r="BY76" s="363">
        <f>+BY60+BY71+BY75</f>
        <v>1414</v>
      </c>
      <c r="BZ76" s="364">
        <f>SUM(BV76:BY76)</f>
        <v>6856</v>
      </c>
      <c r="CA76" s="363">
        <f>+CA60+CA71+CA75</f>
        <v>1841</v>
      </c>
      <c r="CB76" s="363">
        <f>+CB60+CB71+CB75</f>
        <v>1666</v>
      </c>
      <c r="CC76" s="363">
        <f>+CC60+CC71+CC75</f>
        <v>1470</v>
      </c>
      <c r="CD76" s="363">
        <f>+CD60+CD71+CD75</f>
        <v>1218</v>
      </c>
      <c r="CE76" s="364">
        <f>SUM(CA76:CD76)</f>
        <v>6195</v>
      </c>
      <c r="CF76" s="363">
        <f>+CF60+CF71+CF75</f>
        <v>1614</v>
      </c>
      <c r="CG76" s="363">
        <f>+CG60+CG71+CG75</f>
        <v>1900</v>
      </c>
      <c r="CH76" s="363">
        <f>+CH60+CH71+CH75</f>
        <v>1755</v>
      </c>
      <c r="CI76" s="371">
        <f>+CI60+CI71+CI75</f>
        <v>1713</v>
      </c>
      <c r="CJ76" s="364">
        <f>SUM(CF76:CI76)</f>
        <v>6982</v>
      </c>
      <c r="CK76" s="363">
        <f>+CK60+CK71+CK75</f>
        <v>1264</v>
      </c>
      <c r="CL76" s="363">
        <f>+CL60+CL71+CL75</f>
        <v>1392</v>
      </c>
      <c r="CM76" s="363">
        <f>+CM60+CM71+CM75</f>
        <v>826</v>
      </c>
      <c r="CN76" s="363">
        <f>+CN60+CN71+CN75</f>
        <v>296</v>
      </c>
      <c r="CO76" s="364">
        <f>SUM(CK76:CN76)</f>
        <v>3778</v>
      </c>
      <c r="CP76" s="363">
        <f>+CP60+CP71+CP75</f>
        <v>904</v>
      </c>
      <c r="CQ76" s="363">
        <f>+CQ60+CQ71+CQ75</f>
        <v>990</v>
      </c>
      <c r="CR76" s="363">
        <f>+CR60+CR71+CR75</f>
        <v>635</v>
      </c>
      <c r="CS76" s="363">
        <f>+CS60+CS71+CS75</f>
        <v>1321</v>
      </c>
      <c r="CT76" s="364">
        <f>SUM(CP76:CS76)</f>
        <v>3850</v>
      </c>
      <c r="CU76" s="363">
        <f>+CU60+CU71+CU75</f>
        <v>907</v>
      </c>
      <c r="CV76" s="363">
        <f>+CV60+CV71+CV75</f>
        <v>710.68443187684397</v>
      </c>
      <c r="CW76" s="363">
        <f>+CW60+CW71+CW75</f>
        <v>546.05875314247487</v>
      </c>
      <c r="CX76" s="363">
        <f>+CX60+CX71+CX75</f>
        <v>271.77623577904296</v>
      </c>
      <c r="CY76" s="364">
        <f>SUM(CU76:CX76)</f>
        <v>2435.5194207983618</v>
      </c>
      <c r="CZ76" s="363">
        <f>+CZ60+CZ71+CZ75</f>
        <v>853.75251239867339</v>
      </c>
      <c r="DA76" s="363">
        <f>+DA60+DA71+DA75</f>
        <v>618.67917587351076</v>
      </c>
      <c r="DB76" s="363">
        <f>+DB60+DB71+DB75</f>
        <v>526.61326477286639</v>
      </c>
      <c r="DC76" s="363">
        <f>+DC60+DC71+DC75</f>
        <v>260.19005796992178</v>
      </c>
      <c r="DD76" s="364">
        <f>SUM(CZ76:DC76)</f>
        <v>2259.2350110149723</v>
      </c>
      <c r="DE76" s="363">
        <f>+DE60+DE71+DE75</f>
        <v>911.06539847721524</v>
      </c>
      <c r="DF76" s="363">
        <f>+DF60+DF71+DF75</f>
        <v>676.92520969207635</v>
      </c>
      <c r="DG76" s="363">
        <f>+DG60+DG71+DG75</f>
        <v>585.6919827032948</v>
      </c>
      <c r="DH76" s="363">
        <f>+DH60+DH71+DH75</f>
        <v>315.3091079963574</v>
      </c>
      <c r="DI76" s="364">
        <f>SUM(DE76:DH76)</f>
        <v>2488.9916988689438</v>
      </c>
      <c r="DP76" s="43"/>
      <c r="DQ76" s="380"/>
      <c r="DR76" s="380"/>
      <c r="DS76" s="380"/>
      <c r="DT76" s="380"/>
    </row>
    <row r="77" spans="1:124" s="3" customFormat="1" ht="12" customHeight="1">
      <c r="A77" s="219"/>
      <c r="B77" s="110" t="s">
        <v>215</v>
      </c>
      <c r="C77" s="52" t="s">
        <v>126</v>
      </c>
      <c r="D77" s="112">
        <f t="shared" ref="D77:Q77" si="237">+D76/C76-1</f>
        <v>0.41483511694746245</v>
      </c>
      <c r="E77" s="52">
        <f t="shared" si="237"/>
        <v>-0.3739862969818295</v>
      </c>
      <c r="F77" s="112">
        <f t="shared" si="237"/>
        <v>-8.1037277147456566E-3</v>
      </c>
      <c r="G77" s="52">
        <f t="shared" si="237"/>
        <v>0.14950980392156721</v>
      </c>
      <c r="H77" s="112">
        <f t="shared" si="237"/>
        <v>2.9749213118082318E-2</v>
      </c>
      <c r="I77" s="52">
        <f t="shared" si="237"/>
        <v>5.2948136462236617E-2</v>
      </c>
      <c r="J77" s="112">
        <f t="shared" si="237"/>
        <v>0.15422792396291762</v>
      </c>
      <c r="K77" s="52">
        <f t="shared" si="237"/>
        <v>0.25726107415219901</v>
      </c>
      <c r="L77" s="112">
        <f t="shared" si="237"/>
        <v>0.22197844744143946</v>
      </c>
      <c r="M77" s="52">
        <f t="shared" si="237"/>
        <v>0.11379838411575283</v>
      </c>
      <c r="N77" s="112">
        <f t="shared" si="237"/>
        <v>1.0714963019154755E-2</v>
      </c>
      <c r="O77" s="112">
        <f t="shared" si="237"/>
        <v>0.14161741251524518</v>
      </c>
      <c r="P77" s="52">
        <f t="shared" si="237"/>
        <v>4.5034309898507541E-2</v>
      </c>
      <c r="Q77" s="112">
        <f t="shared" si="237"/>
        <v>-7.903117996302722E-3</v>
      </c>
      <c r="R77" s="378" t="s">
        <v>126</v>
      </c>
      <c r="S77" s="378" t="s">
        <v>126</v>
      </c>
      <c r="T77" s="378" t="s">
        <v>126</v>
      </c>
      <c r="U77" s="378" t="s">
        <v>126</v>
      </c>
      <c r="V77" s="112">
        <f t="shared" ref="V77:AA77" si="238">+V76/Q76-1</f>
        <v>0.12872542802790043</v>
      </c>
      <c r="W77" s="52">
        <f t="shared" si="238"/>
        <v>0.12997347480106125</v>
      </c>
      <c r="X77" s="52">
        <f t="shared" si="238"/>
        <v>1.8032786885245455E-2</v>
      </c>
      <c r="Y77" s="52">
        <f t="shared" si="238"/>
        <v>8.9108910891089188E-2</v>
      </c>
      <c r="Z77" s="52">
        <f t="shared" si="238"/>
        <v>-4.3758043758043708E-2</v>
      </c>
      <c r="AA77" s="112">
        <f t="shared" si="238"/>
        <v>4.8455056179775191E-2</v>
      </c>
      <c r="AB77" s="379"/>
      <c r="AC77" s="52">
        <f>+AC76/W76-1</f>
        <v>-7.0422535211267623E-2</v>
      </c>
      <c r="AD77" s="52">
        <f>+AD76/X76-1</f>
        <v>0.14170692431561993</v>
      </c>
      <c r="AE77" s="52">
        <f>+AE76/Y76-1</f>
        <v>0.10909090909090913</v>
      </c>
      <c r="AF77" s="52">
        <f>+AF76/Z76-1</f>
        <v>0.20861372812920598</v>
      </c>
      <c r="AG77" s="112">
        <f>+AG76/AA76-1</f>
        <v>8.9417280643000696E-2</v>
      </c>
      <c r="AH77" s="52">
        <f t="shared" ref="AH77:BM77" si="239">+AH76/AC76-1</f>
        <v>0.32070707070707072</v>
      </c>
      <c r="AI77" s="52">
        <f t="shared" si="239"/>
        <v>1.833568406205921E-2</v>
      </c>
      <c r="AJ77" s="52">
        <f t="shared" si="239"/>
        <v>4.0983606557376984E-2</v>
      </c>
      <c r="AK77" s="52">
        <f t="shared" si="239"/>
        <v>2.4498886414253906E-2</v>
      </c>
      <c r="AL77" s="112">
        <f t="shared" si="239"/>
        <v>9.9600368890255142E-2</v>
      </c>
      <c r="AM77" s="52">
        <f t="shared" si="239"/>
        <v>0.18355640535372841</v>
      </c>
      <c r="AN77" s="52">
        <f t="shared" si="239"/>
        <v>0.2285318559556786</v>
      </c>
      <c r="AO77" s="52">
        <f t="shared" si="239"/>
        <v>0.18335208098987632</v>
      </c>
      <c r="AP77" s="52">
        <f t="shared" si="239"/>
        <v>0.14782608695652177</v>
      </c>
      <c r="AQ77" s="112">
        <f t="shared" si="239"/>
        <v>0.18339390550740853</v>
      </c>
      <c r="AR77" s="52">
        <f t="shared" si="239"/>
        <v>0.17043618739903077</v>
      </c>
      <c r="AS77" s="52">
        <f t="shared" si="239"/>
        <v>9.9210822998872628E-2</v>
      </c>
      <c r="AT77" s="52">
        <f t="shared" si="239"/>
        <v>8.365019011406849E-2</v>
      </c>
      <c r="AU77" s="52">
        <f t="shared" si="239"/>
        <v>2.0833333333333259E-2</v>
      </c>
      <c r="AV77" s="112">
        <f t="shared" si="239"/>
        <v>9.6621781242617555E-2</v>
      </c>
      <c r="AW77" s="52">
        <f t="shared" si="239"/>
        <v>-0.11111111111111116</v>
      </c>
      <c r="AX77" s="52">
        <f t="shared" si="239"/>
        <v>0.15794871794871801</v>
      </c>
      <c r="AY77" s="52">
        <f t="shared" si="239"/>
        <v>0.17719298245614046</v>
      </c>
      <c r="AZ77" s="52">
        <f t="shared" si="239"/>
        <v>0.1001855287569573</v>
      </c>
      <c r="BA77" s="112">
        <f t="shared" si="239"/>
        <v>6.5273588970271357E-2</v>
      </c>
      <c r="BB77" s="52">
        <f t="shared" si="239"/>
        <v>-0.15527950310559002</v>
      </c>
      <c r="BC77" s="52">
        <f t="shared" si="239"/>
        <v>-0.20992028343666957</v>
      </c>
      <c r="BD77" s="52">
        <f t="shared" si="239"/>
        <v>-0.12667660208643816</v>
      </c>
      <c r="BE77" s="52">
        <f t="shared" si="239"/>
        <v>3.4569983136593541E-2</v>
      </c>
      <c r="BF77" s="112">
        <f t="shared" si="239"/>
        <v>-0.11445904954499497</v>
      </c>
      <c r="BG77" s="52">
        <f t="shared" si="239"/>
        <v>0.17738970588235303</v>
      </c>
      <c r="BH77" s="52">
        <f t="shared" si="239"/>
        <v>0.13340807174887903</v>
      </c>
      <c r="BI77" s="52">
        <f t="shared" si="239"/>
        <v>0.11177474402730381</v>
      </c>
      <c r="BJ77" s="52">
        <f t="shared" si="239"/>
        <v>2.2819885900570602E-2</v>
      </c>
      <c r="BK77" s="112">
        <f t="shared" si="239"/>
        <v>0.10755880337976698</v>
      </c>
      <c r="BL77" s="52">
        <f t="shared" si="239"/>
        <v>0.23028883684621393</v>
      </c>
      <c r="BM77" s="52">
        <f t="shared" si="239"/>
        <v>0.24727992087042527</v>
      </c>
      <c r="BN77" s="52">
        <f t="shared" ref="BN77:CK77" si="240">+BN76/BI76-1</f>
        <v>-7.6745970836531452E-3</v>
      </c>
      <c r="BO77" s="52">
        <f t="shared" si="240"/>
        <v>-1.600796812749004</v>
      </c>
      <c r="BP77" s="112">
        <f t="shared" si="240"/>
        <v>-0.30391752577319586</v>
      </c>
      <c r="BQ77" s="52">
        <f t="shared" si="240"/>
        <v>0.12944162436548234</v>
      </c>
      <c r="BR77" s="52">
        <f t="shared" si="240"/>
        <v>0.21015067406819976</v>
      </c>
      <c r="BS77" s="52">
        <f t="shared" si="240"/>
        <v>0.31477184841453987</v>
      </c>
      <c r="BT77" s="52">
        <f t="shared" si="240"/>
        <v>-3.5424403183023871</v>
      </c>
      <c r="BU77" s="112">
        <f t="shared" si="240"/>
        <v>1.0506516587677726</v>
      </c>
      <c r="BV77" s="52">
        <f t="shared" si="240"/>
        <v>0.21516853932584268</v>
      </c>
      <c r="BW77" s="52">
        <f t="shared" si="240"/>
        <v>1.9659239842725995E-2</v>
      </c>
      <c r="BX77" s="52">
        <f t="shared" si="240"/>
        <v>1.352941176470579E-2</v>
      </c>
      <c r="BY77" s="52">
        <f t="shared" si="240"/>
        <v>-0.26238914971309335</v>
      </c>
      <c r="BZ77" s="112">
        <f t="shared" si="240"/>
        <v>-9.67788530983682E-3</v>
      </c>
      <c r="CA77" s="52">
        <f t="shared" si="240"/>
        <v>-0.14886731391585761</v>
      </c>
      <c r="CB77" s="52">
        <f t="shared" si="240"/>
        <v>7.069408740359906E-2</v>
      </c>
      <c r="CC77" s="52">
        <f t="shared" si="240"/>
        <v>-0.14683691236215901</v>
      </c>
      <c r="CD77" s="52">
        <f t="shared" ref="CD77" si="241">+CD76/BY76-1</f>
        <v>-0.13861386138613863</v>
      </c>
      <c r="CE77" s="112">
        <f t="shared" ref="CE77" si="242">+CE76/BZ76-1</f>
        <v>-9.6411901983663895E-2</v>
      </c>
      <c r="CF77" s="52">
        <f t="shared" si="240"/>
        <v>-0.12330255296034764</v>
      </c>
      <c r="CG77" s="52">
        <f t="shared" si="240"/>
        <v>0.1404561824729893</v>
      </c>
      <c r="CH77" s="52">
        <f t="shared" si="240"/>
        <v>0.19387755102040827</v>
      </c>
      <c r="CI77" s="114">
        <f t="shared" si="240"/>
        <v>0.40640394088669951</v>
      </c>
      <c r="CJ77" s="112">
        <f t="shared" si="240"/>
        <v>0.12703793381759487</v>
      </c>
      <c r="CK77" s="52">
        <f t="shared" si="240"/>
        <v>-0.21685254027261458</v>
      </c>
      <c r="CL77" s="52">
        <f>+CL76/CG76-1</f>
        <v>-0.26736842105263159</v>
      </c>
      <c r="CM77" s="52">
        <f t="shared" ref="CM77" si="243">+CM76/CH76-1</f>
        <v>-0.52934472934472931</v>
      </c>
      <c r="CN77" s="52">
        <f t="shared" ref="CN77" si="244">+CN76/CI76-1</f>
        <v>-0.82720373613543496</v>
      </c>
      <c r="CO77" s="112">
        <f t="shared" ref="CO77:CP77" si="245">+CO76/CJ76-1</f>
        <v>-0.45889429962761386</v>
      </c>
      <c r="CP77" s="52">
        <f t="shared" si="245"/>
        <v>-0.28481012658227844</v>
      </c>
      <c r="CQ77" s="52">
        <f>+CQ76/CL76-1</f>
        <v>-0.28879310344827591</v>
      </c>
      <c r="CR77" s="52">
        <f t="shared" ref="CR77" si="246">+CR76/CM76-1</f>
        <v>-0.23123486682808714</v>
      </c>
      <c r="CS77" s="52">
        <f t="shared" ref="CS77" si="247">+CS76/CN76-1</f>
        <v>3.4628378378378377</v>
      </c>
      <c r="CT77" s="112">
        <f t="shared" ref="CT77" si="248">+CT76/CO76-1</f>
        <v>1.9057702488088912E-2</v>
      </c>
      <c r="CU77" s="52">
        <f t="shared" ref="CU77" si="249">+CU76/CP76-1</f>
        <v>3.3185840707965486E-3</v>
      </c>
      <c r="CV77" s="52">
        <f t="shared" ref="CV77" si="250">+CV76/CQ76-1</f>
        <v>-0.2821369374981374</v>
      </c>
      <c r="CW77" s="52">
        <f t="shared" ref="CW77" si="251">+CW76/CR76-1</f>
        <v>-0.14006495568114197</v>
      </c>
      <c r="CX77" s="52">
        <f t="shared" ref="CX77" si="252">+CX76/CS76-1</f>
        <v>-0.79426477230958137</v>
      </c>
      <c r="CY77" s="112">
        <f t="shared" ref="CY77" si="253">+CY76/CT76-1</f>
        <v>-0.36739755303938659</v>
      </c>
      <c r="CZ77" s="52">
        <f t="shared" ref="CZ77" si="254">+CZ76/CU76-1</f>
        <v>-5.8707263066512305E-2</v>
      </c>
      <c r="DA77" s="52">
        <f t="shared" ref="DA77" si="255">+DA76/CV76-1</f>
        <v>-0.12946006958441014</v>
      </c>
      <c r="DB77" s="52">
        <f t="shared" ref="DB77" si="256">+DB76/CW76-1</f>
        <v>-3.5610615630100262E-2</v>
      </c>
      <c r="DC77" s="52">
        <f t="shared" ref="DC77" si="257">+DC76/CX76-1</f>
        <v>-4.2631313131221926E-2</v>
      </c>
      <c r="DD77" s="112">
        <f t="shared" ref="DD77" si="258">+DD76/CY76-1</f>
        <v>-7.2380621676834567E-2</v>
      </c>
      <c r="DE77" s="52">
        <f t="shared" ref="DE77" si="259">+DE76/CZ76-1</f>
        <v>6.7130562131545002E-2</v>
      </c>
      <c r="DF77" s="52">
        <f t="shared" ref="DF77" si="260">+DF76/DA76-1</f>
        <v>9.414578038177579E-2</v>
      </c>
      <c r="DG77" s="52">
        <f t="shared" ref="DG77" si="261">+DG76/DB76-1</f>
        <v>0.11218615610814453</v>
      </c>
      <c r="DH77" s="52">
        <f t="shared" ref="DH77" si="262">+DH76/DC76-1</f>
        <v>0.21184149177908806</v>
      </c>
      <c r="DI77" s="112">
        <f t="shared" ref="DI77" si="263">+DI76/DD76-1</f>
        <v>0.10169667464154264</v>
      </c>
      <c r="DP77" s="9"/>
      <c r="DQ77" s="408"/>
      <c r="DR77" s="408"/>
      <c r="DT77" s="226"/>
    </row>
    <row r="78" spans="1:124" s="3" customFormat="1" ht="12" customHeight="1">
      <c r="A78" s="219"/>
      <c r="B78" s="110" t="s">
        <v>217</v>
      </c>
      <c r="C78" s="52">
        <f t="shared" ref="C78:AA78" si="264">+C76/C57</f>
        <v>0.15072222544190086</v>
      </c>
      <c r="D78" s="112">
        <f t="shared" si="264"/>
        <v>0.15020259534085692</v>
      </c>
      <c r="E78" s="52">
        <f t="shared" si="264"/>
        <v>9.042091048978855E-2</v>
      </c>
      <c r="F78" s="112">
        <f t="shared" si="264"/>
        <v>9.7619888571135752E-2</v>
      </c>
      <c r="G78" s="52">
        <f t="shared" si="264"/>
        <v>0.10949294615957582</v>
      </c>
      <c r="H78" s="112">
        <f t="shared" si="264"/>
        <v>0.10688390523564623</v>
      </c>
      <c r="I78" s="52">
        <f t="shared" si="264"/>
        <v>0.10794501162438089</v>
      </c>
      <c r="J78" s="112">
        <f t="shared" si="264"/>
        <v>0.11522856875759557</v>
      </c>
      <c r="K78" s="52">
        <f t="shared" si="264"/>
        <v>0.12647411675412754</v>
      </c>
      <c r="L78" s="112">
        <f t="shared" si="264"/>
        <v>0.13782688122739209</v>
      </c>
      <c r="M78" s="52">
        <f t="shared" si="264"/>
        <v>0.14103738573979097</v>
      </c>
      <c r="N78" s="112">
        <f t="shared" si="264"/>
        <v>0.13057779356727658</v>
      </c>
      <c r="O78" s="112">
        <f t="shared" si="264"/>
        <v>0.13065442637032268</v>
      </c>
      <c r="P78" s="52">
        <f t="shared" si="264"/>
        <v>0.13262863668837765</v>
      </c>
      <c r="Q78" s="112">
        <f t="shared" si="264"/>
        <v>0.13270221941727156</v>
      </c>
      <c r="R78" s="52">
        <f t="shared" si="264"/>
        <v>0.1457004830917874</v>
      </c>
      <c r="S78" s="52">
        <f t="shared" si="264"/>
        <v>0.12598099958694758</v>
      </c>
      <c r="T78" s="52">
        <f t="shared" si="264"/>
        <v>0.13920063004528452</v>
      </c>
      <c r="U78" s="52">
        <f t="shared" si="264"/>
        <v>0.13475546305931321</v>
      </c>
      <c r="V78" s="112">
        <f t="shared" si="264"/>
        <v>0.13651615377240917</v>
      </c>
      <c r="W78" s="52">
        <f t="shared" si="264"/>
        <v>0.14010853478046373</v>
      </c>
      <c r="X78" s="52">
        <f t="shared" si="264"/>
        <v>0.1083580526958646</v>
      </c>
      <c r="Y78" s="52">
        <f t="shared" si="264"/>
        <v>0.13171399247348614</v>
      </c>
      <c r="Z78" s="52">
        <f t="shared" si="264"/>
        <v>0.11483771251931994</v>
      </c>
      <c r="AA78" s="112">
        <f t="shared" si="264"/>
        <v>0.12375663129973474</v>
      </c>
      <c r="AB78" s="112" t="s">
        <v>126</v>
      </c>
      <c r="AC78" s="52">
        <f t="shared" ref="AC78:BH78" si="265">+AC76/AC57</f>
        <v>0.12233549582947173</v>
      </c>
      <c r="AD78" s="52">
        <f t="shared" si="265"/>
        <v>0.11905961376994123</v>
      </c>
      <c r="AE78" s="52">
        <f t="shared" si="265"/>
        <v>0.1380313560691773</v>
      </c>
      <c r="AF78" s="52">
        <f t="shared" si="265"/>
        <v>0.13408989099596835</v>
      </c>
      <c r="AG78" s="112">
        <f t="shared" si="265"/>
        <v>0.12851104175719985</v>
      </c>
      <c r="AH78" s="52">
        <f t="shared" si="265"/>
        <v>0.15005020800459046</v>
      </c>
      <c r="AI78" s="52">
        <f t="shared" si="265"/>
        <v>0.11226869849168092</v>
      </c>
      <c r="AJ78" s="52">
        <f t="shared" si="265"/>
        <v>0.12751004016064257</v>
      </c>
      <c r="AK78" s="52">
        <f t="shared" si="265"/>
        <v>0.12390572390572391</v>
      </c>
      <c r="AL78" s="112">
        <f t="shared" si="265"/>
        <v>0.1286736932983201</v>
      </c>
      <c r="AM78" s="52">
        <f t="shared" si="265"/>
        <v>0.15509897268854925</v>
      </c>
      <c r="AN78" s="52">
        <f t="shared" si="265"/>
        <v>0.12018970189701897</v>
      </c>
      <c r="AO78" s="52">
        <f t="shared" si="265"/>
        <v>0.14101876675603217</v>
      </c>
      <c r="AP78" s="52">
        <f t="shared" si="265"/>
        <v>0.13575009641342076</v>
      </c>
      <c r="AQ78" s="112">
        <f t="shared" si="265"/>
        <v>0.13832881278389594</v>
      </c>
      <c r="AR78" s="52">
        <f t="shared" si="265"/>
        <v>0.17221297836938437</v>
      </c>
      <c r="AS78" s="52">
        <f t="shared" si="265"/>
        <v>0.12685402029664325</v>
      </c>
      <c r="AT78" s="52">
        <f t="shared" si="265"/>
        <v>0.14193227091633467</v>
      </c>
      <c r="AU78" s="52">
        <f t="shared" si="265"/>
        <v>0.13076176613294518</v>
      </c>
      <c r="AV78" s="112">
        <f t="shared" si="265"/>
        <v>0.14337781072399308</v>
      </c>
      <c r="AW78" s="52">
        <f t="shared" si="265"/>
        <v>0.14214766582054961</v>
      </c>
      <c r="AX78" s="52">
        <f t="shared" si="265"/>
        <v>0.13801955990220049</v>
      </c>
      <c r="AY78" s="52">
        <f t="shared" si="265"/>
        <v>0.15915559772296015</v>
      </c>
      <c r="AZ78" s="52">
        <f t="shared" si="265"/>
        <v>0.13668318543275326</v>
      </c>
      <c r="BA78" s="112">
        <f t="shared" si="265"/>
        <v>0.14395924308588065</v>
      </c>
      <c r="BB78" s="52">
        <f t="shared" si="265"/>
        <v>0.11995589856670341</v>
      </c>
      <c r="BC78" s="52">
        <f t="shared" si="265"/>
        <v>0.10427870002338087</v>
      </c>
      <c r="BD78" s="52">
        <f t="shared" si="265"/>
        <v>0.13045414069456812</v>
      </c>
      <c r="BE78" s="52">
        <f t="shared" si="265"/>
        <v>0.12534477474716518</v>
      </c>
      <c r="BF78" s="112">
        <f t="shared" si="265"/>
        <v>0.12031211363573921</v>
      </c>
      <c r="BG78" s="52">
        <f t="shared" si="265"/>
        <v>0.1287696019300362</v>
      </c>
      <c r="BH78" s="52">
        <f t="shared" si="265"/>
        <v>0.10785150416044378</v>
      </c>
      <c r="BI78" s="52">
        <f t="shared" ref="BI78:CJ78" si="266">+BI76/BI57</f>
        <v>0.13557382166267817</v>
      </c>
      <c r="BJ78" s="52">
        <f t="shared" si="266"/>
        <v>0.12323252160251374</v>
      </c>
      <c r="BK78" s="112">
        <f t="shared" si="266"/>
        <v>0.12398701331901731</v>
      </c>
      <c r="BL78" s="52">
        <f t="shared" si="266"/>
        <v>0.14784240150093808</v>
      </c>
      <c r="BM78" s="52">
        <f t="shared" si="266"/>
        <v>0.1221189231067209</v>
      </c>
      <c r="BN78" s="52">
        <f t="shared" si="266"/>
        <v>0.12796912114014253</v>
      </c>
      <c r="BO78" s="52">
        <f t="shared" si="266"/>
        <v>-0.11943608427055283</v>
      </c>
      <c r="BP78" s="112">
        <f t="shared" si="266"/>
        <v>9.0260139560997779E-2</v>
      </c>
      <c r="BQ78" s="52">
        <f t="shared" si="266"/>
        <v>0.16801963375495563</v>
      </c>
      <c r="BR78" s="52">
        <f t="shared" si="266"/>
        <v>0.13572889798096593</v>
      </c>
      <c r="BS78" s="52">
        <f t="shared" si="266"/>
        <v>0.16414019503717292</v>
      </c>
      <c r="BT78" s="52">
        <f t="shared" si="266"/>
        <v>0.15529812054439404</v>
      </c>
      <c r="BU78" s="112">
        <f t="shared" si="266"/>
        <v>0.1554402981723472</v>
      </c>
      <c r="BV78" s="52">
        <f t="shared" si="266"/>
        <v>0.17660026126714565</v>
      </c>
      <c r="BW78" s="52">
        <f t="shared" si="266"/>
        <v>0.13700801267940477</v>
      </c>
      <c r="BX78" s="52">
        <f t="shared" si="266"/>
        <v>0.15849507864961826</v>
      </c>
      <c r="BY78" s="52">
        <f t="shared" si="266"/>
        <v>0.11557953245054765</v>
      </c>
      <c r="BZ78" s="112">
        <f t="shared" si="266"/>
        <v>0.14677799186469706</v>
      </c>
      <c r="CA78" s="52">
        <f t="shared" si="266"/>
        <v>0.14510916686371877</v>
      </c>
      <c r="CB78" s="52">
        <f t="shared" ref="CB78:CE78" si="267">+CB76/CB57</f>
        <v>0.12512204280886219</v>
      </c>
      <c r="CC78" s="52">
        <f t="shared" si="267"/>
        <v>0.11864406779661017</v>
      </c>
      <c r="CD78" s="52">
        <f t="shared" si="267"/>
        <v>9.4970760233918122E-2</v>
      </c>
      <c r="CE78" s="112">
        <f t="shared" si="267"/>
        <v>0.12095593260050373</v>
      </c>
      <c r="CF78" s="52">
        <f t="shared" si="266"/>
        <v>0.12473916067702295</v>
      </c>
      <c r="CG78" s="52">
        <f t="shared" si="266"/>
        <v>0.14191813564386016</v>
      </c>
      <c r="CH78" s="52">
        <f t="shared" si="266"/>
        <v>0.14120202751629254</v>
      </c>
      <c r="CI78" s="114">
        <f t="shared" si="266"/>
        <v>0.13588767253688719</v>
      </c>
      <c r="CJ78" s="112">
        <f t="shared" si="266"/>
        <v>0.13593707410147579</v>
      </c>
      <c r="CK78" s="52">
        <f t="shared" ref="CK78:CL78" si="268">+CK76/CK57</f>
        <v>0.10906894468892915</v>
      </c>
      <c r="CL78" s="52">
        <f t="shared" si="268"/>
        <v>0.11267605633802817</v>
      </c>
      <c r="CM78" s="52">
        <f t="shared" ref="CM78:CQ78" si="269">+CM76/CM57</f>
        <v>7.3298429319371722E-2</v>
      </c>
      <c r="CN78" s="52">
        <f t="shared" si="269"/>
        <v>2.6673875822294312E-2</v>
      </c>
      <c r="CO78" s="112">
        <f t="shared" si="269"/>
        <v>8.1582413785657212E-2</v>
      </c>
      <c r="CP78" s="52">
        <f t="shared" si="269"/>
        <v>7.7133105802047783E-2</v>
      </c>
      <c r="CQ78" s="52">
        <f t="shared" si="269"/>
        <v>7.9665245030980922E-2</v>
      </c>
      <c r="CR78" s="52">
        <f t="shared" ref="CR78:CT78" si="270">+CR76/CR57</f>
        <v>5.629931731536484E-2</v>
      </c>
      <c r="CS78" s="52">
        <f t="shared" si="270"/>
        <v>0.12039737513671163</v>
      </c>
      <c r="CT78" s="112">
        <f t="shared" si="270"/>
        <v>8.2977714556661919E-2</v>
      </c>
      <c r="CU78" s="52">
        <f t="shared" ref="CU78:CY78" si="271">+CU76/CU57</f>
        <v>8.0888254704361007E-2</v>
      </c>
      <c r="CV78" s="52">
        <f t="shared" si="271"/>
        <v>6.533168167787648E-2</v>
      </c>
      <c r="CW78" s="52">
        <f t="shared" si="271"/>
        <v>5.2984634460943869E-2</v>
      </c>
      <c r="CX78" s="52">
        <f t="shared" si="271"/>
        <v>2.7503976494143732E-2</v>
      </c>
      <c r="CY78" s="112">
        <f t="shared" si="271"/>
        <v>5.7606674053008497E-2</v>
      </c>
      <c r="CZ78" s="52">
        <f t="shared" ref="CZ78:DD78" si="272">+CZ76/CZ57</f>
        <v>8.2662012766797174E-2</v>
      </c>
      <c r="DA78" s="52">
        <f t="shared" si="272"/>
        <v>5.9718014252525889E-2</v>
      </c>
      <c r="DB78" s="52">
        <f t="shared" si="272"/>
        <v>5.2526611106418875E-2</v>
      </c>
      <c r="DC78" s="52">
        <f t="shared" si="272"/>
        <v>2.7024613229553091E-2</v>
      </c>
      <c r="DD78" s="112">
        <f t="shared" si="272"/>
        <v>5.6002361588081327E-2</v>
      </c>
      <c r="DE78" s="52">
        <f t="shared" ref="DE78:DI78" si="273">+DE76/DE57</f>
        <v>8.8161467330427665E-2</v>
      </c>
      <c r="DF78" s="52">
        <f t="shared" si="273"/>
        <v>6.5216181977289095E-2</v>
      </c>
      <c r="DG78" s="52">
        <f t="shared" si="273"/>
        <v>5.8019788732558926E-2</v>
      </c>
      <c r="DH78" s="52">
        <f t="shared" si="273"/>
        <v>3.251724579846732E-2</v>
      </c>
      <c r="DI78" s="112">
        <f t="shared" si="273"/>
        <v>6.1448796359033983E-2</v>
      </c>
      <c r="DP78" s="9"/>
    </row>
    <row r="79" spans="1:124" s="3" customFormat="1" ht="12" customHeight="1">
      <c r="A79" s="219"/>
      <c r="B79" s="110" t="s">
        <v>277</v>
      </c>
      <c r="C79" s="217" t="s">
        <v>126</v>
      </c>
      <c r="D79" s="220">
        <f t="shared" ref="D79:Q79" si="274">+(D78-C78)*100*100</f>
        <v>-5.1963010104394414</v>
      </c>
      <c r="E79" s="202">
        <f t="shared" si="274"/>
        <v>-597.81684851068371</v>
      </c>
      <c r="F79" s="220">
        <f t="shared" si="274"/>
        <v>71.989780813472009</v>
      </c>
      <c r="G79" s="184">
        <f t="shared" si="274"/>
        <v>118.73057588440065</v>
      </c>
      <c r="H79" s="220">
        <f t="shared" si="274"/>
        <v>-26.090409239295926</v>
      </c>
      <c r="I79" s="184">
        <f t="shared" si="274"/>
        <v>10.611063887346617</v>
      </c>
      <c r="J79" s="220">
        <f t="shared" si="274"/>
        <v>72.835571332146856</v>
      </c>
      <c r="K79" s="184">
        <f t="shared" si="274"/>
        <v>112.45547996531964</v>
      </c>
      <c r="L79" s="220">
        <f t="shared" si="274"/>
        <v>113.52764473264554</v>
      </c>
      <c r="M79" s="185">
        <f t="shared" si="274"/>
        <v>32.105045123988759</v>
      </c>
      <c r="N79" s="220">
        <f t="shared" si="274"/>
        <v>-104.5959217251438</v>
      </c>
      <c r="O79" s="202">
        <f t="shared" si="274"/>
        <v>0.76632803046094988</v>
      </c>
      <c r="P79" s="220">
        <f t="shared" si="274"/>
        <v>19.742103180549751</v>
      </c>
      <c r="Q79" s="220">
        <f t="shared" si="274"/>
        <v>0.73582728893906157</v>
      </c>
      <c r="R79" s="217" t="s">
        <v>126</v>
      </c>
      <c r="S79" s="217" t="s">
        <v>126</v>
      </c>
      <c r="T79" s="217" t="s">
        <v>126</v>
      </c>
      <c r="U79" s="217" t="s">
        <v>126</v>
      </c>
      <c r="V79" s="220">
        <f t="shared" ref="V79:AA79" si="275">+(V78-Q78)*100*100</f>
        <v>38.139343551376051</v>
      </c>
      <c r="W79" s="202">
        <f t="shared" si="275"/>
        <v>-55.919483113236744</v>
      </c>
      <c r="X79" s="184">
        <f t="shared" si="275"/>
        <v>-176.22946891082987</v>
      </c>
      <c r="Y79" s="184">
        <f t="shared" si="275"/>
        <v>-74.866375717983772</v>
      </c>
      <c r="Z79" s="185">
        <f t="shared" si="275"/>
        <v>-199.1775053999327</v>
      </c>
      <c r="AA79" s="185">
        <f t="shared" si="275"/>
        <v>-127.59522472674422</v>
      </c>
      <c r="AB79" s="112"/>
      <c r="AC79" s="202">
        <f>+(AC78-W78)*100*100</f>
        <v>-177.73038950992</v>
      </c>
      <c r="AD79" s="184">
        <f>+(AD78-X78)*100*100</f>
        <v>107.01561074076631</v>
      </c>
      <c r="AE79" s="184">
        <f>+(AE78-Y78)*100*100</f>
        <v>63.173635956911554</v>
      </c>
      <c r="AF79" s="184">
        <f>+(AF78-Z78)*100*100</f>
        <v>192.5217847664841</v>
      </c>
      <c r="AG79" s="220">
        <f>+(AG78-AA78)*100*100</f>
        <v>47.54410457465108</v>
      </c>
      <c r="AH79" s="184">
        <f t="shared" ref="AH79:BM79" si="276">+(AH78-AC78)*100*100</f>
        <v>277.14712175118723</v>
      </c>
      <c r="AI79" s="184">
        <f t="shared" si="276"/>
        <v>-67.909152782603115</v>
      </c>
      <c r="AJ79" s="184">
        <f t="shared" si="276"/>
        <v>-105.21315908534723</v>
      </c>
      <c r="AK79" s="185">
        <f t="shared" si="276"/>
        <v>-101.84167090244445</v>
      </c>
      <c r="AL79" s="185">
        <f t="shared" si="276"/>
        <v>1.626515411202456</v>
      </c>
      <c r="AM79" s="202">
        <f t="shared" si="276"/>
        <v>50.487646839587896</v>
      </c>
      <c r="AN79" s="184">
        <f t="shared" si="276"/>
        <v>79.210034053380511</v>
      </c>
      <c r="AO79" s="184">
        <f t="shared" si="276"/>
        <v>135.08726595389598</v>
      </c>
      <c r="AP79" s="184">
        <f t="shared" si="276"/>
        <v>118.44372507696849</v>
      </c>
      <c r="AQ79" s="220">
        <f t="shared" si="276"/>
        <v>96.551194855758467</v>
      </c>
      <c r="AR79" s="184">
        <f t="shared" si="276"/>
        <v>171.14005680835126</v>
      </c>
      <c r="AS79" s="184">
        <f t="shared" si="276"/>
        <v>66.643183996242811</v>
      </c>
      <c r="AT79" s="184">
        <f t="shared" si="276"/>
        <v>9.1350416030250301</v>
      </c>
      <c r="AU79" s="184">
        <f t="shared" si="276"/>
        <v>-49.883302804755722</v>
      </c>
      <c r="AV79" s="220">
        <f t="shared" si="276"/>
        <v>50.489979400971386</v>
      </c>
      <c r="AW79" s="184">
        <f t="shared" si="276"/>
        <v>-300.65312548834765</v>
      </c>
      <c r="AX79" s="184">
        <f t="shared" si="276"/>
        <v>111.65539605557244</v>
      </c>
      <c r="AY79" s="184">
        <f t="shared" si="276"/>
        <v>172.23326806625471</v>
      </c>
      <c r="AZ79" s="184">
        <f t="shared" si="276"/>
        <v>59.214192998080783</v>
      </c>
      <c r="BA79" s="220">
        <f t="shared" si="276"/>
        <v>5.8143236188756831</v>
      </c>
      <c r="BB79" s="184">
        <f t="shared" si="276"/>
        <v>-221.91767253846194</v>
      </c>
      <c r="BC79" s="184">
        <f t="shared" si="276"/>
        <v>-337.40859878819623</v>
      </c>
      <c r="BD79" s="184">
        <f t="shared" si="276"/>
        <v>-287.01457028392025</v>
      </c>
      <c r="BE79" s="184">
        <f t="shared" si="276"/>
        <v>-113.38410685588079</v>
      </c>
      <c r="BF79" s="220">
        <f t="shared" si="276"/>
        <v>-236.47129450141443</v>
      </c>
      <c r="BG79" s="184">
        <f t="shared" si="276"/>
        <v>88.13703363332786</v>
      </c>
      <c r="BH79" s="184">
        <f t="shared" si="276"/>
        <v>35.728041370629157</v>
      </c>
      <c r="BI79" s="184">
        <f t="shared" si="276"/>
        <v>51.196809681100518</v>
      </c>
      <c r="BJ79" s="184">
        <f t="shared" si="276"/>
        <v>-21.12253144651438</v>
      </c>
      <c r="BK79" s="220">
        <f t="shared" si="276"/>
        <v>36.748996832780961</v>
      </c>
      <c r="BL79" s="184">
        <f t="shared" si="276"/>
        <v>190.72799570901884</v>
      </c>
      <c r="BM79" s="184">
        <f t="shared" si="276"/>
        <v>142.67418946277118</v>
      </c>
      <c r="BN79" s="184">
        <f t="shared" ref="BN79:CK79" si="277">+(BN78-BI78)*100*100</f>
        <v>-76.047005225356457</v>
      </c>
      <c r="BO79" s="185">
        <f t="shared" si="277"/>
        <v>-2426.6860587306655</v>
      </c>
      <c r="BP79" s="185">
        <f t="shared" si="277"/>
        <v>-337.26873758019525</v>
      </c>
      <c r="BQ79" s="184">
        <f t="shared" si="277"/>
        <v>201.77232254017548</v>
      </c>
      <c r="BR79" s="184">
        <f t="shared" si="277"/>
        <v>136.09974874245034</v>
      </c>
      <c r="BS79" s="184">
        <f t="shared" si="277"/>
        <v>361.71073897030396</v>
      </c>
      <c r="BT79" s="185">
        <f t="shared" si="277"/>
        <v>2747.3420481494691</v>
      </c>
      <c r="BU79" s="185">
        <f t="shared" si="277"/>
        <v>651.80158611349418</v>
      </c>
      <c r="BV79" s="184">
        <f t="shared" si="277"/>
        <v>85.8062751219002</v>
      </c>
      <c r="BW79" s="184">
        <f t="shared" si="277"/>
        <v>12.791146984388323</v>
      </c>
      <c r="BX79" s="184">
        <f t="shared" si="277"/>
        <v>-56.451163875546605</v>
      </c>
      <c r="BY79" s="185">
        <f t="shared" si="277"/>
        <v>-397.18588093846392</v>
      </c>
      <c r="BZ79" s="185">
        <f t="shared" si="277"/>
        <v>-86.623063076501367</v>
      </c>
      <c r="CA79" s="184">
        <f t="shared" si="277"/>
        <v>-314.91094403426871</v>
      </c>
      <c r="CB79" s="184">
        <f t="shared" si="277"/>
        <v>-118.85969870542579</v>
      </c>
      <c r="CC79" s="184">
        <f t="shared" si="277"/>
        <v>-398.51010853008091</v>
      </c>
      <c r="CD79" s="185">
        <f t="shared" ref="CD79" si="278">+(CD78-BY78)*100*100</f>
        <v>-206.08772216629529</v>
      </c>
      <c r="CE79" s="185">
        <f t="shared" ref="CE79" si="279">+(CE78-BZ78)*100*100</f>
        <v>-258.22059264193331</v>
      </c>
      <c r="CF79" s="184">
        <f t="shared" si="277"/>
        <v>-203.70006186695821</v>
      </c>
      <c r="CG79" s="184">
        <f t="shared" si="277"/>
        <v>167.96092834997972</v>
      </c>
      <c r="CH79" s="184">
        <f t="shared" si="277"/>
        <v>225.5795971968237</v>
      </c>
      <c r="CI79" s="253">
        <f t="shared" si="277"/>
        <v>409.1691230296907</v>
      </c>
      <c r="CJ79" s="185">
        <f t="shared" si="277"/>
        <v>149.8114150097206</v>
      </c>
      <c r="CK79" s="184">
        <f t="shared" si="277"/>
        <v>-156.70215988093804</v>
      </c>
      <c r="CL79" s="184">
        <f>+(CL78-CG78)*100*100</f>
        <v>-292.42079305831987</v>
      </c>
      <c r="CM79" s="184">
        <f t="shared" ref="CM79" si="280">+(CM78-CH78)*100*100</f>
        <v>-679.03598196920814</v>
      </c>
      <c r="CN79" s="185">
        <f t="shared" ref="CN79" si="281">+(CN78-CI78)*100*100</f>
        <v>-1092.1379671459288</v>
      </c>
      <c r="CO79" s="185">
        <f t="shared" ref="CO79:CP79" si="282">+(CO78-CJ78)*100*100</f>
        <v>-543.5466031581858</v>
      </c>
      <c r="CP79" s="184">
        <f t="shared" si="282"/>
        <v>-319.35838886881368</v>
      </c>
      <c r="CQ79" s="184">
        <f>+(CQ78-CL78)*100*100</f>
        <v>-330.10811307047254</v>
      </c>
      <c r="CR79" s="184">
        <f t="shared" ref="CR79" si="283">+(CR78-CM78)*100*100</f>
        <v>-169.99112004006884</v>
      </c>
      <c r="CS79" s="185">
        <f t="shared" ref="CS79" si="284">+(CS78-CN78)*100*100</f>
        <v>937.23499314417302</v>
      </c>
      <c r="CT79" s="185">
        <f t="shared" ref="CT79" si="285">+(CT78-CO78)*100*100</f>
        <v>13.953007710047066</v>
      </c>
      <c r="CU79" s="184">
        <f t="shared" ref="CU79" si="286">+(CU78-CP78)*100*100</f>
        <v>37.551489023132241</v>
      </c>
      <c r="CV79" s="184">
        <f t="shared" ref="CV79" si="287">+(CV78-CQ78)*100*100</f>
        <v>-143.33563353104441</v>
      </c>
      <c r="CW79" s="184">
        <f t="shared" ref="CW79" si="288">+(CW78-CR78)*100*100</f>
        <v>-33.146828544209704</v>
      </c>
      <c r="CX79" s="185">
        <f t="shared" ref="CX79" si="289">+(CX78-CS78)*100*100</f>
        <v>-928.93398642567911</v>
      </c>
      <c r="CY79" s="185">
        <f t="shared" ref="CY79" si="290">+(CY78-CT78)*100*100</f>
        <v>-253.71040503653424</v>
      </c>
      <c r="CZ79" s="184">
        <f t="shared" ref="CZ79" si="291">+(CZ78-CU78)*100*100</f>
        <v>17.737580624361676</v>
      </c>
      <c r="DA79" s="184">
        <f t="shared" ref="DA79" si="292">+(DA78-CV78)*100*100</f>
        <v>-56.136674253505902</v>
      </c>
      <c r="DB79" s="184">
        <f t="shared" ref="DB79" si="293">+(DB78-CW78)*100*100</f>
        <v>-4.5802335452499454</v>
      </c>
      <c r="DC79" s="185">
        <f t="shared" ref="DC79" si="294">+(DC78-CX78)*100*100</f>
        <v>-4.7936326459064107</v>
      </c>
      <c r="DD79" s="185">
        <f t="shared" ref="DD79" si="295">+(DD78-CY78)*100*100</f>
        <v>-16.043124649271697</v>
      </c>
      <c r="DE79" s="184">
        <f t="shared" ref="DE79" si="296">+(DE78-CZ78)*100*100</f>
        <v>54.994545636304906</v>
      </c>
      <c r="DF79" s="184">
        <f t="shared" ref="DF79" si="297">+(DF78-DA78)*100*100</f>
        <v>54.981677247632057</v>
      </c>
      <c r="DG79" s="184">
        <f t="shared" ref="DG79" si="298">+(DG78-DB78)*100*100</f>
        <v>54.931776261400515</v>
      </c>
      <c r="DH79" s="185">
        <f t="shared" ref="DH79" si="299">+(DH78-DC78)*100*100</f>
        <v>54.926325689142288</v>
      </c>
      <c r="DI79" s="185">
        <f t="shared" ref="DI79" si="300">+(DI78-DD78)*100*100</f>
        <v>54.464347709526564</v>
      </c>
      <c r="DP79" s="9"/>
      <c r="DT79" s="226"/>
    </row>
    <row r="80" spans="1:124" ht="12" customHeight="1">
      <c r="A80" s="219"/>
      <c r="B80" s="74"/>
      <c r="C80" s="412" t="s">
        <v>4</v>
      </c>
      <c r="D80" s="413" t="s">
        <v>4</v>
      </c>
      <c r="E80" s="412" t="s">
        <v>4</v>
      </c>
      <c r="F80" s="413" t="s">
        <v>4</v>
      </c>
      <c r="G80" s="412" t="s">
        <v>4</v>
      </c>
      <c r="H80" s="413" t="s">
        <v>4</v>
      </c>
      <c r="I80" s="412" t="s">
        <v>4</v>
      </c>
      <c r="J80" s="413" t="s">
        <v>4</v>
      </c>
      <c r="K80" s="412" t="s">
        <v>4</v>
      </c>
      <c r="L80" s="413" t="s">
        <v>4</v>
      </c>
      <c r="M80" s="412" t="s">
        <v>4</v>
      </c>
      <c r="N80" s="413" t="s">
        <v>4</v>
      </c>
      <c r="O80" s="413" t="s">
        <v>4</v>
      </c>
      <c r="P80" s="412" t="s">
        <v>4</v>
      </c>
      <c r="Q80" s="413" t="s">
        <v>4</v>
      </c>
      <c r="R80" s="412" t="s">
        <v>4</v>
      </c>
      <c r="S80" s="412" t="s">
        <v>4</v>
      </c>
      <c r="T80" s="412" t="s">
        <v>4</v>
      </c>
      <c r="U80" s="412" t="s">
        <v>4</v>
      </c>
      <c r="V80" s="413" t="s">
        <v>4</v>
      </c>
      <c r="W80" s="412" t="s">
        <v>4</v>
      </c>
      <c r="X80" s="412" t="s">
        <v>4</v>
      </c>
      <c r="Y80" s="412" t="s">
        <v>4</v>
      </c>
      <c r="Z80" s="412" t="s">
        <v>4</v>
      </c>
      <c r="AA80" s="413" t="s">
        <v>4</v>
      </c>
      <c r="AB80" s="413" t="s">
        <v>4</v>
      </c>
      <c r="AC80" s="412" t="s">
        <v>4</v>
      </c>
      <c r="AD80" s="412" t="s">
        <v>4</v>
      </c>
      <c r="AE80" s="412" t="s">
        <v>4</v>
      </c>
      <c r="AF80" s="412" t="s">
        <v>4</v>
      </c>
      <c r="AG80" s="40" t="s">
        <v>4</v>
      </c>
      <c r="AH80" s="412" t="s">
        <v>4</v>
      </c>
      <c r="AI80" s="412" t="s">
        <v>4</v>
      </c>
      <c r="AJ80" s="412" t="s">
        <v>4</v>
      </c>
      <c r="AK80" s="412" t="s">
        <v>4</v>
      </c>
      <c r="AL80" s="40" t="s">
        <v>4</v>
      </c>
      <c r="AM80" s="412" t="s">
        <v>4</v>
      </c>
      <c r="AN80" s="412" t="s">
        <v>4</v>
      </c>
      <c r="AO80" s="412" t="s">
        <v>4</v>
      </c>
      <c r="AP80" s="412" t="s">
        <v>4</v>
      </c>
      <c r="AQ80" s="40" t="s">
        <v>4</v>
      </c>
      <c r="AR80" s="39" t="s">
        <v>4</v>
      </c>
      <c r="AS80" s="39" t="s">
        <v>4</v>
      </c>
      <c r="AT80" s="39" t="s">
        <v>4</v>
      </c>
      <c r="AU80" s="39" t="s">
        <v>4</v>
      </c>
      <c r="AV80" s="40" t="s">
        <v>4</v>
      </c>
      <c r="AW80" s="39" t="s">
        <v>4</v>
      </c>
      <c r="AX80" s="39" t="s">
        <v>4</v>
      </c>
      <c r="AY80" s="39" t="s">
        <v>4</v>
      </c>
      <c r="AZ80" s="39" t="s">
        <v>4</v>
      </c>
      <c r="BA80" s="40" t="s">
        <v>4</v>
      </c>
      <c r="BB80" s="39" t="s">
        <v>4</v>
      </c>
      <c r="BC80" s="39" t="s">
        <v>4</v>
      </c>
      <c r="BD80" s="39" t="s">
        <v>4</v>
      </c>
      <c r="BE80" s="39" t="s">
        <v>4</v>
      </c>
      <c r="BF80" s="40" t="s">
        <v>4</v>
      </c>
      <c r="BG80" s="39" t="s">
        <v>4</v>
      </c>
      <c r="BH80" s="412" t="s">
        <v>4</v>
      </c>
      <c r="BI80" s="412" t="s">
        <v>4</v>
      </c>
      <c r="BJ80" s="412" t="s">
        <v>4</v>
      </c>
      <c r="BK80" s="40" t="s">
        <v>4</v>
      </c>
      <c r="BL80" s="412" t="s">
        <v>4</v>
      </c>
      <c r="BM80" s="412" t="s">
        <v>4</v>
      </c>
      <c r="BN80" s="412" t="s">
        <v>4</v>
      </c>
      <c r="BO80" s="412" t="s">
        <v>4</v>
      </c>
      <c r="BP80" s="40" t="s">
        <v>4</v>
      </c>
      <c r="BQ80" s="412" t="s">
        <v>4</v>
      </c>
      <c r="BR80" s="412" t="s">
        <v>4</v>
      </c>
      <c r="BS80" s="412" t="s">
        <v>4</v>
      </c>
      <c r="BT80" s="412" t="s">
        <v>4</v>
      </c>
      <c r="BU80" s="40" t="s">
        <v>4</v>
      </c>
      <c r="BV80" s="412" t="s">
        <v>4</v>
      </c>
      <c r="BW80" s="412" t="s">
        <v>4</v>
      </c>
      <c r="BX80" s="412" t="s">
        <v>4</v>
      </c>
      <c r="BY80" s="412" t="s">
        <v>4</v>
      </c>
      <c r="BZ80" s="40" t="s">
        <v>4</v>
      </c>
      <c r="CA80" s="412" t="s">
        <v>4</v>
      </c>
      <c r="CB80" s="412" t="s">
        <v>4</v>
      </c>
      <c r="CC80" s="412" t="s">
        <v>4</v>
      </c>
      <c r="CD80" s="412" t="s">
        <v>4</v>
      </c>
      <c r="CE80" s="40" t="s">
        <v>4</v>
      </c>
      <c r="CF80" s="412" t="s">
        <v>4</v>
      </c>
      <c r="CG80" s="412" t="s">
        <v>4</v>
      </c>
      <c r="CH80" s="412" t="s">
        <v>4</v>
      </c>
      <c r="CI80" s="414" t="s">
        <v>4</v>
      </c>
      <c r="CJ80" s="40" t="s">
        <v>4</v>
      </c>
      <c r="CK80" s="412" t="s">
        <v>4</v>
      </c>
      <c r="CL80" s="412" t="s">
        <v>4</v>
      </c>
      <c r="CM80" s="412" t="s">
        <v>4</v>
      </c>
      <c r="CN80" s="412" t="s">
        <v>4</v>
      </c>
      <c r="CO80" s="40" t="s">
        <v>4</v>
      </c>
      <c r="CP80" s="412" t="s">
        <v>4</v>
      </c>
      <c r="CQ80" s="412" t="s">
        <v>4</v>
      </c>
      <c r="CR80" s="412" t="s">
        <v>4</v>
      </c>
      <c r="CS80" s="412" t="s">
        <v>4</v>
      </c>
      <c r="CT80" s="40" t="s">
        <v>4</v>
      </c>
      <c r="CU80" s="412" t="s">
        <v>4</v>
      </c>
      <c r="CV80" s="412" t="s">
        <v>4</v>
      </c>
      <c r="CW80" s="412" t="s">
        <v>4</v>
      </c>
      <c r="CX80" s="412" t="s">
        <v>4</v>
      </c>
      <c r="CY80" s="40" t="s">
        <v>4</v>
      </c>
      <c r="CZ80" s="412" t="s">
        <v>4</v>
      </c>
      <c r="DA80" s="412" t="s">
        <v>4</v>
      </c>
      <c r="DB80" s="412" t="s">
        <v>4</v>
      </c>
      <c r="DC80" s="412" t="s">
        <v>4</v>
      </c>
      <c r="DD80" s="40" t="s">
        <v>4</v>
      </c>
      <c r="DE80" s="412" t="s">
        <v>4</v>
      </c>
      <c r="DF80" s="412" t="s">
        <v>4</v>
      </c>
      <c r="DG80" s="412" t="s">
        <v>4</v>
      </c>
      <c r="DH80" s="412" t="s">
        <v>4</v>
      </c>
      <c r="DI80" s="40" t="s">
        <v>4</v>
      </c>
      <c r="DP80" s="9"/>
      <c r="DQ80" s="402"/>
      <c r="DR80" s="402"/>
      <c r="DS80" s="402"/>
      <c r="DT80" s="402"/>
    </row>
    <row r="81" spans="1:124" s="7" customFormat="1" ht="12" customHeight="1">
      <c r="A81" s="239"/>
      <c r="B81" s="20" t="s">
        <v>106</v>
      </c>
      <c r="C81" s="43">
        <f>-39.498-36.679</f>
        <v>-76.176999999999992</v>
      </c>
      <c r="D81" s="36">
        <v>-84.62</v>
      </c>
      <c r="E81" s="43">
        <v>-80.800000000000011</v>
      </c>
      <c r="F81" s="36">
        <v>-65.599999999999994</v>
      </c>
      <c r="G81" s="43">
        <v>-68.2</v>
      </c>
      <c r="H81" s="36">
        <v>-92.9</v>
      </c>
      <c r="I81" s="43">
        <v>-50.599999999999994</v>
      </c>
      <c r="J81" s="36">
        <v>-109.6</v>
      </c>
      <c r="K81" s="43">
        <v>-99.699999999999989</v>
      </c>
      <c r="L81" s="36">
        <v>-33.9</v>
      </c>
      <c r="M81" s="43">
        <v>32.4</v>
      </c>
      <c r="N81" s="36">
        <v>68.100000000000009</v>
      </c>
      <c r="O81" s="36">
        <v>40.20000000000001</v>
      </c>
      <c r="P81" s="43">
        <v>9.5</v>
      </c>
      <c r="Q81" s="36">
        <v>-6.3</v>
      </c>
      <c r="R81" s="43">
        <v>1</v>
      </c>
      <c r="S81" s="43">
        <v>-1</v>
      </c>
      <c r="T81" s="43">
        <v>0</v>
      </c>
      <c r="U81" s="43">
        <v>-4</v>
      </c>
      <c r="V81" s="15">
        <f>SUM(R81:U81)</f>
        <v>-4</v>
      </c>
      <c r="W81" s="43">
        <v>0</v>
      </c>
      <c r="X81" s="43">
        <v>-3</v>
      </c>
      <c r="Y81" s="43">
        <v>0</v>
      </c>
      <c r="Z81" s="43">
        <v>0</v>
      </c>
      <c r="AA81" s="15">
        <f>SUM(W81:Z81)</f>
        <v>-3</v>
      </c>
      <c r="AB81" s="40" t="s">
        <v>126</v>
      </c>
      <c r="AC81" s="43">
        <v>3</v>
      </c>
      <c r="AD81" s="43">
        <v>1</v>
      </c>
      <c r="AE81" s="43">
        <v>2</v>
      </c>
      <c r="AF81" s="43">
        <v>-3</v>
      </c>
      <c r="AG81" s="36">
        <f>SUM(AC81:AF81)</f>
        <v>3</v>
      </c>
      <c r="AH81" s="43">
        <v>-8</v>
      </c>
      <c r="AI81" s="43">
        <v>-8</v>
      </c>
      <c r="AJ81" s="43">
        <v>-9</v>
      </c>
      <c r="AK81" s="43">
        <v>-8</v>
      </c>
      <c r="AL81" s="15">
        <f>SUM(AH81:AK81)</f>
        <v>-33</v>
      </c>
      <c r="AM81" s="43">
        <v>-9</v>
      </c>
      <c r="AN81" s="43">
        <v>-9</v>
      </c>
      <c r="AO81" s="43">
        <v>-6</v>
      </c>
      <c r="AP81" s="43">
        <v>-4</v>
      </c>
      <c r="AQ81" s="15">
        <f>SUM(AM81:AP81)</f>
        <v>-28</v>
      </c>
      <c r="AR81" s="43">
        <v>-4</v>
      </c>
      <c r="AS81" s="43">
        <v>-5</v>
      </c>
      <c r="AT81" s="43">
        <v>-5</v>
      </c>
      <c r="AU81" s="43">
        <v>-5</v>
      </c>
      <c r="AV81" s="15">
        <f>SUM(AR81:AU81)</f>
        <v>-19</v>
      </c>
      <c r="AW81" s="43">
        <v>-7</v>
      </c>
      <c r="AX81" s="43">
        <v>-15</v>
      </c>
      <c r="AY81" s="43">
        <v>-19</v>
      </c>
      <c r="AZ81" s="43">
        <v>-18</v>
      </c>
      <c r="BA81" s="15">
        <f>SUM(AW81:AZ81)</f>
        <v>-59</v>
      </c>
      <c r="BB81" s="43">
        <v>-16</v>
      </c>
      <c r="BC81" s="43">
        <v>-13</v>
      </c>
      <c r="BD81" s="369">
        <v>-13</v>
      </c>
      <c r="BE81" s="369">
        <v>-12</v>
      </c>
      <c r="BF81" s="15">
        <f>SUM(BB81:BE81)</f>
        <v>-54</v>
      </c>
      <c r="BG81" s="369">
        <v>-11</v>
      </c>
      <c r="BH81" s="369">
        <v>-14</v>
      </c>
      <c r="BI81" s="369">
        <v>-12</v>
      </c>
      <c r="BJ81" s="369">
        <v>-12</v>
      </c>
      <c r="BK81" s="15">
        <f>SUM(BG81:BJ81)</f>
        <v>-49</v>
      </c>
      <c r="BL81" s="369">
        <v>-15</v>
      </c>
      <c r="BM81" s="369">
        <v>-12</v>
      </c>
      <c r="BN81" s="369">
        <v>-12</v>
      </c>
      <c r="BO81" s="369">
        <v>-50</v>
      </c>
      <c r="BP81" s="15">
        <f>SUM(BL81:BO81)</f>
        <v>-89</v>
      </c>
      <c r="BQ81" s="369">
        <v>-65</v>
      </c>
      <c r="BR81" s="369">
        <v>-70</v>
      </c>
      <c r="BS81" s="369">
        <v>-64</v>
      </c>
      <c r="BT81" s="369">
        <v>-63</v>
      </c>
      <c r="BU81" s="15">
        <f>SUM(BQ81:BT81)</f>
        <v>-262</v>
      </c>
      <c r="BV81" s="369">
        <v>-57</v>
      </c>
      <c r="BW81" s="369">
        <v>-55</v>
      </c>
      <c r="BX81" s="369">
        <v>-53</v>
      </c>
      <c r="BY81" s="369">
        <v>-40</v>
      </c>
      <c r="BZ81" s="15">
        <f>SUM(BV81:BY81)</f>
        <v>-205</v>
      </c>
      <c r="CA81" s="369">
        <v>-13</v>
      </c>
      <c r="CB81" s="369">
        <v>-16</v>
      </c>
      <c r="CC81" s="369">
        <v>7</v>
      </c>
      <c r="CD81" s="369">
        <v>28</v>
      </c>
      <c r="CE81" s="15">
        <f>SUM(CA81:CD81)</f>
        <v>6</v>
      </c>
      <c r="CF81" s="369">
        <v>34</v>
      </c>
      <c r="CG81" s="369">
        <v>22</v>
      </c>
      <c r="CH81" s="369">
        <v>52</v>
      </c>
      <c r="CI81" s="369">
        <v>53</v>
      </c>
      <c r="CJ81" s="15">
        <f>SUM(CF81:CI81)</f>
        <v>161</v>
      </c>
      <c r="CK81" s="369">
        <v>43</v>
      </c>
      <c r="CL81" s="369">
        <v>24</v>
      </c>
      <c r="CM81" s="369">
        <v>18</v>
      </c>
      <c r="CN81" s="369">
        <v>22</v>
      </c>
      <c r="CO81" s="15">
        <f>SUM(CK81:CN81)</f>
        <v>107</v>
      </c>
      <c r="CP81" s="369">
        <v>18</v>
      </c>
      <c r="CQ81" s="369">
        <v>9</v>
      </c>
      <c r="CR81" s="369">
        <v>15</v>
      </c>
      <c r="CS81" s="369">
        <v>8</v>
      </c>
      <c r="CT81" s="15">
        <f>SUM(CP81:CS81)</f>
        <v>50</v>
      </c>
      <c r="CU81" s="369">
        <v>14</v>
      </c>
      <c r="CV81" s="369">
        <f>+'2. Consolidated'!CV295</f>
        <v>9.8662500000000009</v>
      </c>
      <c r="CW81" s="369">
        <f>+'2. Consolidated'!CW295</f>
        <v>9.8662500000000009</v>
      </c>
      <c r="CX81" s="369">
        <f>+'2. Consolidated'!CX295</f>
        <v>9.8662500000000009</v>
      </c>
      <c r="CY81" s="15">
        <f>SUM(CU81:CX81)</f>
        <v>43.598750000000003</v>
      </c>
      <c r="CZ81" s="369">
        <f>+'2. Consolidated'!CZ295</f>
        <v>9.8662500000000009</v>
      </c>
      <c r="DA81" s="369">
        <f>+'2. Consolidated'!DA295</f>
        <v>9.8662500000000009</v>
      </c>
      <c r="DB81" s="369">
        <f>+'2. Consolidated'!DB295</f>
        <v>9.8662500000000009</v>
      </c>
      <c r="DC81" s="369">
        <f>+'2. Consolidated'!DC295</f>
        <v>9.8662500000000009</v>
      </c>
      <c r="DD81" s="15">
        <f>SUM(CZ81:DC81)</f>
        <v>39.465000000000003</v>
      </c>
      <c r="DE81" s="369">
        <f>+'2. Consolidated'!DE295</f>
        <v>9.8662500000000009</v>
      </c>
      <c r="DF81" s="369">
        <f>+'2. Consolidated'!DF295</f>
        <v>9.8662500000000009</v>
      </c>
      <c r="DG81" s="369">
        <f>+'2. Consolidated'!DG295</f>
        <v>9.8662500000000009</v>
      </c>
      <c r="DH81" s="369">
        <f>+'2. Consolidated'!DH295</f>
        <v>9.8662500000000009</v>
      </c>
      <c r="DI81" s="15">
        <f>SUM(DE81:DH81)</f>
        <v>39.465000000000003</v>
      </c>
      <c r="DP81" s="43"/>
      <c r="DQ81" s="380"/>
      <c r="DR81" s="380"/>
      <c r="DS81" s="380"/>
      <c r="DT81" s="380"/>
    </row>
    <row r="82" spans="1:124" s="117" customFormat="1" ht="12" customHeight="1">
      <c r="A82" s="239"/>
      <c r="B82" s="362" t="s">
        <v>232</v>
      </c>
      <c r="C82" s="363">
        <f t="shared" ref="C82:AA82" si="301">+C76+C81</f>
        <v>899.0899999999998</v>
      </c>
      <c r="D82" s="364">
        <f t="shared" si="301"/>
        <v>1295.2220000000007</v>
      </c>
      <c r="E82" s="363">
        <f t="shared" si="301"/>
        <v>782.99999999999886</v>
      </c>
      <c r="F82" s="364">
        <f t="shared" si="301"/>
        <v>791.20000000000152</v>
      </c>
      <c r="G82" s="363">
        <f t="shared" si="301"/>
        <v>916.7000000000005</v>
      </c>
      <c r="H82" s="364">
        <f t="shared" si="301"/>
        <v>921.29999999999984</v>
      </c>
      <c r="I82" s="363">
        <f t="shared" si="301"/>
        <v>1017.3000000000001</v>
      </c>
      <c r="J82" s="364">
        <f t="shared" si="301"/>
        <v>1123</v>
      </c>
      <c r="K82" s="363">
        <f t="shared" si="301"/>
        <v>1450.0000000000002</v>
      </c>
      <c r="L82" s="364">
        <f t="shared" si="301"/>
        <v>1859.7999999999988</v>
      </c>
      <c r="M82" s="363">
        <f t="shared" si="301"/>
        <v>2141.6</v>
      </c>
      <c r="N82" s="364">
        <f t="shared" si="301"/>
        <v>2199.900000000001</v>
      </c>
      <c r="O82" s="364">
        <f t="shared" si="301"/>
        <v>2473.9000000000005</v>
      </c>
      <c r="P82" s="363">
        <f t="shared" si="301"/>
        <v>2552.7999999999984</v>
      </c>
      <c r="Q82" s="364">
        <f t="shared" si="301"/>
        <v>2516.9000000000015</v>
      </c>
      <c r="R82" s="363">
        <f t="shared" si="301"/>
        <v>754.99999999999977</v>
      </c>
      <c r="S82" s="363">
        <f t="shared" si="301"/>
        <v>609.00000000000023</v>
      </c>
      <c r="T82" s="363">
        <f t="shared" si="301"/>
        <v>707</v>
      </c>
      <c r="U82" s="363">
        <f t="shared" si="301"/>
        <v>773</v>
      </c>
      <c r="V82" s="364">
        <f t="shared" si="301"/>
        <v>2844</v>
      </c>
      <c r="W82" s="363">
        <f t="shared" si="301"/>
        <v>852</v>
      </c>
      <c r="X82" s="363">
        <f t="shared" si="301"/>
        <v>618</v>
      </c>
      <c r="Y82" s="363">
        <f t="shared" si="301"/>
        <v>770</v>
      </c>
      <c r="Z82" s="363">
        <f t="shared" si="301"/>
        <v>743</v>
      </c>
      <c r="AA82" s="364">
        <f t="shared" si="301"/>
        <v>2983</v>
      </c>
      <c r="AB82" s="361" t="s">
        <v>126</v>
      </c>
      <c r="AC82" s="363">
        <f t="shared" ref="AC82:BH82" si="302">+AC76+AC81</f>
        <v>795</v>
      </c>
      <c r="AD82" s="363">
        <f t="shared" si="302"/>
        <v>710</v>
      </c>
      <c r="AE82" s="363">
        <f t="shared" si="302"/>
        <v>856</v>
      </c>
      <c r="AF82" s="363">
        <f t="shared" si="302"/>
        <v>895</v>
      </c>
      <c r="AG82" s="364">
        <f t="shared" si="302"/>
        <v>3256</v>
      </c>
      <c r="AH82" s="363">
        <f t="shared" si="302"/>
        <v>1038</v>
      </c>
      <c r="AI82" s="363">
        <f t="shared" si="302"/>
        <v>714</v>
      </c>
      <c r="AJ82" s="363">
        <f t="shared" si="302"/>
        <v>880</v>
      </c>
      <c r="AK82" s="363">
        <f t="shared" si="302"/>
        <v>912</v>
      </c>
      <c r="AL82" s="364">
        <f t="shared" si="302"/>
        <v>3544</v>
      </c>
      <c r="AM82" s="363">
        <f t="shared" si="302"/>
        <v>1229</v>
      </c>
      <c r="AN82" s="363">
        <f t="shared" si="302"/>
        <v>878</v>
      </c>
      <c r="AO82" s="363">
        <f t="shared" si="302"/>
        <v>1046</v>
      </c>
      <c r="AP82" s="363">
        <f t="shared" si="302"/>
        <v>1052</v>
      </c>
      <c r="AQ82" s="364">
        <f t="shared" si="302"/>
        <v>4205</v>
      </c>
      <c r="AR82" s="363">
        <f t="shared" si="302"/>
        <v>1445</v>
      </c>
      <c r="AS82" s="363">
        <f t="shared" si="302"/>
        <v>970</v>
      </c>
      <c r="AT82" s="363">
        <f t="shared" si="302"/>
        <v>1135</v>
      </c>
      <c r="AU82" s="363">
        <f t="shared" si="302"/>
        <v>1073</v>
      </c>
      <c r="AV82" s="364">
        <f t="shared" si="302"/>
        <v>4623</v>
      </c>
      <c r="AW82" s="363">
        <f t="shared" si="302"/>
        <v>1281</v>
      </c>
      <c r="AX82" s="363">
        <f t="shared" si="302"/>
        <v>1114</v>
      </c>
      <c r="AY82" s="363">
        <f t="shared" si="302"/>
        <v>1323</v>
      </c>
      <c r="AZ82" s="363">
        <f t="shared" si="302"/>
        <v>1168</v>
      </c>
      <c r="BA82" s="364">
        <f t="shared" si="302"/>
        <v>4886</v>
      </c>
      <c r="BB82" s="363">
        <f t="shared" si="302"/>
        <v>1072</v>
      </c>
      <c r="BC82" s="363">
        <f t="shared" si="302"/>
        <v>879</v>
      </c>
      <c r="BD82" s="363">
        <f t="shared" si="302"/>
        <v>1159</v>
      </c>
      <c r="BE82" s="363">
        <f t="shared" si="302"/>
        <v>1215</v>
      </c>
      <c r="BF82" s="364">
        <f t="shared" si="302"/>
        <v>4325</v>
      </c>
      <c r="BG82" s="363">
        <f t="shared" si="302"/>
        <v>1270</v>
      </c>
      <c r="BH82" s="363">
        <f t="shared" si="302"/>
        <v>997</v>
      </c>
      <c r="BI82" s="363">
        <f t="shared" ref="BI82:CL82" si="303">+BI76+BI81</f>
        <v>1291</v>
      </c>
      <c r="BJ82" s="363">
        <f t="shared" si="303"/>
        <v>1243</v>
      </c>
      <c r="BK82" s="364">
        <f t="shared" si="303"/>
        <v>4801</v>
      </c>
      <c r="BL82" s="363">
        <f t="shared" si="303"/>
        <v>1561</v>
      </c>
      <c r="BM82" s="363">
        <f t="shared" si="303"/>
        <v>1249</v>
      </c>
      <c r="BN82" s="363">
        <f t="shared" si="303"/>
        <v>1281</v>
      </c>
      <c r="BO82" s="363">
        <f t="shared" si="303"/>
        <v>-804</v>
      </c>
      <c r="BP82" s="364">
        <f t="shared" si="303"/>
        <v>3287</v>
      </c>
      <c r="BQ82" s="363">
        <f t="shared" si="303"/>
        <v>1715</v>
      </c>
      <c r="BR82" s="363">
        <f t="shared" si="303"/>
        <v>1456</v>
      </c>
      <c r="BS82" s="363">
        <f t="shared" si="303"/>
        <v>1636</v>
      </c>
      <c r="BT82" s="363">
        <f t="shared" si="303"/>
        <v>1854</v>
      </c>
      <c r="BU82" s="364">
        <f t="shared" si="303"/>
        <v>6661</v>
      </c>
      <c r="BV82" s="363">
        <f t="shared" si="303"/>
        <v>2106</v>
      </c>
      <c r="BW82" s="363">
        <f t="shared" si="303"/>
        <v>1501</v>
      </c>
      <c r="BX82" s="363">
        <f t="shared" si="303"/>
        <v>1670</v>
      </c>
      <c r="BY82" s="363">
        <f t="shared" si="303"/>
        <v>1374</v>
      </c>
      <c r="BZ82" s="364">
        <f t="shared" si="303"/>
        <v>6651</v>
      </c>
      <c r="CA82" s="363">
        <f t="shared" si="303"/>
        <v>1828</v>
      </c>
      <c r="CB82" s="363">
        <f t="shared" si="303"/>
        <v>1650</v>
      </c>
      <c r="CC82" s="363">
        <f t="shared" si="303"/>
        <v>1477</v>
      </c>
      <c r="CD82" s="363">
        <f t="shared" si="303"/>
        <v>1246</v>
      </c>
      <c r="CE82" s="364">
        <f t="shared" si="303"/>
        <v>6201</v>
      </c>
      <c r="CF82" s="363">
        <f t="shared" si="303"/>
        <v>1648</v>
      </c>
      <c r="CG82" s="363">
        <f t="shared" si="303"/>
        <v>1922</v>
      </c>
      <c r="CH82" s="363">
        <f t="shared" si="303"/>
        <v>1807</v>
      </c>
      <c r="CI82" s="371">
        <f t="shared" si="303"/>
        <v>1766</v>
      </c>
      <c r="CJ82" s="364">
        <f t="shared" si="303"/>
        <v>7143</v>
      </c>
      <c r="CK82" s="363">
        <f t="shared" ref="CK82:CR82" si="304">+CK76+CK81</f>
        <v>1307</v>
      </c>
      <c r="CL82" s="363">
        <f t="shared" si="303"/>
        <v>1416</v>
      </c>
      <c r="CM82" s="363">
        <f t="shared" si="304"/>
        <v>844</v>
      </c>
      <c r="CN82" s="363">
        <f t="shared" si="304"/>
        <v>318</v>
      </c>
      <c r="CO82" s="364">
        <f t="shared" si="304"/>
        <v>3885</v>
      </c>
      <c r="CP82" s="363">
        <f t="shared" si="304"/>
        <v>922</v>
      </c>
      <c r="CQ82" s="363">
        <f t="shared" si="304"/>
        <v>999</v>
      </c>
      <c r="CR82" s="363">
        <f t="shared" si="304"/>
        <v>650</v>
      </c>
      <c r="CS82" s="363">
        <f t="shared" ref="CS82:CT82" si="305">+CS76+CS81</f>
        <v>1329</v>
      </c>
      <c r="CT82" s="364">
        <f t="shared" si="305"/>
        <v>3900</v>
      </c>
      <c r="CU82" s="363">
        <f t="shared" ref="CU82:CY82" si="306">+CU76+CU81</f>
        <v>921</v>
      </c>
      <c r="CV82" s="363">
        <f t="shared" si="306"/>
        <v>720.55068187684401</v>
      </c>
      <c r="CW82" s="363">
        <f t="shared" si="306"/>
        <v>555.92500314247491</v>
      </c>
      <c r="CX82" s="363">
        <f t="shared" si="306"/>
        <v>281.64248577904294</v>
      </c>
      <c r="CY82" s="364">
        <f t="shared" si="306"/>
        <v>2479.1181707983619</v>
      </c>
      <c r="CZ82" s="363">
        <f t="shared" ref="CZ82:DD82" si="307">+CZ76+CZ81</f>
        <v>863.61876239867343</v>
      </c>
      <c r="DA82" s="363">
        <f t="shared" si="307"/>
        <v>628.54542587351079</v>
      </c>
      <c r="DB82" s="363">
        <f t="shared" si="307"/>
        <v>536.47951477286642</v>
      </c>
      <c r="DC82" s="363">
        <f t="shared" si="307"/>
        <v>270.05630796992176</v>
      </c>
      <c r="DD82" s="364">
        <f t="shared" si="307"/>
        <v>2298.7000110149725</v>
      </c>
      <c r="DE82" s="363">
        <f t="shared" ref="DE82:DI82" si="308">+DE76+DE81</f>
        <v>920.93164847721528</v>
      </c>
      <c r="DF82" s="363">
        <f t="shared" si="308"/>
        <v>686.79145969207639</v>
      </c>
      <c r="DG82" s="363">
        <f t="shared" si="308"/>
        <v>595.55823270329483</v>
      </c>
      <c r="DH82" s="363">
        <f t="shared" si="308"/>
        <v>325.17535799635738</v>
      </c>
      <c r="DI82" s="364">
        <f t="shared" si="308"/>
        <v>2528.4566988689439</v>
      </c>
      <c r="DP82" s="363"/>
      <c r="DQ82" s="380"/>
      <c r="DR82" s="380"/>
      <c r="DS82" s="380"/>
      <c r="DT82" s="380"/>
    </row>
    <row r="83" spans="1:124" s="7" customFormat="1" ht="12" customHeight="1">
      <c r="A83" s="239"/>
      <c r="B83" s="20" t="s">
        <v>6</v>
      </c>
      <c r="C83" s="43">
        <v>-345.9</v>
      </c>
      <c r="D83" s="36">
        <v>-499.4</v>
      </c>
      <c r="E83" s="43">
        <v>-253.39999999999998</v>
      </c>
      <c r="F83" s="36">
        <v>-294.70000000000005</v>
      </c>
      <c r="G83" s="43">
        <v>-340.1</v>
      </c>
      <c r="H83" s="36">
        <v>-331.7</v>
      </c>
      <c r="I83" s="43">
        <v>-349</v>
      </c>
      <c r="J83" s="36">
        <v>-382.9</v>
      </c>
      <c r="K83" s="43">
        <v>-504.4</v>
      </c>
      <c r="L83" s="36">
        <v>-648.19999999999993</v>
      </c>
      <c r="M83" s="43">
        <v>-749.6</v>
      </c>
      <c r="N83" s="36">
        <v>-708.4</v>
      </c>
      <c r="O83" s="36">
        <v>-610.6</v>
      </c>
      <c r="P83" s="43">
        <v>-680.90525999999988</v>
      </c>
      <c r="Q83" s="36">
        <v>-610.19999999999993</v>
      </c>
      <c r="R83" s="43">
        <v>-196</v>
      </c>
      <c r="S83" s="43">
        <v>-152</v>
      </c>
      <c r="T83" s="43">
        <v>-184</v>
      </c>
      <c r="U83" s="43">
        <v>-179</v>
      </c>
      <c r="V83" s="15">
        <f>SUM(R83:U83)</f>
        <v>-711</v>
      </c>
      <c r="W83" s="43">
        <v>-207</v>
      </c>
      <c r="X83" s="43">
        <v>-149</v>
      </c>
      <c r="Y83" s="43">
        <v>-210</v>
      </c>
      <c r="Z83" s="43">
        <v>-194</v>
      </c>
      <c r="AA83" s="15">
        <f>SUM(W83:Z83)</f>
        <v>-760</v>
      </c>
      <c r="AB83" s="40" t="s">
        <v>126</v>
      </c>
      <c r="AC83" s="43">
        <f>-805-AD83-AE83-AF83</f>
        <v>-213</v>
      </c>
      <c r="AD83" s="43">
        <v>-191</v>
      </c>
      <c r="AE83" s="43">
        <v>-196</v>
      </c>
      <c r="AF83" s="43">
        <v>-205</v>
      </c>
      <c r="AG83" s="36">
        <v>-805</v>
      </c>
      <c r="AH83" s="43">
        <v>-259</v>
      </c>
      <c r="AI83" s="43">
        <v>-180</v>
      </c>
      <c r="AJ83" s="43">
        <v>-198</v>
      </c>
      <c r="AK83" s="43">
        <v>-214</v>
      </c>
      <c r="AL83" s="36">
        <v>-851</v>
      </c>
      <c r="AM83" s="43">
        <v>-267</v>
      </c>
      <c r="AN83" s="43">
        <v>-223</v>
      </c>
      <c r="AO83" s="43">
        <v>-255</v>
      </c>
      <c r="AP83" s="43">
        <v>-187</v>
      </c>
      <c r="AQ83" s="15">
        <f>SUM(AM83:AP83)</f>
        <v>-932</v>
      </c>
      <c r="AR83" s="43">
        <v>-266</v>
      </c>
      <c r="AS83" s="43">
        <v>-185</v>
      </c>
      <c r="AT83" s="43">
        <v>-185</v>
      </c>
      <c r="AU83" s="43">
        <v>-227</v>
      </c>
      <c r="AV83" s="15">
        <f>SUM(AR83:AU83)</f>
        <v>-863</v>
      </c>
      <c r="AW83" s="43">
        <v>-32</v>
      </c>
      <c r="AX83" s="43">
        <v>-272</v>
      </c>
      <c r="AY83" s="43">
        <v>-182</v>
      </c>
      <c r="AZ83" s="43">
        <v>-160</v>
      </c>
      <c r="BA83" s="15">
        <f>SUM(AW83:AZ83)</f>
        <v>-646</v>
      </c>
      <c r="BB83" s="43">
        <v>-122</v>
      </c>
      <c r="BC83" s="43">
        <v>-112</v>
      </c>
      <c r="BD83" s="43">
        <f>-2080+2030</f>
        <v>-50</v>
      </c>
      <c r="BE83" s="369">
        <v>-78</v>
      </c>
      <c r="BF83" s="15">
        <f>SUM(BB83:BE83)</f>
        <v>-362</v>
      </c>
      <c r="BG83" s="369">
        <v>-178</v>
      </c>
      <c r="BH83" s="369">
        <v>-150</v>
      </c>
      <c r="BI83" s="369">
        <v>-190</v>
      </c>
      <c r="BJ83" s="369">
        <v>-254</v>
      </c>
      <c r="BK83" s="15">
        <f>SUM(BG83:BJ83)</f>
        <v>-772</v>
      </c>
      <c r="BL83" s="369">
        <v>-194</v>
      </c>
      <c r="BM83" s="369">
        <v>-134</v>
      </c>
      <c r="BN83" s="369">
        <v>-34</v>
      </c>
      <c r="BO83" s="369">
        <v>14</v>
      </c>
      <c r="BP83" s="15">
        <f>SUM(BL83:BO83)</f>
        <v>-348</v>
      </c>
      <c r="BQ83" s="369">
        <v>-197</v>
      </c>
      <c r="BR83" s="369">
        <v>-205</v>
      </c>
      <c r="BS83" s="369">
        <v>-187</v>
      </c>
      <c r="BT83" s="369">
        <v>-345</v>
      </c>
      <c r="BU83" s="15">
        <f>SUM(BQ83:BT83)</f>
        <v>-934</v>
      </c>
      <c r="BV83" s="369">
        <v>-232</v>
      </c>
      <c r="BW83" s="369">
        <v>-164</v>
      </c>
      <c r="BX83" s="369">
        <v>-274</v>
      </c>
      <c r="BY83" s="369">
        <v>65</v>
      </c>
      <c r="BZ83" s="15">
        <f>SUM(BV83:BY83)</f>
        <v>-605</v>
      </c>
      <c r="CA83" s="369">
        <v>-360</v>
      </c>
      <c r="CB83" s="369">
        <v>-319</v>
      </c>
      <c r="CC83" s="369">
        <v>-237</v>
      </c>
      <c r="CD83" s="369">
        <v>-215</v>
      </c>
      <c r="CE83" s="15">
        <f>SUM(CA83:CD83)</f>
        <v>-1131</v>
      </c>
      <c r="CF83" s="369">
        <v>-198</v>
      </c>
      <c r="CG83" s="369">
        <v>-344</v>
      </c>
      <c r="CH83" s="369">
        <f>-232-ROUND(0.05*CH90,0)</f>
        <v>-308</v>
      </c>
      <c r="CI83" s="369">
        <f>-226-ROUND(0.01*CI90,0)</f>
        <v>-241</v>
      </c>
      <c r="CJ83" s="15">
        <f>SUM(CF83:CI83)</f>
        <v>-1091</v>
      </c>
      <c r="CK83" s="369">
        <v>-256</v>
      </c>
      <c r="CL83" s="369">
        <v>-253</v>
      </c>
      <c r="CM83" s="369">
        <v>-50</v>
      </c>
      <c r="CN83" s="369">
        <v>-107</v>
      </c>
      <c r="CO83" s="15">
        <f>SUM(CK83:CN83)</f>
        <v>-666</v>
      </c>
      <c r="CP83" s="369">
        <v>-195</v>
      </c>
      <c r="CQ83" s="369">
        <v>-207</v>
      </c>
      <c r="CR83" s="369">
        <v>-130</v>
      </c>
      <c r="CS83" s="369">
        <v>-260</v>
      </c>
      <c r="CT83" s="15">
        <f>SUM(CP83:CS83)</f>
        <v>-792</v>
      </c>
      <c r="CU83" s="369">
        <v>-209</v>
      </c>
      <c r="CV83" s="369">
        <f>+CV82*-CV84</f>
        <v>-190.94593069736368</v>
      </c>
      <c r="CW83" s="369">
        <f>+CW82*-CW84</f>
        <v>-147.32012583275585</v>
      </c>
      <c r="CX83" s="369">
        <f>+CX82*-CX84</f>
        <v>-74.635258731446385</v>
      </c>
      <c r="CY83" s="15">
        <f>SUM(CU83:CX83)</f>
        <v>-621.90131526156586</v>
      </c>
      <c r="CZ83" s="369">
        <f>+CZ82*-CZ84</f>
        <v>-207.26850297568163</v>
      </c>
      <c r="DA83" s="369">
        <f>+DA82*-DA84</f>
        <v>-150.85090220964258</v>
      </c>
      <c r="DB83" s="369">
        <f>+DB82*-DB84</f>
        <v>-128.75508354548793</v>
      </c>
      <c r="DC83" s="369">
        <f>+DC82*-DC84</f>
        <v>-64.813513912781218</v>
      </c>
      <c r="DD83" s="15">
        <f>SUM(CZ83:DC83)</f>
        <v>-551.68800264359334</v>
      </c>
      <c r="DE83" s="369">
        <f>+DE82*-DE84</f>
        <v>-211.81427914975953</v>
      </c>
      <c r="DF83" s="369">
        <f>+DF82*-DF84</f>
        <v>-157.96203572917759</v>
      </c>
      <c r="DG83" s="369">
        <f>+DG82*-DG84</f>
        <v>-136.97839352175782</v>
      </c>
      <c r="DH83" s="369">
        <f>+DH82*-DH84</f>
        <v>-74.790332339162205</v>
      </c>
      <c r="DI83" s="15">
        <f>SUM(DE83:DH83)</f>
        <v>-581.54504073985709</v>
      </c>
      <c r="DP83" s="43"/>
      <c r="DQ83" s="284"/>
      <c r="DR83" s="284"/>
      <c r="DS83" s="284"/>
      <c r="DT83" s="284"/>
    </row>
    <row r="84" spans="1:124" s="3" customFormat="1" ht="12" customHeight="1">
      <c r="A84" s="219"/>
      <c r="B84" s="415" t="s">
        <v>134</v>
      </c>
      <c r="C84" s="52">
        <f t="shared" ref="C84:AA84" si="309">-C83/C82</f>
        <v>0.38472233035624914</v>
      </c>
      <c r="D84" s="112">
        <f t="shared" si="309"/>
        <v>0.38557096775687855</v>
      </c>
      <c r="E84" s="52">
        <f t="shared" si="309"/>
        <v>0.32362707535121371</v>
      </c>
      <c r="F84" s="112">
        <f t="shared" si="309"/>
        <v>0.37247219413548971</v>
      </c>
      <c r="G84" s="52">
        <f t="shared" si="309"/>
        <v>0.37100469073851844</v>
      </c>
      <c r="H84" s="112">
        <f t="shared" si="309"/>
        <v>0.36003473352870946</v>
      </c>
      <c r="I84" s="52">
        <f t="shared" si="309"/>
        <v>0.34306497591664209</v>
      </c>
      <c r="J84" s="112">
        <f t="shared" si="309"/>
        <v>0.34096170970614426</v>
      </c>
      <c r="K84" s="52">
        <f t="shared" si="309"/>
        <v>0.34786206896551719</v>
      </c>
      <c r="L84" s="112">
        <f t="shared" si="309"/>
        <v>0.34853210022583092</v>
      </c>
      <c r="M84" s="52">
        <f t="shared" si="309"/>
        <v>0.35001867762420624</v>
      </c>
      <c r="N84" s="112">
        <f t="shared" si="309"/>
        <v>0.32201463702895572</v>
      </c>
      <c r="O84" s="112">
        <f t="shared" si="309"/>
        <v>0.24681676704798086</v>
      </c>
      <c r="P84" s="52">
        <f t="shared" si="309"/>
        <v>0.2667287919147604</v>
      </c>
      <c r="Q84" s="112">
        <f t="shared" si="309"/>
        <v>0.24244109817632786</v>
      </c>
      <c r="R84" s="52">
        <f t="shared" si="309"/>
        <v>0.25960264900662261</v>
      </c>
      <c r="S84" s="52">
        <f t="shared" si="309"/>
        <v>0.24958949096880123</v>
      </c>
      <c r="T84" s="52">
        <f t="shared" si="309"/>
        <v>0.26025459688826025</v>
      </c>
      <c r="U84" s="52">
        <f t="shared" si="309"/>
        <v>0.23156532988357051</v>
      </c>
      <c r="V84" s="112">
        <f t="shared" si="309"/>
        <v>0.25</v>
      </c>
      <c r="W84" s="52">
        <f t="shared" si="309"/>
        <v>0.24295774647887325</v>
      </c>
      <c r="X84" s="52">
        <f t="shared" si="309"/>
        <v>0.24110032362459546</v>
      </c>
      <c r="Y84" s="52">
        <f t="shared" si="309"/>
        <v>0.27272727272727271</v>
      </c>
      <c r="Z84" s="52">
        <f t="shared" si="309"/>
        <v>0.2611036339165545</v>
      </c>
      <c r="AA84" s="112">
        <f t="shared" si="309"/>
        <v>0.25477707006369427</v>
      </c>
      <c r="AB84" s="232" t="s">
        <v>126</v>
      </c>
      <c r="AC84" s="52">
        <f t="shared" ref="AC84:CK84" si="310">-AC83/AC82</f>
        <v>0.26792452830188679</v>
      </c>
      <c r="AD84" s="52">
        <f t="shared" si="310"/>
        <v>0.26901408450704223</v>
      </c>
      <c r="AE84" s="52">
        <f t="shared" si="310"/>
        <v>0.22897196261682243</v>
      </c>
      <c r="AF84" s="52">
        <f t="shared" si="310"/>
        <v>0.22905027932960895</v>
      </c>
      <c r="AG84" s="112">
        <f t="shared" si="310"/>
        <v>0.24723587223587223</v>
      </c>
      <c r="AH84" s="52">
        <f t="shared" si="310"/>
        <v>0.24951830443159922</v>
      </c>
      <c r="AI84" s="52">
        <f t="shared" si="310"/>
        <v>0.25210084033613445</v>
      </c>
      <c r="AJ84" s="52">
        <f t="shared" si="310"/>
        <v>0.22500000000000001</v>
      </c>
      <c r="AK84" s="52">
        <f t="shared" si="310"/>
        <v>0.23464912280701755</v>
      </c>
      <c r="AL84" s="112">
        <f t="shared" si="310"/>
        <v>0.24012415349887134</v>
      </c>
      <c r="AM84" s="52">
        <f t="shared" si="310"/>
        <v>0.21724979658258747</v>
      </c>
      <c r="AN84" s="52">
        <f t="shared" si="310"/>
        <v>0.25398633257403191</v>
      </c>
      <c r="AO84" s="52">
        <f t="shared" si="310"/>
        <v>0.24378585086042065</v>
      </c>
      <c r="AP84" s="52">
        <f t="shared" si="310"/>
        <v>0.17775665399239543</v>
      </c>
      <c r="AQ84" s="112">
        <f t="shared" si="310"/>
        <v>0.22164090368608799</v>
      </c>
      <c r="AR84" s="52">
        <f t="shared" si="310"/>
        <v>0.18408304498269895</v>
      </c>
      <c r="AS84" s="52">
        <f t="shared" si="310"/>
        <v>0.19072164948453607</v>
      </c>
      <c r="AT84" s="52">
        <f t="shared" si="310"/>
        <v>0.16299559471365638</v>
      </c>
      <c r="AU84" s="52">
        <f t="shared" si="310"/>
        <v>0.21155638397017706</v>
      </c>
      <c r="AV84" s="112">
        <f t="shared" si="310"/>
        <v>0.18667531905688947</v>
      </c>
      <c r="AW84" s="52">
        <f t="shared" si="310"/>
        <v>2.4980483996877439E-2</v>
      </c>
      <c r="AX84" s="52">
        <f t="shared" si="310"/>
        <v>0.24416517055655296</v>
      </c>
      <c r="AY84" s="52">
        <f t="shared" si="310"/>
        <v>0.13756613756613756</v>
      </c>
      <c r="AZ84" s="52">
        <f t="shared" si="310"/>
        <v>0.13698630136986301</v>
      </c>
      <c r="BA84" s="112">
        <f t="shared" si="310"/>
        <v>0.13221449038067951</v>
      </c>
      <c r="BB84" s="52">
        <f t="shared" si="310"/>
        <v>0.11380597014925373</v>
      </c>
      <c r="BC84" s="52">
        <f t="shared" si="310"/>
        <v>0.12741751990898748</v>
      </c>
      <c r="BD84" s="52">
        <f t="shared" si="310"/>
        <v>4.3140638481449528E-2</v>
      </c>
      <c r="BE84" s="52">
        <f t="shared" si="310"/>
        <v>6.4197530864197536E-2</v>
      </c>
      <c r="BF84" s="112">
        <f t="shared" si="310"/>
        <v>8.3699421965317919E-2</v>
      </c>
      <c r="BG84" s="52">
        <f t="shared" si="310"/>
        <v>0.14015748031496064</v>
      </c>
      <c r="BH84" s="52">
        <f t="shared" si="310"/>
        <v>0.15045135406218657</v>
      </c>
      <c r="BI84" s="52">
        <f t="shared" si="310"/>
        <v>0.14717273431448488</v>
      </c>
      <c r="BJ84" s="52">
        <f t="shared" si="310"/>
        <v>0.20434432823813356</v>
      </c>
      <c r="BK84" s="112">
        <f t="shared" si="310"/>
        <v>0.16079983336804832</v>
      </c>
      <c r="BL84" s="52">
        <f t="shared" si="310"/>
        <v>0.12427930813581038</v>
      </c>
      <c r="BM84" s="52">
        <f t="shared" si="310"/>
        <v>0.10728582866293035</v>
      </c>
      <c r="BN84" s="52">
        <f t="shared" si="310"/>
        <v>2.6541764246682281E-2</v>
      </c>
      <c r="BO84" s="52">
        <f t="shared" si="310"/>
        <v>1.7412935323383085E-2</v>
      </c>
      <c r="BP84" s="112">
        <f t="shared" si="310"/>
        <v>0.10587161545482203</v>
      </c>
      <c r="BQ84" s="52">
        <f t="shared" si="310"/>
        <v>0.11486880466472303</v>
      </c>
      <c r="BR84" s="52">
        <f t="shared" si="310"/>
        <v>0.1407967032967033</v>
      </c>
      <c r="BS84" s="52">
        <f t="shared" si="310"/>
        <v>0.11430317848410758</v>
      </c>
      <c r="BT84" s="114">
        <f t="shared" si="310"/>
        <v>0.18608414239482202</v>
      </c>
      <c r="BU84" s="112">
        <f t="shared" si="310"/>
        <v>0.14021918630836211</v>
      </c>
      <c r="BV84" s="52">
        <f t="shared" si="310"/>
        <v>0.11016144349477683</v>
      </c>
      <c r="BW84" s="52">
        <f t="shared" si="310"/>
        <v>0.10926049300466356</v>
      </c>
      <c r="BX84" s="52">
        <f t="shared" si="310"/>
        <v>0.16407185628742516</v>
      </c>
      <c r="BY84" s="114">
        <f t="shared" si="310"/>
        <v>-4.730713245997089E-2</v>
      </c>
      <c r="BZ84" s="112">
        <f>-BZ83/BZ82</f>
        <v>9.0963764847391368E-2</v>
      </c>
      <c r="CA84" s="52">
        <f t="shared" si="310"/>
        <v>0.19693654266958424</v>
      </c>
      <c r="CB84" s="52">
        <f t="shared" si="310"/>
        <v>0.19333333333333333</v>
      </c>
      <c r="CC84" s="52">
        <f t="shared" si="310"/>
        <v>0.16046039268788084</v>
      </c>
      <c r="CD84" s="114">
        <f t="shared" si="310"/>
        <v>0.1725521669341894</v>
      </c>
      <c r="CE84" s="112">
        <f>-CE83/CE82</f>
        <v>0.18238993710691823</v>
      </c>
      <c r="CF84" s="52">
        <f t="shared" si="310"/>
        <v>0.12014563106796117</v>
      </c>
      <c r="CG84" s="52">
        <f t="shared" si="310"/>
        <v>0.17898022892819979</v>
      </c>
      <c r="CH84" s="52">
        <f t="shared" ref="CH84" si="311">-CH83/CH82</f>
        <v>0.17044825677919204</v>
      </c>
      <c r="CI84" s="114">
        <f t="shared" si="310"/>
        <v>0.13646659116647791</v>
      </c>
      <c r="CJ84" s="112">
        <f>-CJ83/CJ82</f>
        <v>0.15273694526109477</v>
      </c>
      <c r="CK84" s="52">
        <f t="shared" si="310"/>
        <v>0.19586840091813312</v>
      </c>
      <c r="CL84" s="52">
        <f t="shared" ref="CL84:CN84" si="312">-CL83/CL82</f>
        <v>0.1786723163841808</v>
      </c>
      <c r="CM84" s="52">
        <f t="shared" si="312"/>
        <v>5.9241706161137442E-2</v>
      </c>
      <c r="CN84" s="52">
        <f t="shared" si="312"/>
        <v>0.33647798742138363</v>
      </c>
      <c r="CO84" s="112">
        <f>-CO83/CO82</f>
        <v>0.17142857142857143</v>
      </c>
      <c r="CP84" s="52">
        <f t="shared" ref="CP84:CU84" si="313">-CP83/CP82</f>
        <v>0.21149674620390455</v>
      </c>
      <c r="CQ84" s="52">
        <f t="shared" si="313"/>
        <v>0.2072072072072072</v>
      </c>
      <c r="CR84" s="52">
        <f t="shared" si="313"/>
        <v>0.2</v>
      </c>
      <c r="CS84" s="52">
        <f t="shared" si="313"/>
        <v>0.19563581640331076</v>
      </c>
      <c r="CT84" s="112">
        <f>-CT83/CT82</f>
        <v>0.20307692307692307</v>
      </c>
      <c r="CU84" s="52">
        <f t="shared" si="313"/>
        <v>0.2269272529858849</v>
      </c>
      <c r="CV84" s="53">
        <v>0.26500000000000001</v>
      </c>
      <c r="CW84" s="53">
        <v>0.26500000000000001</v>
      </c>
      <c r="CX84" s="53">
        <v>0.26500000000000001</v>
      </c>
      <c r="CY84" s="112">
        <f>-CY83/CY82</f>
        <v>0.25085585777514274</v>
      </c>
      <c r="CZ84" s="53">
        <v>0.24</v>
      </c>
      <c r="DA84" s="53">
        <v>0.24</v>
      </c>
      <c r="DB84" s="53">
        <v>0.24</v>
      </c>
      <c r="DC84" s="53">
        <v>0.24</v>
      </c>
      <c r="DD84" s="112">
        <f>-DD83/DD82</f>
        <v>0.23999999999999996</v>
      </c>
      <c r="DE84" s="53">
        <v>0.23</v>
      </c>
      <c r="DF84" s="53">
        <v>0.23</v>
      </c>
      <c r="DG84" s="53">
        <v>0.23</v>
      </c>
      <c r="DH84" s="53">
        <v>0.23</v>
      </c>
      <c r="DI84" s="112">
        <f>-DI83/DI82</f>
        <v>0.22999999999999998</v>
      </c>
      <c r="DP84" s="9"/>
      <c r="DQ84" s="416"/>
      <c r="DR84" s="416"/>
      <c r="DS84" s="416"/>
      <c r="DT84" s="416"/>
    </row>
    <row r="85" spans="1:124" ht="12" customHeight="1">
      <c r="A85" s="219"/>
      <c r="B85" s="74"/>
      <c r="C85" s="412" t="s">
        <v>4</v>
      </c>
      <c r="D85" s="413" t="s">
        <v>4</v>
      </c>
      <c r="E85" s="412" t="s">
        <v>4</v>
      </c>
      <c r="F85" s="413" t="s">
        <v>4</v>
      </c>
      <c r="G85" s="412" t="s">
        <v>4</v>
      </c>
      <c r="H85" s="413" t="s">
        <v>4</v>
      </c>
      <c r="I85" s="412" t="s">
        <v>4</v>
      </c>
      <c r="J85" s="413" t="s">
        <v>4</v>
      </c>
      <c r="K85" s="412" t="s">
        <v>4</v>
      </c>
      <c r="L85" s="413" t="s">
        <v>4</v>
      </c>
      <c r="M85" s="412" t="s">
        <v>4</v>
      </c>
      <c r="N85" s="413" t="s">
        <v>4</v>
      </c>
      <c r="O85" s="413" t="s">
        <v>4</v>
      </c>
      <c r="P85" s="412" t="s">
        <v>4</v>
      </c>
      <c r="Q85" s="413" t="s">
        <v>4</v>
      </c>
      <c r="R85" s="412" t="s">
        <v>4</v>
      </c>
      <c r="S85" s="412" t="s">
        <v>4</v>
      </c>
      <c r="T85" s="412" t="s">
        <v>4</v>
      </c>
      <c r="U85" s="412" t="s">
        <v>4</v>
      </c>
      <c r="V85" s="413" t="s">
        <v>4</v>
      </c>
      <c r="W85" s="412" t="s">
        <v>4</v>
      </c>
      <c r="X85" s="412" t="s">
        <v>4</v>
      </c>
      <c r="Y85" s="412" t="s">
        <v>4</v>
      </c>
      <c r="Z85" s="412" t="s">
        <v>4</v>
      </c>
      <c r="AA85" s="413" t="s">
        <v>4</v>
      </c>
      <c r="AB85" s="413" t="s">
        <v>4</v>
      </c>
      <c r="AC85" s="412" t="s">
        <v>4</v>
      </c>
      <c r="AD85" s="412" t="s">
        <v>4</v>
      </c>
      <c r="AE85" s="412" t="s">
        <v>4</v>
      </c>
      <c r="AF85" s="412" t="s">
        <v>4</v>
      </c>
      <c r="AG85" s="40" t="s">
        <v>4</v>
      </c>
      <c r="AH85" s="412" t="s">
        <v>4</v>
      </c>
      <c r="AI85" s="412" t="s">
        <v>4</v>
      </c>
      <c r="AJ85" s="412" t="s">
        <v>4</v>
      </c>
      <c r="AK85" s="412" t="s">
        <v>4</v>
      </c>
      <c r="AL85" s="40" t="s">
        <v>4</v>
      </c>
      <c r="AM85" s="412" t="s">
        <v>4</v>
      </c>
      <c r="AN85" s="412" t="s">
        <v>4</v>
      </c>
      <c r="AO85" s="412" t="s">
        <v>4</v>
      </c>
      <c r="AP85" s="412" t="s">
        <v>4</v>
      </c>
      <c r="AQ85" s="40" t="s">
        <v>4</v>
      </c>
      <c r="AR85" s="39" t="s">
        <v>4</v>
      </c>
      <c r="AS85" s="39" t="s">
        <v>4</v>
      </c>
      <c r="AT85" s="39" t="s">
        <v>4</v>
      </c>
      <c r="AU85" s="39" t="s">
        <v>4</v>
      </c>
      <c r="AV85" s="40" t="s">
        <v>4</v>
      </c>
      <c r="AW85" s="39" t="s">
        <v>4</v>
      </c>
      <c r="AX85" s="39" t="s">
        <v>4</v>
      </c>
      <c r="AY85" s="39" t="s">
        <v>4</v>
      </c>
      <c r="AZ85" s="39" t="s">
        <v>4</v>
      </c>
      <c r="BA85" s="40" t="s">
        <v>4</v>
      </c>
      <c r="BB85" s="39" t="s">
        <v>4</v>
      </c>
      <c r="BC85" s="39" t="s">
        <v>4</v>
      </c>
      <c r="BD85" s="39" t="s">
        <v>4</v>
      </c>
      <c r="BE85" s="39" t="s">
        <v>4</v>
      </c>
      <c r="BF85" s="40" t="s">
        <v>4</v>
      </c>
      <c r="BG85" s="412" t="s">
        <v>4</v>
      </c>
      <c r="BH85" s="412" t="s">
        <v>4</v>
      </c>
      <c r="BI85" s="412" t="s">
        <v>4</v>
      </c>
      <c r="BJ85" s="412" t="s">
        <v>4</v>
      </c>
      <c r="BK85" s="40" t="s">
        <v>4</v>
      </c>
      <c r="BL85" s="412" t="s">
        <v>4</v>
      </c>
      <c r="BM85" s="412" t="s">
        <v>4</v>
      </c>
      <c r="BN85" s="412" t="s">
        <v>4</v>
      </c>
      <c r="BO85" s="412" t="s">
        <v>4</v>
      </c>
      <c r="BP85" s="40" t="s">
        <v>4</v>
      </c>
      <c r="BQ85" s="412" t="s">
        <v>4</v>
      </c>
      <c r="BR85" s="412" t="s">
        <v>4</v>
      </c>
      <c r="BS85" s="412" t="s">
        <v>4</v>
      </c>
      <c r="BT85" s="412" t="s">
        <v>4</v>
      </c>
      <c r="BU85" s="40" t="s">
        <v>4</v>
      </c>
      <c r="BV85" s="412" t="s">
        <v>4</v>
      </c>
      <c r="BW85" s="412" t="s">
        <v>4</v>
      </c>
      <c r="BX85" s="412" t="s">
        <v>4</v>
      </c>
      <c r="BY85" s="412" t="s">
        <v>4</v>
      </c>
      <c r="BZ85" s="40" t="s">
        <v>4</v>
      </c>
      <c r="CA85" s="412" t="s">
        <v>4</v>
      </c>
      <c r="CB85" s="412" t="s">
        <v>4</v>
      </c>
      <c r="CC85" s="412" t="s">
        <v>4</v>
      </c>
      <c r="CD85" s="412" t="s">
        <v>4</v>
      </c>
      <c r="CE85" s="40" t="s">
        <v>4</v>
      </c>
      <c r="CF85" s="412" t="s">
        <v>4</v>
      </c>
      <c r="CG85" s="412" t="s">
        <v>4</v>
      </c>
      <c r="CH85" s="412" t="s">
        <v>4</v>
      </c>
      <c r="CI85" s="414" t="s">
        <v>4</v>
      </c>
      <c r="CJ85" s="40" t="s">
        <v>4</v>
      </c>
      <c r="CK85" s="412" t="s">
        <v>4</v>
      </c>
      <c r="CL85" s="412" t="s">
        <v>4</v>
      </c>
      <c r="CM85" s="412" t="s">
        <v>4</v>
      </c>
      <c r="CN85" s="412" t="s">
        <v>4</v>
      </c>
      <c r="CO85" s="40" t="s">
        <v>4</v>
      </c>
      <c r="CP85" s="412" t="s">
        <v>4</v>
      </c>
      <c r="CQ85" s="412" t="s">
        <v>4</v>
      </c>
      <c r="CR85" s="412" t="s">
        <v>4</v>
      </c>
      <c r="CS85" s="412" t="s">
        <v>4</v>
      </c>
      <c r="CT85" s="40" t="s">
        <v>4</v>
      </c>
      <c r="CU85" s="412" t="s">
        <v>4</v>
      </c>
      <c r="CV85" s="412" t="s">
        <v>4</v>
      </c>
      <c r="CW85" s="412" t="s">
        <v>4</v>
      </c>
      <c r="CX85" s="412" t="s">
        <v>4</v>
      </c>
      <c r="CY85" s="40" t="s">
        <v>4</v>
      </c>
      <c r="CZ85" s="412" t="s">
        <v>4</v>
      </c>
      <c r="DA85" s="412" t="s">
        <v>4</v>
      </c>
      <c r="DB85" s="412" t="s">
        <v>4</v>
      </c>
      <c r="DC85" s="412" t="s">
        <v>4</v>
      </c>
      <c r="DD85" s="40" t="s">
        <v>4</v>
      </c>
      <c r="DE85" s="412" t="s">
        <v>4</v>
      </c>
      <c r="DF85" s="412" t="s">
        <v>4</v>
      </c>
      <c r="DG85" s="412" t="s">
        <v>4</v>
      </c>
      <c r="DH85" s="412" t="s">
        <v>4</v>
      </c>
      <c r="DI85" s="40" t="s">
        <v>4</v>
      </c>
      <c r="DP85" s="9"/>
      <c r="DQ85" s="207"/>
      <c r="DR85" s="207"/>
      <c r="DS85" s="207"/>
      <c r="DT85" s="207"/>
    </row>
    <row r="86" spans="1:124" s="117" customFormat="1" ht="12" customHeight="1">
      <c r="A86" s="239"/>
      <c r="B86" s="362" t="s">
        <v>135</v>
      </c>
      <c r="C86" s="363">
        <f t="shared" ref="C86:AA86" si="314">SUM(C82:C83)</f>
        <v>553.18999999999983</v>
      </c>
      <c r="D86" s="364">
        <f t="shared" si="314"/>
        <v>795.82200000000068</v>
      </c>
      <c r="E86" s="363">
        <f t="shared" si="314"/>
        <v>529.59999999999889</v>
      </c>
      <c r="F86" s="364">
        <f t="shared" si="314"/>
        <v>496.50000000000148</v>
      </c>
      <c r="G86" s="363">
        <f t="shared" si="314"/>
        <v>576.60000000000048</v>
      </c>
      <c r="H86" s="364">
        <f t="shared" si="314"/>
        <v>589.59999999999991</v>
      </c>
      <c r="I86" s="363">
        <f t="shared" si="314"/>
        <v>668.30000000000007</v>
      </c>
      <c r="J86" s="364">
        <f t="shared" si="314"/>
        <v>740.1</v>
      </c>
      <c r="K86" s="363">
        <f t="shared" si="314"/>
        <v>945.60000000000025</v>
      </c>
      <c r="L86" s="364">
        <f t="shared" si="314"/>
        <v>1211.599999999999</v>
      </c>
      <c r="M86" s="363">
        <f t="shared" si="314"/>
        <v>1392</v>
      </c>
      <c r="N86" s="364">
        <f t="shared" si="314"/>
        <v>1491.5000000000009</v>
      </c>
      <c r="O86" s="364">
        <f t="shared" si="314"/>
        <v>1863.3000000000006</v>
      </c>
      <c r="P86" s="363">
        <f t="shared" si="314"/>
        <v>1871.8947399999984</v>
      </c>
      <c r="Q86" s="364">
        <f t="shared" si="314"/>
        <v>1906.7000000000016</v>
      </c>
      <c r="R86" s="363">
        <f t="shared" si="314"/>
        <v>558.99999999999977</v>
      </c>
      <c r="S86" s="363">
        <f t="shared" si="314"/>
        <v>457.00000000000023</v>
      </c>
      <c r="T86" s="363">
        <f t="shared" si="314"/>
        <v>523</v>
      </c>
      <c r="U86" s="363">
        <f t="shared" si="314"/>
        <v>594</v>
      </c>
      <c r="V86" s="364">
        <f t="shared" si="314"/>
        <v>2133</v>
      </c>
      <c r="W86" s="363">
        <f t="shared" si="314"/>
        <v>645</v>
      </c>
      <c r="X86" s="363">
        <f t="shared" si="314"/>
        <v>469</v>
      </c>
      <c r="Y86" s="363">
        <f t="shared" si="314"/>
        <v>560</v>
      </c>
      <c r="Z86" s="363">
        <f t="shared" si="314"/>
        <v>549</v>
      </c>
      <c r="AA86" s="364">
        <f t="shared" si="314"/>
        <v>2223</v>
      </c>
      <c r="AB86" s="364">
        <v>2257</v>
      </c>
      <c r="AC86" s="363">
        <f>+AC82+AC83</f>
        <v>582</v>
      </c>
      <c r="AD86" s="363">
        <f t="shared" ref="AD86:BI86" si="315">SUM(AD82:AD83)</f>
        <v>519</v>
      </c>
      <c r="AE86" s="363">
        <f t="shared" si="315"/>
        <v>660</v>
      </c>
      <c r="AF86" s="363">
        <f t="shared" si="315"/>
        <v>690</v>
      </c>
      <c r="AG86" s="364">
        <f t="shared" si="315"/>
        <v>2451</v>
      </c>
      <c r="AH86" s="363">
        <f t="shared" si="315"/>
        <v>779</v>
      </c>
      <c r="AI86" s="363">
        <f t="shared" si="315"/>
        <v>534</v>
      </c>
      <c r="AJ86" s="363">
        <f t="shared" si="315"/>
        <v>682</v>
      </c>
      <c r="AK86" s="363">
        <f t="shared" si="315"/>
        <v>698</v>
      </c>
      <c r="AL86" s="364">
        <f t="shared" si="315"/>
        <v>2693</v>
      </c>
      <c r="AM86" s="363">
        <f t="shared" si="315"/>
        <v>962</v>
      </c>
      <c r="AN86" s="363">
        <f t="shared" si="315"/>
        <v>655</v>
      </c>
      <c r="AO86" s="363">
        <f t="shared" si="315"/>
        <v>791</v>
      </c>
      <c r="AP86" s="363">
        <f t="shared" si="315"/>
        <v>865</v>
      </c>
      <c r="AQ86" s="364">
        <f t="shared" si="315"/>
        <v>3273</v>
      </c>
      <c r="AR86" s="363">
        <f t="shared" si="315"/>
        <v>1179</v>
      </c>
      <c r="AS86" s="363">
        <f t="shared" si="315"/>
        <v>785</v>
      </c>
      <c r="AT86" s="363">
        <f t="shared" si="315"/>
        <v>950</v>
      </c>
      <c r="AU86" s="363">
        <f t="shared" si="315"/>
        <v>846</v>
      </c>
      <c r="AV86" s="364">
        <f t="shared" si="315"/>
        <v>3760</v>
      </c>
      <c r="AW86" s="363">
        <f t="shared" si="315"/>
        <v>1249</v>
      </c>
      <c r="AX86" s="363">
        <f t="shared" si="315"/>
        <v>842</v>
      </c>
      <c r="AY86" s="363">
        <f t="shared" si="315"/>
        <v>1141</v>
      </c>
      <c r="AZ86" s="363">
        <f t="shared" si="315"/>
        <v>1008</v>
      </c>
      <c r="BA86" s="364">
        <f t="shared" si="315"/>
        <v>4240</v>
      </c>
      <c r="BB86" s="363">
        <f t="shared" si="315"/>
        <v>950</v>
      </c>
      <c r="BC86" s="363">
        <f t="shared" si="315"/>
        <v>767</v>
      </c>
      <c r="BD86" s="363">
        <f t="shared" si="315"/>
        <v>1109</v>
      </c>
      <c r="BE86" s="363">
        <f t="shared" si="315"/>
        <v>1137</v>
      </c>
      <c r="BF86" s="364">
        <f t="shared" si="315"/>
        <v>3963</v>
      </c>
      <c r="BG86" s="363">
        <f t="shared" si="315"/>
        <v>1092</v>
      </c>
      <c r="BH86" s="363">
        <f t="shared" si="315"/>
        <v>847</v>
      </c>
      <c r="BI86" s="363">
        <f t="shared" si="315"/>
        <v>1101</v>
      </c>
      <c r="BJ86" s="363">
        <f t="shared" ref="BJ86:CJ86" si="316">SUM(BJ82:BJ83)</f>
        <v>989</v>
      </c>
      <c r="BK86" s="364">
        <f t="shared" si="316"/>
        <v>4029</v>
      </c>
      <c r="BL86" s="363">
        <f t="shared" si="316"/>
        <v>1367</v>
      </c>
      <c r="BM86" s="363">
        <f t="shared" si="316"/>
        <v>1115</v>
      </c>
      <c r="BN86" s="363">
        <f t="shared" si="316"/>
        <v>1247</v>
      </c>
      <c r="BO86" s="363">
        <f t="shared" si="316"/>
        <v>-790</v>
      </c>
      <c r="BP86" s="364">
        <f t="shared" si="316"/>
        <v>2939</v>
      </c>
      <c r="BQ86" s="363">
        <f t="shared" si="316"/>
        <v>1518</v>
      </c>
      <c r="BR86" s="363">
        <f t="shared" si="316"/>
        <v>1251</v>
      </c>
      <c r="BS86" s="363">
        <f t="shared" si="316"/>
        <v>1449</v>
      </c>
      <c r="BT86" s="363">
        <f t="shared" si="316"/>
        <v>1509</v>
      </c>
      <c r="BU86" s="364">
        <f t="shared" si="316"/>
        <v>5727</v>
      </c>
      <c r="BV86" s="363">
        <f t="shared" si="316"/>
        <v>1874</v>
      </c>
      <c r="BW86" s="363">
        <f t="shared" si="316"/>
        <v>1337</v>
      </c>
      <c r="BX86" s="363">
        <f t="shared" si="316"/>
        <v>1396</v>
      </c>
      <c r="BY86" s="363">
        <f t="shared" si="316"/>
        <v>1439</v>
      </c>
      <c r="BZ86" s="364">
        <f t="shared" si="316"/>
        <v>6046</v>
      </c>
      <c r="CA86" s="363">
        <f t="shared" si="316"/>
        <v>1468</v>
      </c>
      <c r="CB86" s="363">
        <f t="shared" si="316"/>
        <v>1331</v>
      </c>
      <c r="CC86" s="363">
        <f t="shared" si="316"/>
        <v>1240</v>
      </c>
      <c r="CD86" s="363">
        <f t="shared" si="316"/>
        <v>1031</v>
      </c>
      <c r="CE86" s="364">
        <f t="shared" si="316"/>
        <v>5070</v>
      </c>
      <c r="CF86" s="363">
        <f t="shared" si="316"/>
        <v>1450</v>
      </c>
      <c r="CG86" s="363">
        <f t="shared" si="316"/>
        <v>1578</v>
      </c>
      <c r="CH86" s="363">
        <f t="shared" ref="CH86" si="317">SUM(CH82:CH83)</f>
        <v>1499</v>
      </c>
      <c r="CI86" s="371">
        <f t="shared" si="316"/>
        <v>1525</v>
      </c>
      <c r="CJ86" s="364">
        <f t="shared" si="316"/>
        <v>6052</v>
      </c>
      <c r="CK86" s="363">
        <f t="shared" ref="CK86:CO86" si="318">SUM(CK82:CK83)</f>
        <v>1051</v>
      </c>
      <c r="CL86" s="363">
        <f t="shared" si="318"/>
        <v>1163</v>
      </c>
      <c r="CM86" s="363">
        <f t="shared" si="318"/>
        <v>794</v>
      </c>
      <c r="CN86" s="363">
        <f t="shared" si="318"/>
        <v>211</v>
      </c>
      <c r="CO86" s="364">
        <f t="shared" si="318"/>
        <v>3219</v>
      </c>
      <c r="CP86" s="363">
        <f>SUM(CP82:CP83)</f>
        <v>727</v>
      </c>
      <c r="CQ86" s="363">
        <f t="shared" ref="CQ86" si="319">SUM(CQ82:CQ83)</f>
        <v>792</v>
      </c>
      <c r="CR86" s="363">
        <f t="shared" ref="CR86:CT86" si="320">SUM(CR82:CR83)</f>
        <v>520</v>
      </c>
      <c r="CS86" s="363">
        <f t="shared" si="320"/>
        <v>1069</v>
      </c>
      <c r="CT86" s="364">
        <f t="shared" si="320"/>
        <v>3108</v>
      </c>
      <c r="CU86" s="363">
        <f t="shared" ref="CU86:CY86" si="321">SUM(CU82:CU83)</f>
        <v>712</v>
      </c>
      <c r="CV86" s="363">
        <f t="shared" si="321"/>
        <v>529.60475117948033</v>
      </c>
      <c r="CW86" s="363">
        <f t="shared" si="321"/>
        <v>408.60487730971909</v>
      </c>
      <c r="CX86" s="363">
        <f t="shared" si="321"/>
        <v>207.00722704759656</v>
      </c>
      <c r="CY86" s="364">
        <f t="shared" si="321"/>
        <v>1857.2168555367962</v>
      </c>
      <c r="CZ86" s="363">
        <f t="shared" ref="CZ86:DD86" si="322">SUM(CZ82:CZ83)</f>
        <v>656.35025942299183</v>
      </c>
      <c r="DA86" s="363">
        <f t="shared" si="322"/>
        <v>477.69452366386821</v>
      </c>
      <c r="DB86" s="363">
        <f t="shared" si="322"/>
        <v>407.72443122737849</v>
      </c>
      <c r="DC86" s="363">
        <f t="shared" si="322"/>
        <v>205.24279405714054</v>
      </c>
      <c r="DD86" s="364">
        <f t="shared" si="322"/>
        <v>1747.0120083713791</v>
      </c>
      <c r="DE86" s="363">
        <f t="shared" ref="DE86:DI86" si="323">SUM(DE82:DE83)</f>
        <v>709.11736932745578</v>
      </c>
      <c r="DF86" s="363">
        <f t="shared" si="323"/>
        <v>528.82942396289877</v>
      </c>
      <c r="DG86" s="363">
        <f t="shared" si="323"/>
        <v>458.57983918153701</v>
      </c>
      <c r="DH86" s="363">
        <f t="shared" si="323"/>
        <v>250.38502565719517</v>
      </c>
      <c r="DI86" s="364">
        <f t="shared" si="323"/>
        <v>1946.9116581290868</v>
      </c>
      <c r="DP86" s="43"/>
      <c r="DQ86" s="380"/>
      <c r="DR86" s="380"/>
      <c r="DS86" s="380"/>
      <c r="DT86" s="380"/>
    </row>
    <row r="87" spans="1:124" ht="12" customHeight="1">
      <c r="A87" s="219"/>
      <c r="B87" s="74"/>
      <c r="C87" s="9"/>
      <c r="D87" s="41"/>
      <c r="E87" s="9"/>
      <c r="F87" s="41"/>
      <c r="G87" s="9"/>
      <c r="H87" s="41"/>
      <c r="I87" s="9"/>
      <c r="J87" s="41"/>
      <c r="K87" s="9"/>
      <c r="L87" s="41"/>
      <c r="M87" s="9"/>
      <c r="N87" s="41"/>
      <c r="O87" s="41"/>
      <c r="P87" s="9"/>
      <c r="Q87" s="41"/>
      <c r="R87" s="9"/>
      <c r="S87" s="9"/>
      <c r="T87" s="9"/>
      <c r="U87" s="9"/>
      <c r="V87" s="12"/>
      <c r="W87" s="9"/>
      <c r="X87" s="9"/>
      <c r="Y87" s="9"/>
      <c r="Z87" s="9"/>
      <c r="AA87" s="12"/>
      <c r="AB87" s="41"/>
      <c r="AC87" s="9"/>
      <c r="AD87" s="9"/>
      <c r="AE87" s="9"/>
      <c r="AF87" s="9"/>
      <c r="AG87" s="12"/>
      <c r="AH87" s="43"/>
      <c r="AI87" s="43"/>
      <c r="AJ87" s="43"/>
      <c r="AK87" s="43"/>
      <c r="AL87" s="12"/>
      <c r="AM87" s="43"/>
      <c r="AN87" s="43"/>
      <c r="AO87" s="43"/>
      <c r="AP87" s="43"/>
      <c r="AQ87" s="12"/>
      <c r="AR87" s="43"/>
      <c r="AS87" s="43"/>
      <c r="AT87" s="43"/>
      <c r="AU87" s="43"/>
      <c r="AV87" s="12"/>
      <c r="AW87" s="43"/>
      <c r="AX87" s="43"/>
      <c r="AY87" s="43"/>
      <c r="AZ87" s="43"/>
      <c r="BA87" s="12"/>
      <c r="BB87" s="43"/>
      <c r="BC87" s="43"/>
      <c r="BD87" s="43"/>
      <c r="BE87" s="43"/>
      <c r="BF87" s="12"/>
      <c r="BG87" s="43"/>
      <c r="BH87" s="43"/>
      <c r="BI87" s="43"/>
      <c r="BJ87" s="43"/>
      <c r="BK87" s="12"/>
      <c r="BL87" s="43"/>
      <c r="BM87" s="43"/>
      <c r="BN87" s="43"/>
      <c r="BO87" s="43"/>
      <c r="BP87" s="12"/>
      <c r="BQ87" s="43"/>
      <c r="BR87" s="43"/>
      <c r="BS87" s="43"/>
      <c r="BT87" s="43"/>
      <c r="BU87" s="12"/>
      <c r="BV87" s="43"/>
      <c r="BW87" s="43"/>
      <c r="BX87" s="43"/>
      <c r="BY87" s="43"/>
      <c r="BZ87" s="12"/>
      <c r="CA87" s="43"/>
      <c r="CB87" s="43"/>
      <c r="CC87" s="43"/>
      <c r="CD87" s="43"/>
      <c r="CE87" s="12"/>
      <c r="CF87" s="369"/>
      <c r="CG87" s="369"/>
      <c r="CH87" s="369"/>
      <c r="CI87" s="369"/>
      <c r="CJ87" s="12"/>
      <c r="CK87" s="43"/>
      <c r="CL87" s="43"/>
      <c r="CM87" s="43"/>
      <c r="CN87" s="43"/>
      <c r="CO87" s="12"/>
      <c r="CP87" s="43"/>
      <c r="CQ87" s="43"/>
      <c r="CR87" s="43"/>
      <c r="CS87" s="43"/>
      <c r="CT87" s="12"/>
      <c r="CU87" s="43"/>
      <c r="CV87" s="43"/>
      <c r="CW87" s="43"/>
      <c r="CX87" s="43"/>
      <c r="CY87" s="12"/>
      <c r="CZ87" s="43"/>
      <c r="DA87" s="43"/>
      <c r="DB87" s="43"/>
      <c r="DC87" s="43"/>
      <c r="DD87" s="12"/>
      <c r="DE87" s="43"/>
      <c r="DF87" s="43"/>
      <c r="DG87" s="43"/>
      <c r="DH87" s="43"/>
      <c r="DI87" s="12"/>
      <c r="DT87" s="226"/>
    </row>
    <row r="88" spans="1:124" s="7" customFormat="1" ht="12" customHeight="1">
      <c r="A88" s="219"/>
      <c r="B88" s="417" t="s">
        <v>7</v>
      </c>
      <c r="C88" s="418"/>
      <c r="D88" s="419"/>
      <c r="E88" s="418"/>
      <c r="F88" s="419"/>
      <c r="G88" s="418"/>
      <c r="H88" s="419"/>
      <c r="I88" s="418"/>
      <c r="J88" s="419"/>
      <c r="K88" s="418"/>
      <c r="L88" s="419"/>
      <c r="M88" s="418"/>
      <c r="N88" s="419"/>
      <c r="O88" s="419"/>
      <c r="P88" s="418"/>
      <c r="Q88" s="419">
        <v>1936</v>
      </c>
      <c r="R88" s="418">
        <v>1911.6</v>
      </c>
      <c r="S88" s="418">
        <v>1914</v>
      </c>
      <c r="T88" s="418">
        <v>1896.4</v>
      </c>
      <c r="U88" s="418">
        <v>1872</v>
      </c>
      <c r="V88" s="419">
        <v>1872</v>
      </c>
      <c r="W88" s="418">
        <v>1856</v>
      </c>
      <c r="X88" s="418">
        <v>1836</v>
      </c>
      <c r="Y88" s="418">
        <v>1832</v>
      </c>
      <c r="Z88" s="418">
        <v>1836</v>
      </c>
      <c r="AA88" s="419">
        <v>1836</v>
      </c>
      <c r="AB88" s="419"/>
      <c r="AC88" s="418">
        <v>1804</v>
      </c>
      <c r="AD88" s="418">
        <v>1792</v>
      </c>
      <c r="AE88" s="418">
        <v>1788</v>
      </c>
      <c r="AF88" s="418">
        <v>1788</v>
      </c>
      <c r="AG88" s="419">
        <v>1788</v>
      </c>
      <c r="AH88" s="418">
        <v>1778</v>
      </c>
      <c r="AI88" s="418">
        <v>1776</v>
      </c>
      <c r="AJ88" s="418">
        <v>1788</v>
      </c>
      <c r="AK88" s="418">
        <v>1740</v>
      </c>
      <c r="AL88" s="419">
        <v>1740</v>
      </c>
      <c r="AM88" s="418">
        <v>1728</v>
      </c>
      <c r="AN88" s="418">
        <v>1728</v>
      </c>
      <c r="AO88" s="418">
        <v>1720</v>
      </c>
      <c r="AP88" s="418">
        <v>1710.703178</v>
      </c>
      <c r="AQ88" s="419">
        <v>1710.703178</v>
      </c>
      <c r="AR88" s="418">
        <v>1704.38752</v>
      </c>
      <c r="AS88" s="418">
        <v>1706.6</v>
      </c>
      <c r="AT88" s="418">
        <v>1737.3</v>
      </c>
      <c r="AU88" s="418">
        <v>1677.618635</v>
      </c>
      <c r="AV88" s="419">
        <v>1677.618635</v>
      </c>
      <c r="AW88" s="418">
        <v>1665.4342059999999</v>
      </c>
      <c r="AX88" s="418">
        <v>1654.4771300000002</v>
      </c>
      <c r="AY88" s="418">
        <v>1650.766552</v>
      </c>
      <c r="AZ88" s="418">
        <v>1643.1950650000001</v>
      </c>
      <c r="BA88" s="419">
        <v>1643.1950650000001</v>
      </c>
      <c r="BB88" s="418">
        <f>1302.2727+329.245752</f>
        <v>1631.518452</v>
      </c>
      <c r="BC88" s="418">
        <v>1626.9406329999999</v>
      </c>
      <c r="BD88" s="418">
        <f>329.065752+1282.69364</f>
        <v>1611.7593919999999</v>
      </c>
      <c r="BE88" s="418">
        <v>1600.5545380000001</v>
      </c>
      <c r="BF88" s="419">
        <f t="shared" ref="BF88:BP88" si="324">+BF348</f>
        <v>1600.5545380000001</v>
      </c>
      <c r="BG88" s="418">
        <v>1588.108352</v>
      </c>
      <c r="BH88" s="420">
        <v>1573.7975449999999</v>
      </c>
      <c r="BI88" s="418">
        <f>315.024752+1256.724839</f>
        <v>1571.749591</v>
      </c>
      <c r="BJ88" s="420">
        <f>315.024752+1251.863621</f>
        <v>1566.888373</v>
      </c>
      <c r="BK88" s="419">
        <f t="shared" si="324"/>
        <v>1566.888373</v>
      </c>
      <c r="BL88" s="420">
        <f>315.024752+1246.027581</f>
        <v>1561.0523330000001</v>
      </c>
      <c r="BM88" s="420">
        <f>315.017252+1242.355516</f>
        <v>1557.3727680000002</v>
      </c>
      <c r="BN88" s="420">
        <f>315.017252+1240.017482</f>
        <v>1555.0347339999998</v>
      </c>
      <c r="BO88" s="420">
        <f>315.017252+1244.871297</f>
        <v>1559.8885489999998</v>
      </c>
      <c r="BP88" s="419">
        <f t="shared" si="324"/>
        <v>1559.8885489999998</v>
      </c>
      <c r="BQ88" s="420">
        <f>315.017252+1254.809281</f>
        <v>1569.8265329999999</v>
      </c>
      <c r="BR88" s="420">
        <f>305.011252+1271.478759</f>
        <v>1576.4900110000001</v>
      </c>
      <c r="BS88" s="418">
        <f>305.011252+1274.955822</f>
        <v>1579.9670739999999</v>
      </c>
      <c r="BT88" s="418">
        <f>305.011252+1276.789972</f>
        <v>1581.801224</v>
      </c>
      <c r="BU88" s="419">
        <f t="shared" ref="BU88:BZ88" si="325">+BU348</f>
        <v>1581.801224</v>
      </c>
      <c r="BV88" s="418">
        <f>1277.806465+305.011252</f>
        <v>1582.8177169999999</v>
      </c>
      <c r="BW88" s="418">
        <f>1276.288021+305.007252</f>
        <v>1581.2952730000002</v>
      </c>
      <c r="BX88" s="418">
        <f>1268.760217+305.007252</f>
        <v>1573.7674689999999</v>
      </c>
      <c r="BY88" s="418">
        <f>1263.652653+304.903252</f>
        <v>1568.5559050000002</v>
      </c>
      <c r="BZ88" s="419">
        <f t="shared" si="325"/>
        <v>1568.5559050000002</v>
      </c>
      <c r="CA88" s="418">
        <f>1259.687689+304.903252</f>
        <v>1564.5909410000002</v>
      </c>
      <c r="CB88" s="420">
        <f>1245.665731+304.897252</f>
        <v>1550.562983</v>
      </c>
      <c r="CC88" s="420">
        <f>304.897252+1232.091564</f>
        <v>1536.988816</v>
      </c>
      <c r="CD88" s="421">
        <f>304.897252+1225.074356</f>
        <v>1529.9716080000001</v>
      </c>
      <c r="CE88" s="419">
        <f t="shared" ref="CE88" si="326">+CE348</f>
        <v>1529.9716080000001</v>
      </c>
      <c r="CF88" s="420">
        <f>297.897252+1224.012873</f>
        <v>1521.9101249999999</v>
      </c>
      <c r="CG88" s="420">
        <f>297.897252+1217.224816</f>
        <v>1515.1220679999999</v>
      </c>
      <c r="CH88" s="420">
        <f>297.897252+1211.461555</f>
        <v>1509.3588070000001</v>
      </c>
      <c r="CI88" s="420">
        <f>298+1205</f>
        <v>1503</v>
      </c>
      <c r="CJ88" s="419">
        <f t="shared" ref="CJ88" si="327">+CJ348</f>
        <v>1503</v>
      </c>
      <c r="CK88" s="420">
        <f>298+1193</f>
        <v>1491</v>
      </c>
      <c r="CL88" s="420">
        <f>298+1184</f>
        <v>1482</v>
      </c>
      <c r="CM88" s="420">
        <f>298+1179</f>
        <v>1477</v>
      </c>
      <c r="CN88" s="420">
        <f>290+1186</f>
        <v>1476</v>
      </c>
      <c r="CO88" s="419">
        <f t="shared" ref="CO88" si="328">+CO348</f>
        <v>1476</v>
      </c>
      <c r="CP88" s="420">
        <f>289+1188</f>
        <v>1477</v>
      </c>
      <c r="CQ88" s="420">
        <f>289+1191</f>
        <v>1480</v>
      </c>
      <c r="CR88" s="420">
        <f>281+1199</f>
        <v>1480</v>
      </c>
      <c r="CS88" s="420">
        <f>290+1186</f>
        <v>1476</v>
      </c>
      <c r="CT88" s="419">
        <f t="shared" ref="CT88" si="329">+CT348</f>
        <v>1476</v>
      </c>
      <c r="CU88" s="418">
        <v>1476</v>
      </c>
      <c r="CV88" s="418">
        <f t="shared" ref="CV88:CY88" si="330">+CV348</f>
        <v>1476</v>
      </c>
      <c r="CW88" s="418">
        <f t="shared" si="330"/>
        <v>1476</v>
      </c>
      <c r="CX88" s="418">
        <f t="shared" si="330"/>
        <v>1476</v>
      </c>
      <c r="CY88" s="419">
        <f t="shared" si="330"/>
        <v>1476</v>
      </c>
      <c r="CZ88" s="418">
        <f t="shared" ref="CZ88:DD88" si="331">+CZ348</f>
        <v>1476</v>
      </c>
      <c r="DA88" s="418">
        <f t="shared" si="331"/>
        <v>1476</v>
      </c>
      <c r="DB88" s="418">
        <f t="shared" si="331"/>
        <v>1476</v>
      </c>
      <c r="DC88" s="418">
        <f t="shared" si="331"/>
        <v>1476</v>
      </c>
      <c r="DD88" s="419">
        <f t="shared" si="331"/>
        <v>1476</v>
      </c>
      <c r="DE88" s="418">
        <f t="shared" ref="DE88:DI88" si="332">+DE348</f>
        <v>1470.9723705749875</v>
      </c>
      <c r="DF88" s="418">
        <f t="shared" si="332"/>
        <v>1466.0433221190929</v>
      </c>
      <c r="DG88" s="418">
        <f t="shared" si="332"/>
        <v>1461.2109216721374</v>
      </c>
      <c r="DH88" s="418">
        <f t="shared" si="332"/>
        <v>1456.4732741751222</v>
      </c>
      <c r="DI88" s="419">
        <f t="shared" si="332"/>
        <v>1456.4732741751222</v>
      </c>
      <c r="DJ88" s="422"/>
      <c r="DK88" s="422"/>
      <c r="DL88" s="422"/>
      <c r="DM88" s="422"/>
    </row>
    <row r="89" spans="1:124" s="7" customFormat="1" ht="12" customHeight="1">
      <c r="A89" s="219"/>
      <c r="B89" s="20" t="s">
        <v>8</v>
      </c>
      <c r="C89" s="43">
        <v>1146.5</v>
      </c>
      <c r="D89" s="36">
        <v>1154.3499999999999</v>
      </c>
      <c r="E89" s="43">
        <v>2311.6999999999998</v>
      </c>
      <c r="F89" s="36">
        <v>2264.7999999999997</v>
      </c>
      <c r="G89" s="43">
        <v>2198.1999999999998</v>
      </c>
      <c r="H89" s="36">
        <v>2159</v>
      </c>
      <c r="I89" s="43">
        <v>2142.4</v>
      </c>
      <c r="J89" s="36">
        <v>2123</v>
      </c>
      <c r="K89" s="43">
        <v>2105.8000000000002</v>
      </c>
      <c r="L89" s="36">
        <v>2100.3999999999996</v>
      </c>
      <c r="M89" s="43">
        <v>2071</v>
      </c>
      <c r="N89" s="36">
        <v>2015.2</v>
      </c>
      <c r="O89" s="36">
        <v>1982.3000000000002</v>
      </c>
      <c r="P89" s="43">
        <v>1940.0707759027114</v>
      </c>
      <c r="Q89" s="36">
        <v>1938</v>
      </c>
      <c r="R89" s="43">
        <v>1918.4</v>
      </c>
      <c r="S89" s="43">
        <v>1911.6</v>
      </c>
      <c r="T89" s="43">
        <v>1901.2</v>
      </c>
      <c r="U89" s="43">
        <v>1877.2</v>
      </c>
      <c r="V89" s="36">
        <v>1902</v>
      </c>
      <c r="W89" s="43">
        <v>1860</v>
      </c>
      <c r="X89" s="43">
        <v>1837</v>
      </c>
      <c r="Y89" s="43">
        <v>1837</v>
      </c>
      <c r="Z89" s="43">
        <v>1832.4</v>
      </c>
      <c r="AA89" s="36">
        <f>(460*2)*2</f>
        <v>1840</v>
      </c>
      <c r="AB89" s="36"/>
      <c r="AC89" s="43">
        <f>(452.8*2)*2</f>
        <v>1811.2</v>
      </c>
      <c r="AD89" s="43">
        <f>(448.5*2)*2</f>
        <v>1794</v>
      </c>
      <c r="AE89" s="43">
        <v>1787.8</v>
      </c>
      <c r="AF89" s="43">
        <v>1785.2</v>
      </c>
      <c r="AG89" s="36">
        <f>2*897.3</f>
        <v>1794.6</v>
      </c>
      <c r="AH89" s="43">
        <v>1778.8</v>
      </c>
      <c r="AI89" s="43">
        <v>1760</v>
      </c>
      <c r="AJ89" s="43">
        <v>1764.6</v>
      </c>
      <c r="AK89" s="43">
        <v>1747.4</v>
      </c>
      <c r="AL89" s="36">
        <f>AVERAGE(AH89:AK89)</f>
        <v>1762.6999999999998</v>
      </c>
      <c r="AM89" s="43">
        <v>1729.8</v>
      </c>
      <c r="AN89" s="43">
        <v>1726.2</v>
      </c>
      <c r="AO89" s="43">
        <v>1722.8</v>
      </c>
      <c r="AP89" s="43">
        <v>1715</v>
      </c>
      <c r="AQ89" s="36">
        <v>1723.5</v>
      </c>
      <c r="AR89" s="43">
        <v>1709</v>
      </c>
      <c r="AS89" s="43">
        <v>1706.6</v>
      </c>
      <c r="AT89" s="43">
        <v>1693.8</v>
      </c>
      <c r="AU89" s="43">
        <v>1682.4</v>
      </c>
      <c r="AV89" s="36">
        <v>1697.9</v>
      </c>
      <c r="AW89" s="43">
        <v>1672</v>
      </c>
      <c r="AX89" s="43">
        <v>1659.1</v>
      </c>
      <c r="AY89" s="43">
        <v>1653.1</v>
      </c>
      <c r="AZ89" s="43">
        <v>1646.9</v>
      </c>
      <c r="BA89" s="36">
        <v>1657.8</v>
      </c>
      <c r="BB89" s="43">
        <v>1639.1</v>
      </c>
      <c r="BC89" s="43">
        <v>1627</v>
      </c>
      <c r="BD89" s="43">
        <v>1623.5</v>
      </c>
      <c r="BE89" s="43">
        <v>1605.7</v>
      </c>
      <c r="BF89" s="36">
        <f t="shared" ref="BF89:BP89" si="333">+BF349</f>
        <v>1623.825</v>
      </c>
      <c r="BG89" s="43">
        <v>1594</v>
      </c>
      <c r="BH89" s="43">
        <v>1581.4</v>
      </c>
      <c r="BI89" s="43">
        <v>1572.8</v>
      </c>
      <c r="BJ89" s="43">
        <v>1570.2</v>
      </c>
      <c r="BK89" s="36">
        <f t="shared" si="333"/>
        <v>1579.6</v>
      </c>
      <c r="BL89" s="43">
        <v>1562.4</v>
      </c>
      <c r="BM89" s="43">
        <v>1560.6</v>
      </c>
      <c r="BN89" s="43">
        <v>1556.3</v>
      </c>
      <c r="BO89" s="43">
        <v>1555.7</v>
      </c>
      <c r="BP89" s="36">
        <f t="shared" si="333"/>
        <v>1558.75</v>
      </c>
      <c r="BQ89" s="43">
        <v>1561.8</v>
      </c>
      <c r="BR89" s="43">
        <v>1573</v>
      </c>
      <c r="BS89" s="43">
        <v>1578</v>
      </c>
      <c r="BT89" s="43">
        <v>1579</v>
      </c>
      <c r="BU89" s="36">
        <f t="shared" ref="BU89:BZ89" si="334">+BU349</f>
        <v>1572.95</v>
      </c>
      <c r="BV89" s="43">
        <v>1581.9</v>
      </c>
      <c r="BW89" s="43">
        <v>1582.38</v>
      </c>
      <c r="BX89" s="43">
        <v>1579</v>
      </c>
      <c r="BY89" s="43">
        <v>1572</v>
      </c>
      <c r="BZ89" s="36">
        <f t="shared" si="334"/>
        <v>1578.8200000000002</v>
      </c>
      <c r="CA89" s="43">
        <v>1567.1</v>
      </c>
      <c r="CB89" s="43">
        <v>1559</v>
      </c>
      <c r="CC89" s="43">
        <v>1543.8</v>
      </c>
      <c r="CD89" s="369">
        <v>1536.5</v>
      </c>
      <c r="CE89" s="36">
        <f t="shared" ref="CE89" si="335">+CE349</f>
        <v>1551.6</v>
      </c>
      <c r="CF89" s="43">
        <v>1528.4</v>
      </c>
      <c r="CG89" s="43">
        <v>1520.8</v>
      </c>
      <c r="CH89" s="369">
        <v>1513.2</v>
      </c>
      <c r="CI89" s="369">
        <v>1508</v>
      </c>
      <c r="CJ89" s="36">
        <f t="shared" ref="CJ89" si="336">+CJ349</f>
        <v>1517.6</v>
      </c>
      <c r="CK89" s="43">
        <v>1497.7</v>
      </c>
      <c r="CL89" s="43">
        <v>1486.8</v>
      </c>
      <c r="CM89" s="43">
        <v>1478.1</v>
      </c>
      <c r="CN89" s="43">
        <v>1476.7</v>
      </c>
      <c r="CO89" s="36">
        <f t="shared" ref="CO89" si="337">+CO349</f>
        <v>1484.825</v>
      </c>
      <c r="CP89" s="43">
        <v>1476.6</v>
      </c>
      <c r="CQ89" s="43">
        <v>1479.5</v>
      </c>
      <c r="CR89" s="43">
        <v>1480.5</v>
      </c>
      <c r="CS89" s="43">
        <v>1482.6</v>
      </c>
      <c r="CT89" s="36">
        <f t="shared" ref="CT89" si="338">+CT349</f>
        <v>1479.8000000000002</v>
      </c>
      <c r="CU89" s="369">
        <v>1483.6</v>
      </c>
      <c r="CV89" s="43">
        <f t="shared" ref="CV89:CY89" si="339">+CV349</f>
        <v>1476</v>
      </c>
      <c r="CW89" s="43">
        <f t="shared" si="339"/>
        <v>1476</v>
      </c>
      <c r="CX89" s="43">
        <f t="shared" si="339"/>
        <v>1476</v>
      </c>
      <c r="CY89" s="36">
        <f t="shared" si="339"/>
        <v>1477.9</v>
      </c>
      <c r="CZ89" s="43">
        <f t="shared" ref="CZ89:DD89" si="340">+CZ349</f>
        <v>1476</v>
      </c>
      <c r="DA89" s="43">
        <f t="shared" si="340"/>
        <v>1476</v>
      </c>
      <c r="DB89" s="43">
        <f t="shared" si="340"/>
        <v>1476</v>
      </c>
      <c r="DC89" s="43">
        <f t="shared" si="340"/>
        <v>1476</v>
      </c>
      <c r="DD89" s="36">
        <f t="shared" si="340"/>
        <v>1476</v>
      </c>
      <c r="DE89" s="43">
        <f t="shared" ref="DE89:DI89" si="341">+DE349</f>
        <v>1473.4861852874938</v>
      </c>
      <c r="DF89" s="43">
        <f t="shared" si="341"/>
        <v>1468.5078463470402</v>
      </c>
      <c r="DG89" s="43">
        <f t="shared" si="341"/>
        <v>1463.6271218956151</v>
      </c>
      <c r="DH89" s="43">
        <f t="shared" si="341"/>
        <v>1458.8420979236298</v>
      </c>
      <c r="DI89" s="36">
        <f t="shared" si="341"/>
        <v>1466.1158128634447</v>
      </c>
    </row>
    <row r="90" spans="1:124" s="7" customFormat="1" ht="12" customHeight="1">
      <c r="A90" s="219"/>
      <c r="B90" s="201" t="s">
        <v>9</v>
      </c>
      <c r="C90" s="45">
        <v>1175.3500000000001</v>
      </c>
      <c r="D90" s="44">
        <v>1188.0999999999999</v>
      </c>
      <c r="E90" s="45">
        <v>2349</v>
      </c>
      <c r="F90" s="44">
        <v>2306.4</v>
      </c>
      <c r="G90" s="45">
        <v>2235</v>
      </c>
      <c r="H90" s="44">
        <v>2186.1999999999998</v>
      </c>
      <c r="I90" s="45">
        <v>2177.1999999999998</v>
      </c>
      <c r="J90" s="44">
        <v>2134.6</v>
      </c>
      <c r="K90" s="45">
        <v>2157.2000000000003</v>
      </c>
      <c r="L90" s="44">
        <v>2161</v>
      </c>
      <c r="M90" s="45">
        <v>2114.1999999999998</v>
      </c>
      <c r="N90" s="44">
        <v>2040.4</v>
      </c>
      <c r="O90" s="44">
        <v>2016.1</v>
      </c>
      <c r="P90" s="45">
        <v>1962.5881017091829</v>
      </c>
      <c r="Q90" s="44">
        <v>1975.6</v>
      </c>
      <c r="R90" s="45">
        <v>1954.4</v>
      </c>
      <c r="S90" s="45">
        <v>1950.4</v>
      </c>
      <c r="T90" s="45">
        <v>1942</v>
      </c>
      <c r="U90" s="45">
        <v>1914.8</v>
      </c>
      <c r="V90" s="44">
        <v>1942.8</v>
      </c>
      <c r="W90" s="45">
        <v>1897.2</v>
      </c>
      <c r="X90" s="45">
        <v>1873.8</v>
      </c>
      <c r="Y90" s="45">
        <v>1873.8</v>
      </c>
      <c r="Z90" s="45">
        <v>1872.4</v>
      </c>
      <c r="AA90" s="44">
        <f>(469.8*2)*2</f>
        <v>1879.2</v>
      </c>
      <c r="AB90" s="44">
        <f>(AA90)</f>
        <v>1879.2</v>
      </c>
      <c r="AC90" s="45">
        <f>(464.4*2)*2</f>
        <v>1857.6</v>
      </c>
      <c r="AD90" s="45">
        <f>(456.6*2)*2</f>
        <v>1826.4</v>
      </c>
      <c r="AE90" s="45">
        <v>1823.4</v>
      </c>
      <c r="AF90" s="45">
        <v>1826.8</v>
      </c>
      <c r="AG90" s="44">
        <v>1832.84</v>
      </c>
      <c r="AH90" s="45">
        <v>1821.4</v>
      </c>
      <c r="AI90" s="45">
        <v>1821.2</v>
      </c>
      <c r="AJ90" s="45">
        <v>1809.6</v>
      </c>
      <c r="AK90" s="45">
        <v>1790.4</v>
      </c>
      <c r="AL90" s="44">
        <f>AVERAGE(AH90:AK90)</f>
        <v>1810.65</v>
      </c>
      <c r="AM90" s="45">
        <v>1772.4</v>
      </c>
      <c r="AN90" s="45">
        <v>1769.6</v>
      </c>
      <c r="AO90" s="45">
        <v>1767.6</v>
      </c>
      <c r="AP90" s="45">
        <v>1759.6</v>
      </c>
      <c r="AQ90" s="44">
        <v>1768.8</v>
      </c>
      <c r="AR90" s="45">
        <v>1754.6</v>
      </c>
      <c r="AS90" s="45">
        <v>1751.4</v>
      </c>
      <c r="AT90" s="45">
        <v>1737.3</v>
      </c>
      <c r="AU90" s="45">
        <v>1723.1</v>
      </c>
      <c r="AV90" s="44">
        <v>1742.5</v>
      </c>
      <c r="AW90" s="45">
        <v>1708.9</v>
      </c>
      <c r="AX90" s="45">
        <v>1693.2</v>
      </c>
      <c r="AY90" s="45">
        <v>1686.3</v>
      </c>
      <c r="AZ90" s="45">
        <v>1678.6</v>
      </c>
      <c r="BA90" s="44">
        <v>1692</v>
      </c>
      <c r="BB90" s="45">
        <v>1676.9</v>
      </c>
      <c r="BC90" s="45">
        <v>1660.9</v>
      </c>
      <c r="BD90" s="45">
        <v>1623.5</v>
      </c>
      <c r="BE90" s="45">
        <v>1641.2</v>
      </c>
      <c r="BF90" s="44">
        <f t="shared" ref="BF90:BP90" si="342">+BF350</f>
        <v>1650.625</v>
      </c>
      <c r="BG90" s="45">
        <v>1634.4</v>
      </c>
      <c r="BH90" s="45">
        <v>1620.7</v>
      </c>
      <c r="BI90" s="45">
        <v>1609.6</v>
      </c>
      <c r="BJ90" s="45">
        <v>1607.5</v>
      </c>
      <c r="BK90" s="44">
        <f t="shared" si="342"/>
        <v>1618.0500000000002</v>
      </c>
      <c r="BL90" s="45">
        <v>1597.5</v>
      </c>
      <c r="BM90" s="45">
        <v>1594.4</v>
      </c>
      <c r="BN90" s="45">
        <v>1591.6</v>
      </c>
      <c r="BO90" s="45">
        <v>1555.7</v>
      </c>
      <c r="BP90" s="44">
        <f t="shared" si="342"/>
        <v>1584.8</v>
      </c>
      <c r="BQ90" s="45">
        <v>1593.3</v>
      </c>
      <c r="BR90" s="45">
        <v>1609.5</v>
      </c>
      <c r="BS90" s="45">
        <v>1616.9</v>
      </c>
      <c r="BT90" s="45">
        <v>1614.9</v>
      </c>
      <c r="BU90" s="44">
        <f t="shared" ref="BU90:BZ90" si="343">+BU350</f>
        <v>1608.65</v>
      </c>
      <c r="BV90" s="45">
        <v>1619.6</v>
      </c>
      <c r="BW90" s="45">
        <v>1617.4</v>
      </c>
      <c r="BX90" s="45">
        <v>1610.7</v>
      </c>
      <c r="BY90" s="45">
        <v>1595</v>
      </c>
      <c r="BZ90" s="44">
        <f t="shared" si="343"/>
        <v>1610.675</v>
      </c>
      <c r="CA90" s="45">
        <v>1585.8</v>
      </c>
      <c r="CB90" s="45">
        <v>1572.4</v>
      </c>
      <c r="CC90" s="45">
        <v>1564.8</v>
      </c>
      <c r="CD90" s="423">
        <v>1556.3</v>
      </c>
      <c r="CE90" s="44">
        <f t="shared" ref="CE90" si="344">+CE350</f>
        <v>1569.825</v>
      </c>
      <c r="CF90" s="45">
        <v>1543.3</v>
      </c>
      <c r="CG90" s="45">
        <v>1532.1</v>
      </c>
      <c r="CH90" s="423">
        <v>1526.5</v>
      </c>
      <c r="CI90" s="423">
        <v>1516.7</v>
      </c>
      <c r="CJ90" s="44">
        <f t="shared" ref="CJ90" si="345">+CJ350</f>
        <v>1529.6499999999999</v>
      </c>
      <c r="CK90" s="45">
        <v>1502</v>
      </c>
      <c r="CL90" s="45">
        <v>1490</v>
      </c>
      <c r="CM90" s="45">
        <v>1480.6</v>
      </c>
      <c r="CN90" s="45">
        <v>1477.7</v>
      </c>
      <c r="CO90" s="44">
        <f t="shared" ref="CO90" si="346">+CO350</f>
        <v>1487.575</v>
      </c>
      <c r="CP90" s="45">
        <v>1479</v>
      </c>
      <c r="CQ90" s="45">
        <v>1481</v>
      </c>
      <c r="CR90" s="45">
        <v>1481.6</v>
      </c>
      <c r="CS90" s="45">
        <v>1482.9</v>
      </c>
      <c r="CT90" s="44">
        <f t="shared" ref="CT90" si="347">+CT350</f>
        <v>1481.125</v>
      </c>
      <c r="CU90" s="423">
        <v>1484.2</v>
      </c>
      <c r="CV90" s="45">
        <f t="shared" ref="CV90:CY90" si="348">+CV350</f>
        <v>1453.7028108887287</v>
      </c>
      <c r="CW90" s="45">
        <f t="shared" si="348"/>
        <v>1454.0576577340478</v>
      </c>
      <c r="CX90" s="45">
        <f t="shared" si="348"/>
        <v>1454.3467232686744</v>
      </c>
      <c r="CY90" s="44">
        <f t="shared" si="348"/>
        <v>1461.5767979728628</v>
      </c>
      <c r="CZ90" s="45">
        <f t="shared" ref="CZ90:DD90" si="349">+CZ350</f>
        <v>1455.5712973222298</v>
      </c>
      <c r="DA90" s="45">
        <f t="shared" si="349"/>
        <v>1455.7326444335586</v>
      </c>
      <c r="DB90" s="45">
        <f t="shared" si="349"/>
        <v>1455.832004346626</v>
      </c>
      <c r="DC90" s="45">
        <f t="shared" si="349"/>
        <v>1456.8705924966921</v>
      </c>
      <c r="DD90" s="44">
        <f t="shared" si="349"/>
        <v>1456.0016346497769</v>
      </c>
      <c r="DE90" s="45">
        <f t="shared" ref="DE90:DI90" si="350">+DE350</f>
        <v>1454.335785774447</v>
      </c>
      <c r="DF90" s="45">
        <f t="shared" si="350"/>
        <v>1449.2780429028767</v>
      </c>
      <c r="DG90" s="45">
        <f t="shared" si="350"/>
        <v>1445.260647930749</v>
      </c>
      <c r="DH90" s="45">
        <f t="shared" si="350"/>
        <v>1440.2828097227805</v>
      </c>
      <c r="DI90" s="44">
        <f t="shared" si="350"/>
        <v>1447.2893215827132</v>
      </c>
    </row>
    <row r="91" spans="1:124" ht="12" customHeight="1">
      <c r="A91" s="219"/>
      <c r="B91" s="74"/>
      <c r="C91" s="9"/>
      <c r="D91" s="41"/>
      <c r="E91" s="9"/>
      <c r="F91" s="41"/>
      <c r="G91" s="9"/>
      <c r="H91" s="41"/>
      <c r="I91" s="9"/>
      <c r="J91" s="41"/>
      <c r="K91" s="1"/>
      <c r="L91" s="12"/>
      <c r="M91" s="1"/>
      <c r="N91" s="12"/>
      <c r="O91" s="12"/>
      <c r="P91" s="1"/>
      <c r="Q91" s="12"/>
      <c r="R91" s="1"/>
      <c r="S91" s="1"/>
      <c r="T91" s="1"/>
      <c r="U91" s="1"/>
      <c r="V91" s="16"/>
      <c r="W91" s="1"/>
      <c r="X91" s="1"/>
      <c r="Y91" s="1"/>
      <c r="Z91" s="1"/>
      <c r="AA91" s="16"/>
      <c r="AB91" s="41"/>
      <c r="AC91" s="9"/>
      <c r="AD91" s="9"/>
      <c r="AE91" s="9"/>
      <c r="AF91" s="9"/>
      <c r="AG91" s="16"/>
      <c r="AH91" s="9"/>
      <c r="AI91" s="9"/>
      <c r="AJ91" s="9"/>
      <c r="AK91" s="9"/>
      <c r="AL91" s="16"/>
      <c r="AM91" s="9"/>
      <c r="AN91" s="9"/>
      <c r="AO91" s="9"/>
      <c r="AP91" s="9"/>
      <c r="AQ91" s="16"/>
      <c r="AR91" s="50"/>
      <c r="AS91" s="50"/>
      <c r="AT91" s="50"/>
      <c r="AU91" s="50"/>
      <c r="AV91" s="16"/>
      <c r="AW91" s="50"/>
      <c r="AX91" s="50"/>
      <c r="AY91" s="50"/>
      <c r="AZ91" s="50"/>
      <c r="BA91" s="16"/>
      <c r="BB91" s="50"/>
      <c r="BC91" s="50"/>
      <c r="BD91" s="50"/>
      <c r="BE91" s="50"/>
      <c r="BF91" s="16"/>
      <c r="BG91" s="50"/>
      <c r="BH91" s="50"/>
      <c r="BI91" s="50"/>
      <c r="BJ91" s="50"/>
      <c r="BK91" s="16"/>
      <c r="BL91" s="50"/>
      <c r="BM91" s="50"/>
      <c r="BN91" s="50"/>
      <c r="BO91" s="50"/>
      <c r="BP91" s="16"/>
      <c r="BQ91" s="50"/>
      <c r="BR91" s="50"/>
      <c r="BS91" s="50"/>
      <c r="BT91" s="50"/>
      <c r="BU91" s="16"/>
      <c r="BV91" s="50"/>
      <c r="BW91" s="50"/>
      <c r="BX91" s="50"/>
      <c r="BY91" s="50"/>
      <c r="BZ91" s="16"/>
      <c r="CA91" s="50"/>
      <c r="CB91" s="50"/>
      <c r="CC91" s="50"/>
      <c r="CD91" s="50"/>
      <c r="CE91" s="16"/>
      <c r="CF91" s="50"/>
      <c r="CG91" s="50"/>
      <c r="CH91" s="50"/>
      <c r="CI91" s="228"/>
      <c r="CJ91" s="16"/>
      <c r="CK91" s="50"/>
      <c r="CL91" s="50"/>
      <c r="CM91" s="50"/>
      <c r="CN91" s="50"/>
      <c r="CO91" s="16"/>
      <c r="CP91" s="50"/>
      <c r="CQ91" s="50"/>
      <c r="CR91" s="50"/>
      <c r="CS91" s="50"/>
      <c r="CT91" s="16"/>
      <c r="CU91" s="50"/>
      <c r="CV91" s="50"/>
      <c r="CW91" s="50"/>
      <c r="CX91" s="50"/>
      <c r="CY91" s="16"/>
      <c r="CZ91" s="50"/>
      <c r="DA91" s="50"/>
      <c r="DB91" s="50"/>
      <c r="DC91" s="50"/>
      <c r="DD91" s="16"/>
      <c r="DE91" s="50"/>
      <c r="DF91" s="50"/>
      <c r="DG91" s="50"/>
      <c r="DH91" s="50"/>
      <c r="DI91" s="16"/>
    </row>
    <row r="92" spans="1:124" s="225" customFormat="1" ht="12" customHeight="1">
      <c r="A92" s="221"/>
      <c r="B92" s="222" t="s">
        <v>10</v>
      </c>
      <c r="C92" s="223">
        <f t="shared" ref="C92:AH92" si="351">C86/C90</f>
        <v>0.47065980346279812</v>
      </c>
      <c r="D92" s="224">
        <f t="shared" si="351"/>
        <v>0.66982745560138102</v>
      </c>
      <c r="E92" s="223">
        <f t="shared" si="351"/>
        <v>0.22545764154959511</v>
      </c>
      <c r="F92" s="224">
        <f t="shared" si="351"/>
        <v>0.21527055150884558</v>
      </c>
      <c r="G92" s="223">
        <f t="shared" si="351"/>
        <v>0.25798657718120827</v>
      </c>
      <c r="H92" s="224">
        <f t="shared" si="351"/>
        <v>0.2696917024974842</v>
      </c>
      <c r="I92" s="223">
        <f t="shared" si="351"/>
        <v>0.30695388572478416</v>
      </c>
      <c r="J92" s="224">
        <f t="shared" si="351"/>
        <v>0.34671601236765676</v>
      </c>
      <c r="K92" s="223">
        <f t="shared" si="351"/>
        <v>0.43834600407936219</v>
      </c>
      <c r="L92" s="224">
        <f t="shared" si="351"/>
        <v>0.56066635816751453</v>
      </c>
      <c r="M92" s="223">
        <f t="shared" si="351"/>
        <v>0.65840507047583019</v>
      </c>
      <c r="N92" s="224">
        <f t="shared" si="351"/>
        <v>0.73098412076063557</v>
      </c>
      <c r="O92" s="224">
        <f t="shared" si="351"/>
        <v>0.92421010862556452</v>
      </c>
      <c r="P92" s="223">
        <f t="shared" si="351"/>
        <v>0.95378889659516364</v>
      </c>
      <c r="Q92" s="224">
        <f t="shared" si="351"/>
        <v>0.96512451913342867</v>
      </c>
      <c r="R92" s="223">
        <f t="shared" si="351"/>
        <v>0.2860212853049528</v>
      </c>
      <c r="S92" s="223">
        <f t="shared" si="351"/>
        <v>0.23431091058244474</v>
      </c>
      <c r="T92" s="223">
        <f t="shared" si="351"/>
        <v>0.26930998970133885</v>
      </c>
      <c r="U92" s="223">
        <f t="shared" si="351"/>
        <v>0.31021516607478589</v>
      </c>
      <c r="V92" s="224">
        <f t="shared" si="351"/>
        <v>1.0978999382334775</v>
      </c>
      <c r="W92" s="223">
        <f t="shared" si="351"/>
        <v>0.33997469955724224</v>
      </c>
      <c r="X92" s="223">
        <f t="shared" si="351"/>
        <v>0.25029352118689296</v>
      </c>
      <c r="Y92" s="223">
        <f t="shared" si="351"/>
        <v>0.29885793574554381</v>
      </c>
      <c r="Z92" s="223">
        <f t="shared" si="351"/>
        <v>0.29320657979064302</v>
      </c>
      <c r="AA92" s="224">
        <f t="shared" si="351"/>
        <v>1.1829501915708811</v>
      </c>
      <c r="AB92" s="224">
        <f t="shared" si="351"/>
        <v>1.2010429970200085</v>
      </c>
      <c r="AC92" s="223">
        <f t="shared" si="351"/>
        <v>0.31330749354005172</v>
      </c>
      <c r="AD92" s="223">
        <f t="shared" si="351"/>
        <v>0.28416557161629435</v>
      </c>
      <c r="AE92" s="223">
        <f t="shared" si="351"/>
        <v>0.36196117143797302</v>
      </c>
      <c r="AF92" s="223">
        <f t="shared" si="351"/>
        <v>0.37770965622947233</v>
      </c>
      <c r="AG92" s="224">
        <f t="shared" si="351"/>
        <v>1.3372689378232689</v>
      </c>
      <c r="AH92" s="223">
        <f t="shared" si="351"/>
        <v>0.42769298341934775</v>
      </c>
      <c r="AI92" s="223">
        <f t="shared" ref="AI92:BM92" si="352">AI86/AI90</f>
        <v>0.29321326597847575</v>
      </c>
      <c r="AJ92" s="223">
        <f t="shared" si="352"/>
        <v>0.37687886825817862</v>
      </c>
      <c r="AK92" s="223">
        <f t="shared" si="352"/>
        <v>0.38985701519213584</v>
      </c>
      <c r="AL92" s="224">
        <f t="shared" si="352"/>
        <v>1.4873111865904509</v>
      </c>
      <c r="AM92" s="223">
        <f t="shared" si="352"/>
        <v>0.54276686978108779</v>
      </c>
      <c r="AN92" s="223">
        <f t="shared" si="352"/>
        <v>0.37014014466546113</v>
      </c>
      <c r="AO92" s="223">
        <f t="shared" si="352"/>
        <v>0.44749943426114508</v>
      </c>
      <c r="AP92" s="223">
        <f t="shared" si="352"/>
        <v>0.49158899749943169</v>
      </c>
      <c r="AQ92" s="224">
        <f t="shared" si="352"/>
        <v>1.8504070556309362</v>
      </c>
      <c r="AR92" s="223">
        <f t="shared" si="352"/>
        <v>0.67194802234127438</v>
      </c>
      <c r="AS92" s="223">
        <f t="shared" si="352"/>
        <v>0.44821285828480073</v>
      </c>
      <c r="AT92" s="223">
        <f t="shared" si="352"/>
        <v>0.5468255338744028</v>
      </c>
      <c r="AU92" s="223">
        <f t="shared" si="352"/>
        <v>0.49097556729150954</v>
      </c>
      <c r="AV92" s="224">
        <f t="shared" si="352"/>
        <v>2.1578192252510759</v>
      </c>
      <c r="AW92" s="223">
        <f t="shared" si="352"/>
        <v>0.73087951313710575</v>
      </c>
      <c r="AX92" s="223">
        <f t="shared" si="352"/>
        <v>0.49728325064965745</v>
      </c>
      <c r="AY92" s="223">
        <f t="shared" si="352"/>
        <v>0.67662930676629307</v>
      </c>
      <c r="AZ92" s="223">
        <f t="shared" si="352"/>
        <v>0.60050041701417856</v>
      </c>
      <c r="BA92" s="224">
        <f t="shared" si="352"/>
        <v>2.5059101654846336</v>
      </c>
      <c r="BB92" s="223">
        <f t="shared" si="352"/>
        <v>0.56652155763611423</v>
      </c>
      <c r="BC92" s="223">
        <f t="shared" si="352"/>
        <v>0.46179782045878737</v>
      </c>
      <c r="BD92" s="223">
        <f t="shared" si="352"/>
        <v>0.68309208500153984</v>
      </c>
      <c r="BE92" s="223">
        <f t="shared" si="352"/>
        <v>0.69278576651230805</v>
      </c>
      <c r="BF92" s="224">
        <f t="shared" si="352"/>
        <v>2.4009087466868611</v>
      </c>
      <c r="BG92" s="223">
        <f t="shared" si="352"/>
        <v>0.66813509544787075</v>
      </c>
      <c r="BH92" s="223">
        <f t="shared" si="352"/>
        <v>0.52261368544456099</v>
      </c>
      <c r="BI92" s="223">
        <f t="shared" si="352"/>
        <v>0.68402087475149109</v>
      </c>
      <c r="BJ92" s="223">
        <f t="shared" si="352"/>
        <v>0.61524105754276825</v>
      </c>
      <c r="BK92" s="224">
        <f t="shared" si="352"/>
        <v>2.4900343005469545</v>
      </c>
      <c r="BL92" s="223">
        <f t="shared" si="352"/>
        <v>0.85571205007824724</v>
      </c>
      <c r="BM92" s="223">
        <f t="shared" si="352"/>
        <v>0.69932262920220767</v>
      </c>
      <c r="BN92" s="223">
        <f>BN86/BN90</f>
        <v>0.78348831364664495</v>
      </c>
      <c r="BO92" s="223">
        <f>BO86/BO90</f>
        <v>-0.50780998907244324</v>
      </c>
      <c r="BP92" s="224">
        <f t="shared" ref="BP92:CJ92" si="353">BP86/BP90</f>
        <v>1.854492680464412</v>
      </c>
      <c r="BQ92" s="223">
        <f t="shared" si="353"/>
        <v>0.95273959706270006</v>
      </c>
      <c r="BR92" s="223">
        <f t="shared" si="353"/>
        <v>0.77726001863932903</v>
      </c>
      <c r="BS92" s="223">
        <f t="shared" si="353"/>
        <v>0.89615931721194875</v>
      </c>
      <c r="BT92" s="223">
        <f t="shared" si="353"/>
        <v>0.93442318409808656</v>
      </c>
      <c r="BU92" s="224">
        <f t="shared" si="353"/>
        <v>3.5601280576881233</v>
      </c>
      <c r="BV92" s="223">
        <f t="shared" si="353"/>
        <v>1.1570758211904175</v>
      </c>
      <c r="BW92" s="223">
        <f t="shared" si="353"/>
        <v>0.82663534067021138</v>
      </c>
      <c r="BX92" s="223">
        <f t="shared" si="353"/>
        <v>0.8667039175513751</v>
      </c>
      <c r="BY92" s="223">
        <f t="shared" si="353"/>
        <v>0.90219435736677112</v>
      </c>
      <c r="BZ92" s="224">
        <f t="shared" si="353"/>
        <v>3.7537057444860076</v>
      </c>
      <c r="CA92" s="223">
        <f t="shared" si="353"/>
        <v>0.92571572707781569</v>
      </c>
      <c r="CB92" s="223">
        <f t="shared" si="353"/>
        <v>0.84647672348003045</v>
      </c>
      <c r="CC92" s="223">
        <f t="shared" si="353"/>
        <v>0.79243353783231085</v>
      </c>
      <c r="CD92" s="223">
        <f t="shared" si="353"/>
        <v>0.6624686757051983</v>
      </c>
      <c r="CE92" s="224">
        <f t="shared" ref="CE92" si="354">CE86/CE90</f>
        <v>3.2296593569346901</v>
      </c>
      <c r="CF92" s="223">
        <f t="shared" si="353"/>
        <v>0.93954513056437505</v>
      </c>
      <c r="CG92" s="223">
        <f t="shared" si="353"/>
        <v>1.0299588799686705</v>
      </c>
      <c r="CH92" s="223">
        <f t="shared" si="353"/>
        <v>0.98198493285293154</v>
      </c>
      <c r="CI92" s="256">
        <f t="shared" si="353"/>
        <v>1.0054724071998418</v>
      </c>
      <c r="CJ92" s="224">
        <f t="shared" si="353"/>
        <v>3.9564606282482924</v>
      </c>
      <c r="CK92" s="223">
        <f t="shared" ref="CK92:CO92" si="355">CK86/CK90</f>
        <v>0.69973368841544603</v>
      </c>
      <c r="CL92" s="223">
        <f t="shared" si="355"/>
        <v>0.7805369127516778</v>
      </c>
      <c r="CM92" s="223">
        <f t="shared" si="355"/>
        <v>0.53626908010266117</v>
      </c>
      <c r="CN92" s="223">
        <f t="shared" si="355"/>
        <v>0.14278947012248763</v>
      </c>
      <c r="CO92" s="224">
        <f t="shared" si="355"/>
        <v>2.1639245080079994</v>
      </c>
      <c r="CP92" s="223">
        <f t="shared" ref="CP92:CT92" si="356">CP86/CP90</f>
        <v>0.49154834347532117</v>
      </c>
      <c r="CQ92" s="223">
        <f t="shared" si="356"/>
        <v>0.53477380148548281</v>
      </c>
      <c r="CR92" s="223">
        <f t="shared" si="356"/>
        <v>0.35097192224622031</v>
      </c>
      <c r="CS92" s="223">
        <f t="shared" si="356"/>
        <v>0.72088475284914688</v>
      </c>
      <c r="CT92" s="224">
        <f t="shared" si="356"/>
        <v>2.098404928685965</v>
      </c>
      <c r="CU92" s="223">
        <f t="shared" ref="CU92:CY92" si="357">CU86/CU90</f>
        <v>0.47971971432421506</v>
      </c>
      <c r="CV92" s="223">
        <f t="shared" si="357"/>
        <v>0.36431432010212855</v>
      </c>
      <c r="CW92" s="223">
        <f t="shared" si="357"/>
        <v>0.2810100927816539</v>
      </c>
      <c r="CX92" s="223">
        <f t="shared" si="357"/>
        <v>0.14233691576816257</v>
      </c>
      <c r="CY92" s="224">
        <f t="shared" si="357"/>
        <v>1.2706939916620648</v>
      </c>
      <c r="CZ92" s="223">
        <f t="shared" ref="CZ92:DD92" si="358">CZ86/CZ90</f>
        <v>0.45092278243632544</v>
      </c>
      <c r="DA92" s="223">
        <f t="shared" si="358"/>
        <v>0.32814715359340202</v>
      </c>
      <c r="DB92" s="223">
        <f t="shared" si="358"/>
        <v>0.28006283005872251</v>
      </c>
      <c r="DC92" s="223">
        <f t="shared" si="358"/>
        <v>0.14087922092339616</v>
      </c>
      <c r="DD92" s="224">
        <f t="shared" si="358"/>
        <v>1.1998695377780955</v>
      </c>
      <c r="DE92" s="223">
        <f t="shared" ref="DE92:DI92" si="359">DE86/DE90</f>
        <v>0.48758847596522858</v>
      </c>
      <c r="DF92" s="223">
        <f t="shared" si="359"/>
        <v>0.36489162762975652</v>
      </c>
      <c r="DG92" s="223">
        <f t="shared" si="359"/>
        <v>0.31729905594406682</v>
      </c>
      <c r="DH92" s="223">
        <f t="shared" si="359"/>
        <v>0.17384434776763616</v>
      </c>
      <c r="DI92" s="224">
        <f t="shared" si="359"/>
        <v>1.3452124803905838</v>
      </c>
    </row>
    <row r="93" spans="1:124" ht="12" customHeight="1">
      <c r="A93" s="219"/>
      <c r="B93" s="424" t="s">
        <v>11</v>
      </c>
      <c r="C93" s="50">
        <f>0/C90</f>
        <v>0</v>
      </c>
      <c r="D93" s="425">
        <f>0/D90</f>
        <v>0</v>
      </c>
      <c r="E93" s="50">
        <f>-130/E90</f>
        <v>-5.5342699020859941E-2</v>
      </c>
      <c r="F93" s="425">
        <f>-45.1/F90</f>
        <v>-1.9554283732223378E-2</v>
      </c>
      <c r="G93" s="50">
        <f>2.5/G90</f>
        <v>1.1185682326621924E-3</v>
      </c>
      <c r="H93" s="425">
        <f>0.1/H90</f>
        <v>4.5741469215991224E-5</v>
      </c>
      <c r="I93" s="50">
        <f>-5/I90</f>
        <v>-2.2965276501929087E-3</v>
      </c>
      <c r="J93" s="425">
        <f>-266.1/J90</f>
        <v>-0.12466035791248947</v>
      </c>
      <c r="K93" s="50">
        <f>0/K90</f>
        <v>0</v>
      </c>
      <c r="L93" s="425">
        <f>0/L90</f>
        <v>0</v>
      </c>
      <c r="M93" s="50">
        <f>0/M90</f>
        <v>0</v>
      </c>
      <c r="N93" s="425">
        <f>0/N90</f>
        <v>0</v>
      </c>
      <c r="O93" s="425">
        <f>20.1/O90</f>
        <v>9.969743564307328E-3</v>
      </c>
      <c r="P93" s="50">
        <f>-385.19474/P90</f>
        <v>-0.19626876350903219</v>
      </c>
      <c r="Q93" s="425">
        <v>0</v>
      </c>
      <c r="R93" s="50">
        <v>0</v>
      </c>
      <c r="S93" s="50">
        <v>0</v>
      </c>
      <c r="T93" s="50">
        <v>0</v>
      </c>
      <c r="U93" s="50">
        <v>0</v>
      </c>
      <c r="V93" s="425">
        <f>(R93*R90+S93*S90+T93*T90+U93*U90)/V90</f>
        <v>0</v>
      </c>
      <c r="W93" s="50">
        <v>0</v>
      </c>
      <c r="X93" s="50">
        <v>0</v>
      </c>
      <c r="Y93" s="50">
        <v>0</v>
      </c>
      <c r="Z93" s="50">
        <v>0</v>
      </c>
      <c r="AA93" s="425">
        <f>(W93*W90+X93*X90+Y93*Y90+Z93*Z90)/AA90</f>
        <v>0</v>
      </c>
      <c r="AB93" s="425">
        <v>0</v>
      </c>
      <c r="AC93" s="50">
        <f>(564-AC86)/AC90</f>
        <v>-9.6899224806201549E-3</v>
      </c>
      <c r="AD93" s="50">
        <f>-137/AD90</f>
        <v>-7.5010950503723167E-2</v>
      </c>
      <c r="AE93" s="50">
        <f>204/AE90</f>
        <v>0.11187890753537347</v>
      </c>
      <c r="AF93" s="50">
        <f>-28/AF90</f>
        <v>-1.5327348368732209E-2</v>
      </c>
      <c r="AG93" s="425">
        <f>(AC93*AC90+AD93*AD90+AE93*AE90+AF93*AF90)/AG90</f>
        <v>1.1457628598240982E-2</v>
      </c>
      <c r="AH93" s="50">
        <v>0</v>
      </c>
      <c r="AI93" s="50">
        <v>0</v>
      </c>
      <c r="AJ93" s="50">
        <v>0</v>
      </c>
      <c r="AK93" s="50">
        <v>0</v>
      </c>
      <c r="AL93" s="425">
        <f>(AH93*AH90+AI93*AI90+AJ93*AJ90+AK93*AK90)/AL90</f>
        <v>0</v>
      </c>
      <c r="AM93" s="50">
        <v>0</v>
      </c>
      <c r="AN93" s="50">
        <v>0</v>
      </c>
      <c r="AO93" s="50">
        <v>0</v>
      </c>
      <c r="AP93" s="50">
        <v>0</v>
      </c>
      <c r="AQ93" s="425">
        <f>(AM93*AM90+AN93*AN90+AO93*AO90+AP93*AP90)/AQ90</f>
        <v>0</v>
      </c>
      <c r="AR93" s="50">
        <v>0</v>
      </c>
      <c r="AS93" s="50">
        <v>0</v>
      </c>
      <c r="AT93" s="50">
        <v>0</v>
      </c>
      <c r="AU93" s="50">
        <v>0</v>
      </c>
      <c r="AV93" s="425">
        <f>(AR93*AR90+AS93*AS90+AT93*AT90+AU93*AU90)/AV90</f>
        <v>0</v>
      </c>
      <c r="AW93" s="50">
        <v>0</v>
      </c>
      <c r="AX93" s="50">
        <v>0</v>
      </c>
      <c r="AY93" s="50">
        <v>0</v>
      </c>
      <c r="AZ93" s="50">
        <v>0</v>
      </c>
      <c r="BA93" s="425">
        <f>(AW93*AW90+AX93*AX90+AY93*AY90+AZ93*AZ90)/BA90</f>
        <v>0</v>
      </c>
      <c r="BB93" s="50">
        <v>0</v>
      </c>
      <c r="BC93" s="50">
        <v>0</v>
      </c>
      <c r="BD93" s="50">
        <f>-(2030)/BD90</f>
        <v>-1.2503849707422237</v>
      </c>
      <c r="BE93" s="50">
        <v>0</v>
      </c>
      <c r="BF93" s="425">
        <f>(BB93*BB90+BC93*BC90+BD93*BD90+BE93*BE90)/BF90</f>
        <v>-1.2298371828852708</v>
      </c>
      <c r="BG93" s="50">
        <v>0</v>
      </c>
      <c r="BH93" s="50">
        <v>0</v>
      </c>
      <c r="BI93" s="50">
        <v>0</v>
      </c>
      <c r="BJ93" s="50">
        <v>0</v>
      </c>
      <c r="BK93" s="425">
        <f>(BG93*BG90+BH93*BH90+BI93*BI90+BJ93*BJ90)/BK90</f>
        <v>0</v>
      </c>
      <c r="BL93" s="50">
        <v>0</v>
      </c>
      <c r="BM93" s="50">
        <v>0</v>
      </c>
      <c r="BN93" s="50">
        <f>-400/BN90</f>
        <v>-0.25131942699170645</v>
      </c>
      <c r="BO93" s="228">
        <v>0</v>
      </c>
      <c r="BP93" s="425">
        <f>(BL93*BL90+BM93*BM90+BN93*BN90+BO93*BO90)/BP90</f>
        <v>-0.25239777889954568</v>
      </c>
      <c r="BQ93" s="50">
        <v>0</v>
      </c>
      <c r="BR93" s="50">
        <v>0</v>
      </c>
      <c r="BS93" s="50">
        <v>0</v>
      </c>
      <c r="BT93" s="50">
        <v>0</v>
      </c>
      <c r="BU93" s="425">
        <f>(BQ93*BQ90+BR93*BR90+BS93*BS90+BT93*BT90)/BU90</f>
        <v>0</v>
      </c>
      <c r="BV93" s="50">
        <v>0</v>
      </c>
      <c r="BW93" s="50">
        <v>0</v>
      </c>
      <c r="BX93" s="50">
        <v>0</v>
      </c>
      <c r="BY93" s="50">
        <v>0</v>
      </c>
      <c r="BZ93" s="425">
        <f>(BV93*BV90+BW93*BW90+BX93*BX90+BY93*BY90)/BZ90</f>
        <v>0</v>
      </c>
      <c r="CA93" s="50">
        <v>0</v>
      </c>
      <c r="CB93" s="50">
        <v>0</v>
      </c>
      <c r="CC93" s="50">
        <v>0</v>
      </c>
      <c r="CD93" s="228">
        <v>0</v>
      </c>
      <c r="CE93" s="425">
        <f>(CA93*CA90+CB93*CB90+CC93*CC90+CD93*CD90)/CE90</f>
        <v>0</v>
      </c>
      <c r="CF93" s="50">
        <v>0</v>
      </c>
      <c r="CG93" s="50">
        <v>0</v>
      </c>
      <c r="CH93" s="228">
        <f>-(403-ROUND(0.05*CH90,0))/CH90</f>
        <v>-0.21421552571241401</v>
      </c>
      <c r="CI93" s="228">
        <f>-((64-(403-340))+(379-340)-ROUND(0.01*CI90,0))/CI90</f>
        <v>-1.648315421639085E-2</v>
      </c>
      <c r="CJ93" s="425">
        <f>(CF93*CF90+CG93*CG90+CH93*CH90+CI93*CI90)/CJ90</f>
        <v>-0.23011800084986764</v>
      </c>
      <c r="CK93" s="228">
        <v>0</v>
      </c>
      <c r="CL93" s="228">
        <v>0</v>
      </c>
      <c r="CM93" s="228">
        <v>0</v>
      </c>
      <c r="CN93" s="228">
        <v>0</v>
      </c>
      <c r="CO93" s="425">
        <f>(CK93*CK90+CL93*CL90+CM93*CM90+CN93*CN90)/CO90</f>
        <v>0</v>
      </c>
      <c r="CP93" s="228">
        <v>0</v>
      </c>
      <c r="CQ93" s="228">
        <v>0</v>
      </c>
      <c r="CR93" s="228">
        <v>0</v>
      </c>
      <c r="CS93" s="228">
        <v>0</v>
      </c>
      <c r="CT93" s="425">
        <f>(CP93*CP90+CQ93*CQ90+CR93*CR90+CS93*CS90)/CT90</f>
        <v>0</v>
      </c>
      <c r="CU93" s="228">
        <v>0</v>
      </c>
      <c r="CV93" s="426">
        <f>-0.15/3</f>
        <v>-4.9999999999999996E-2</v>
      </c>
      <c r="CW93" s="426">
        <f>-0.15/3</f>
        <v>-4.9999999999999996E-2</v>
      </c>
      <c r="CX93" s="426">
        <f>-0.15/3</f>
        <v>-4.9999999999999996E-2</v>
      </c>
      <c r="CY93" s="425">
        <f>(CU93*CU90+CV93*CV90+CW93*CW90+CX93*CX90)/CY90</f>
        <v>-0.149226068652071</v>
      </c>
      <c r="CZ93" s="426">
        <f>-200/4*(1-0.25)/CZ90</f>
        <v>-2.5763080152093963E-2</v>
      </c>
      <c r="DA93" s="426">
        <f t="shared" ref="DA93:DC93" si="360">-200/4*(1-0.25)/DA90</f>
        <v>-2.5760224683696407E-2</v>
      </c>
      <c r="DB93" s="426">
        <f t="shared" si="360"/>
        <v>-2.5758466559354088E-2</v>
      </c>
      <c r="DC93" s="426">
        <f t="shared" si="360"/>
        <v>-2.5740103611903434E-2</v>
      </c>
      <c r="DD93" s="425">
        <f>(CZ93*CZ90+DA93*DA90+DB93*DB90+DC93*DC90)/DD90</f>
        <v>-0.10302186235943385</v>
      </c>
      <c r="DE93" s="426">
        <f t="shared" ref="DE93:DH93" si="361">-200/4*(1-0.25)/DE90</f>
        <v>-2.5784966832835588E-2</v>
      </c>
      <c r="DF93" s="426">
        <f t="shared" si="361"/>
        <v>-2.5874952141611285E-2</v>
      </c>
      <c r="DG93" s="426">
        <f t="shared" si="361"/>
        <v>-2.5946876816780835E-2</v>
      </c>
      <c r="DH93" s="426">
        <f t="shared" si="361"/>
        <v>-2.6036553201115996E-2</v>
      </c>
      <c r="DI93" s="425">
        <f>(DE93*DE90+DF93*DF90+DG93*DG90+DH93*DH90)/DI90</f>
        <v>-0.10364202772944141</v>
      </c>
    </row>
    <row r="94" spans="1:124" s="225" customFormat="1" ht="12" customHeight="1">
      <c r="A94" s="221"/>
      <c r="B94" s="222" t="s">
        <v>12</v>
      </c>
      <c r="C94" s="223">
        <f t="shared" ref="C94:AH94" si="362">SUM(C92:C93)</f>
        <v>0.47065980346279812</v>
      </c>
      <c r="D94" s="224">
        <f t="shared" si="362"/>
        <v>0.66982745560138102</v>
      </c>
      <c r="E94" s="223">
        <f t="shared" si="362"/>
        <v>0.17011494252873516</v>
      </c>
      <c r="F94" s="224">
        <f t="shared" si="362"/>
        <v>0.19571626777662221</v>
      </c>
      <c r="G94" s="223">
        <f t="shared" si="362"/>
        <v>0.25910514541387047</v>
      </c>
      <c r="H94" s="224">
        <f t="shared" si="362"/>
        <v>0.26973744396670019</v>
      </c>
      <c r="I94" s="223">
        <f t="shared" si="362"/>
        <v>0.30465735807459127</v>
      </c>
      <c r="J94" s="224">
        <f t="shared" si="362"/>
        <v>0.22205565445516728</v>
      </c>
      <c r="K94" s="223">
        <f t="shared" si="362"/>
        <v>0.43834600407936219</v>
      </c>
      <c r="L94" s="224">
        <f t="shared" si="362"/>
        <v>0.56066635816751453</v>
      </c>
      <c r="M94" s="223">
        <f t="shared" si="362"/>
        <v>0.65840507047583019</v>
      </c>
      <c r="N94" s="224">
        <f t="shared" si="362"/>
        <v>0.73098412076063557</v>
      </c>
      <c r="O94" s="224">
        <f t="shared" si="362"/>
        <v>0.93417985218987187</v>
      </c>
      <c r="P94" s="223">
        <f t="shared" si="362"/>
        <v>0.75752013308613142</v>
      </c>
      <c r="Q94" s="224">
        <f t="shared" si="362"/>
        <v>0.96512451913342867</v>
      </c>
      <c r="R94" s="223">
        <f t="shared" si="362"/>
        <v>0.2860212853049528</v>
      </c>
      <c r="S94" s="223">
        <f t="shared" si="362"/>
        <v>0.23431091058244474</v>
      </c>
      <c r="T94" s="223">
        <f t="shared" si="362"/>
        <v>0.26930998970133885</v>
      </c>
      <c r="U94" s="223">
        <f t="shared" si="362"/>
        <v>0.31021516607478589</v>
      </c>
      <c r="V94" s="224">
        <f t="shared" si="362"/>
        <v>1.0978999382334775</v>
      </c>
      <c r="W94" s="223">
        <f t="shared" si="362"/>
        <v>0.33997469955724224</v>
      </c>
      <c r="X94" s="223">
        <f t="shared" si="362"/>
        <v>0.25029352118689296</v>
      </c>
      <c r="Y94" s="223">
        <f t="shared" si="362"/>
        <v>0.29885793574554381</v>
      </c>
      <c r="Z94" s="223">
        <f t="shared" si="362"/>
        <v>0.29320657979064302</v>
      </c>
      <c r="AA94" s="224">
        <f t="shared" si="362"/>
        <v>1.1829501915708811</v>
      </c>
      <c r="AB94" s="224">
        <f t="shared" si="362"/>
        <v>1.2010429970200085</v>
      </c>
      <c r="AC94" s="223">
        <f t="shared" si="362"/>
        <v>0.30361757105943155</v>
      </c>
      <c r="AD94" s="223">
        <f t="shared" si="362"/>
        <v>0.20915462111257119</v>
      </c>
      <c r="AE94" s="223">
        <f t="shared" si="362"/>
        <v>0.47384007897334646</v>
      </c>
      <c r="AF94" s="223">
        <f t="shared" si="362"/>
        <v>0.3623823078607401</v>
      </c>
      <c r="AG94" s="224">
        <f t="shared" si="362"/>
        <v>1.34872656642151</v>
      </c>
      <c r="AH94" s="223">
        <f t="shared" si="362"/>
        <v>0.42769298341934775</v>
      </c>
      <c r="AI94" s="223">
        <f t="shared" ref="AI94:BN94" si="363">SUM(AI92:AI93)</f>
        <v>0.29321326597847575</v>
      </c>
      <c r="AJ94" s="223">
        <f t="shared" si="363"/>
        <v>0.37687886825817862</v>
      </c>
      <c r="AK94" s="223">
        <f t="shared" si="363"/>
        <v>0.38985701519213584</v>
      </c>
      <c r="AL94" s="224">
        <f t="shared" si="363"/>
        <v>1.4873111865904509</v>
      </c>
      <c r="AM94" s="223">
        <f t="shared" si="363"/>
        <v>0.54276686978108779</v>
      </c>
      <c r="AN94" s="223">
        <f t="shared" si="363"/>
        <v>0.37014014466546113</v>
      </c>
      <c r="AO94" s="223">
        <f t="shared" si="363"/>
        <v>0.44749943426114508</v>
      </c>
      <c r="AP94" s="223">
        <f t="shared" si="363"/>
        <v>0.49158899749943169</v>
      </c>
      <c r="AQ94" s="224">
        <f t="shared" si="363"/>
        <v>1.8504070556309362</v>
      </c>
      <c r="AR94" s="223">
        <f t="shared" si="363"/>
        <v>0.67194802234127438</v>
      </c>
      <c r="AS94" s="223">
        <f t="shared" si="363"/>
        <v>0.44821285828480073</v>
      </c>
      <c r="AT94" s="223">
        <f t="shared" si="363"/>
        <v>0.5468255338744028</v>
      </c>
      <c r="AU94" s="223">
        <f t="shared" si="363"/>
        <v>0.49097556729150954</v>
      </c>
      <c r="AV94" s="224">
        <f t="shared" si="363"/>
        <v>2.1578192252510759</v>
      </c>
      <c r="AW94" s="223">
        <f t="shared" si="363"/>
        <v>0.73087951313710575</v>
      </c>
      <c r="AX94" s="223">
        <f t="shared" si="363"/>
        <v>0.49728325064965745</v>
      </c>
      <c r="AY94" s="223">
        <f t="shared" si="363"/>
        <v>0.67662930676629307</v>
      </c>
      <c r="AZ94" s="223">
        <f t="shared" si="363"/>
        <v>0.60050041701417856</v>
      </c>
      <c r="BA94" s="224">
        <f t="shared" si="363"/>
        <v>2.5059101654846336</v>
      </c>
      <c r="BB94" s="223">
        <f t="shared" si="363"/>
        <v>0.56652155763611423</v>
      </c>
      <c r="BC94" s="223">
        <f t="shared" si="363"/>
        <v>0.46179782045878737</v>
      </c>
      <c r="BD94" s="223">
        <f t="shared" si="363"/>
        <v>-0.56729288574068382</v>
      </c>
      <c r="BE94" s="223">
        <f t="shared" si="363"/>
        <v>0.69278576651230805</v>
      </c>
      <c r="BF94" s="224">
        <f t="shared" si="363"/>
        <v>1.1710715638015903</v>
      </c>
      <c r="BG94" s="223">
        <f t="shared" si="363"/>
        <v>0.66813509544787075</v>
      </c>
      <c r="BH94" s="223">
        <f t="shared" si="363"/>
        <v>0.52261368544456099</v>
      </c>
      <c r="BI94" s="223">
        <f t="shared" si="363"/>
        <v>0.68402087475149109</v>
      </c>
      <c r="BJ94" s="223">
        <f t="shared" si="363"/>
        <v>0.61524105754276825</v>
      </c>
      <c r="BK94" s="224">
        <f t="shared" si="363"/>
        <v>2.4900343005469545</v>
      </c>
      <c r="BL94" s="223">
        <f t="shared" si="363"/>
        <v>0.85571205007824724</v>
      </c>
      <c r="BM94" s="223">
        <f t="shared" si="363"/>
        <v>0.69932262920220767</v>
      </c>
      <c r="BN94" s="223">
        <f t="shared" si="363"/>
        <v>0.53216888665493856</v>
      </c>
      <c r="BO94" s="223">
        <f t="shared" ref="BO94:CJ94" si="364">SUM(BO92:BO93)</f>
        <v>-0.50780998907244324</v>
      </c>
      <c r="BP94" s="224">
        <f t="shared" si="364"/>
        <v>1.6020949015648662</v>
      </c>
      <c r="BQ94" s="223">
        <f t="shared" si="364"/>
        <v>0.95273959706270006</v>
      </c>
      <c r="BR94" s="223">
        <f t="shared" si="364"/>
        <v>0.77726001863932903</v>
      </c>
      <c r="BS94" s="223">
        <f t="shared" si="364"/>
        <v>0.89615931721194875</v>
      </c>
      <c r="BT94" s="223">
        <f t="shared" si="364"/>
        <v>0.93442318409808656</v>
      </c>
      <c r="BU94" s="224">
        <f t="shared" si="364"/>
        <v>3.5601280576881233</v>
      </c>
      <c r="BV94" s="223">
        <f t="shared" si="364"/>
        <v>1.1570758211904175</v>
      </c>
      <c r="BW94" s="223">
        <f t="shared" si="364"/>
        <v>0.82663534067021138</v>
      </c>
      <c r="BX94" s="223">
        <f t="shared" si="364"/>
        <v>0.8667039175513751</v>
      </c>
      <c r="BY94" s="223">
        <f t="shared" si="364"/>
        <v>0.90219435736677112</v>
      </c>
      <c r="BZ94" s="224">
        <f t="shared" si="364"/>
        <v>3.7537057444860076</v>
      </c>
      <c r="CA94" s="223">
        <f t="shared" si="364"/>
        <v>0.92571572707781569</v>
      </c>
      <c r="CB94" s="223">
        <f t="shared" si="364"/>
        <v>0.84647672348003045</v>
      </c>
      <c r="CC94" s="223">
        <f t="shared" si="364"/>
        <v>0.79243353783231085</v>
      </c>
      <c r="CD94" s="223">
        <f t="shared" ref="CD94:CE94" si="365">SUM(CD92:CD93)</f>
        <v>0.6624686757051983</v>
      </c>
      <c r="CE94" s="224">
        <f t="shared" si="365"/>
        <v>3.2296593569346901</v>
      </c>
      <c r="CF94" s="223">
        <f t="shared" si="364"/>
        <v>0.93954513056437505</v>
      </c>
      <c r="CG94" s="223">
        <f t="shared" si="364"/>
        <v>1.0299588799686705</v>
      </c>
      <c r="CH94" s="223">
        <f t="shared" si="364"/>
        <v>0.76776940714051756</v>
      </c>
      <c r="CI94" s="256">
        <f t="shared" si="364"/>
        <v>0.98898925298345097</v>
      </c>
      <c r="CJ94" s="224">
        <f t="shared" si="364"/>
        <v>3.7263426273984246</v>
      </c>
      <c r="CK94" s="223">
        <f t="shared" ref="CK94:CO94" si="366">SUM(CK92:CK93)</f>
        <v>0.69973368841544603</v>
      </c>
      <c r="CL94" s="223">
        <f t="shared" si="366"/>
        <v>0.7805369127516778</v>
      </c>
      <c r="CM94" s="223">
        <f t="shared" si="366"/>
        <v>0.53626908010266117</v>
      </c>
      <c r="CN94" s="223">
        <f t="shared" si="366"/>
        <v>0.14278947012248763</v>
      </c>
      <c r="CO94" s="224">
        <f t="shared" si="366"/>
        <v>2.1639245080079994</v>
      </c>
      <c r="CP94" s="223">
        <f t="shared" ref="CP94:CT94" si="367">SUM(CP92:CP93)</f>
        <v>0.49154834347532117</v>
      </c>
      <c r="CQ94" s="223">
        <f t="shared" si="367"/>
        <v>0.53477380148548281</v>
      </c>
      <c r="CR94" s="223">
        <f t="shared" si="367"/>
        <v>0.35097192224622031</v>
      </c>
      <c r="CS94" s="223">
        <f t="shared" si="367"/>
        <v>0.72088475284914688</v>
      </c>
      <c r="CT94" s="224">
        <f t="shared" si="367"/>
        <v>2.098404928685965</v>
      </c>
      <c r="CU94" s="223">
        <f t="shared" ref="CU94:CY94" si="368">SUM(CU92:CU93)</f>
        <v>0.47971971432421506</v>
      </c>
      <c r="CV94" s="223">
        <f t="shared" si="368"/>
        <v>0.31431432010212856</v>
      </c>
      <c r="CW94" s="223">
        <f t="shared" si="368"/>
        <v>0.23101009278165391</v>
      </c>
      <c r="CX94" s="223">
        <f t="shared" si="368"/>
        <v>9.2336915768162581E-2</v>
      </c>
      <c r="CY94" s="224">
        <f t="shared" si="368"/>
        <v>1.1214679230099938</v>
      </c>
      <c r="CZ94" s="223">
        <f t="shared" ref="CZ94:DD94" si="369">SUM(CZ92:CZ93)</f>
        <v>0.4251597022842315</v>
      </c>
      <c r="DA94" s="223">
        <f t="shared" si="369"/>
        <v>0.30238692890970559</v>
      </c>
      <c r="DB94" s="223">
        <f t="shared" si="369"/>
        <v>0.25430436349936841</v>
      </c>
      <c r="DC94" s="223">
        <f t="shared" si="369"/>
        <v>0.11513911731149273</v>
      </c>
      <c r="DD94" s="224">
        <f t="shared" si="369"/>
        <v>1.0968476754186616</v>
      </c>
      <c r="DE94" s="223">
        <f t="shared" ref="DE94:DI94" si="370">SUM(DE92:DE93)</f>
        <v>0.46180350913239299</v>
      </c>
      <c r="DF94" s="223">
        <f t="shared" si="370"/>
        <v>0.33901667548814524</v>
      </c>
      <c r="DG94" s="223">
        <f t="shared" si="370"/>
        <v>0.291352179127286</v>
      </c>
      <c r="DH94" s="223">
        <f t="shared" si="370"/>
        <v>0.14780779456652016</v>
      </c>
      <c r="DI94" s="224">
        <f t="shared" si="370"/>
        <v>1.2415704526611424</v>
      </c>
    </row>
    <row r="95" spans="1:124" s="4" customFormat="1" ht="12" customHeight="1">
      <c r="A95" s="219"/>
      <c r="B95" s="427"/>
      <c r="C95" s="428"/>
      <c r="D95" s="429"/>
      <c r="E95" s="428"/>
      <c r="F95" s="429"/>
      <c r="G95" s="428"/>
      <c r="H95" s="429"/>
      <c r="I95" s="428"/>
      <c r="J95" s="429"/>
      <c r="K95" s="428"/>
      <c r="L95" s="429"/>
      <c r="M95" s="428"/>
      <c r="N95" s="429"/>
      <c r="O95" s="429"/>
      <c r="P95" s="428"/>
      <c r="Q95" s="429"/>
      <c r="R95" s="428"/>
      <c r="S95" s="428"/>
      <c r="T95" s="428"/>
      <c r="U95" s="428"/>
      <c r="V95" s="429"/>
      <c r="W95" s="428"/>
      <c r="X95" s="428"/>
      <c r="Y95" s="428"/>
      <c r="Z95" s="428"/>
      <c r="AA95" s="429"/>
      <c r="AB95" s="429"/>
      <c r="AC95" s="428"/>
      <c r="AD95" s="428"/>
      <c r="AE95" s="428"/>
      <c r="AF95" s="428"/>
      <c r="AG95" s="429"/>
      <c r="AH95" s="428"/>
      <c r="AI95" s="428"/>
      <c r="AJ95" s="428"/>
      <c r="AK95" s="428"/>
      <c r="AL95" s="429"/>
      <c r="AM95" s="428"/>
      <c r="AN95" s="428"/>
      <c r="AO95" s="428"/>
      <c r="AP95" s="428"/>
      <c r="AQ95" s="429"/>
      <c r="AR95" s="428"/>
      <c r="AS95" s="428"/>
      <c r="AT95" s="428"/>
      <c r="AU95" s="428"/>
      <c r="AV95" s="429"/>
      <c r="AW95" s="428"/>
      <c r="AX95" s="428"/>
      <c r="AY95" s="428"/>
      <c r="AZ95" s="428"/>
      <c r="BA95" s="429"/>
      <c r="BB95" s="428"/>
      <c r="BC95" s="428"/>
      <c r="BD95" s="428"/>
      <c r="BE95" s="428"/>
      <c r="BF95" s="429"/>
      <c r="BG95" s="428"/>
      <c r="BH95" s="428"/>
      <c r="BI95" s="428"/>
      <c r="BJ95" s="428"/>
      <c r="BK95" s="429"/>
      <c r="BL95" s="428"/>
      <c r="BM95" s="428"/>
      <c r="BN95" s="428"/>
      <c r="BO95" s="428"/>
      <c r="BP95" s="429"/>
      <c r="BQ95" s="428"/>
      <c r="BR95" s="428"/>
      <c r="BS95" s="428"/>
      <c r="BT95" s="428"/>
      <c r="BU95" s="429"/>
      <c r="BV95" s="428"/>
      <c r="BW95" s="428"/>
      <c r="BX95" s="428"/>
      <c r="BY95" s="428"/>
      <c r="BZ95" s="429"/>
      <c r="CA95" s="428"/>
      <c r="CB95" s="428"/>
      <c r="CC95" s="428"/>
      <c r="CD95" s="428"/>
      <c r="CE95" s="429"/>
      <c r="CF95" s="428"/>
      <c r="CG95" s="428"/>
      <c r="CH95" s="430"/>
      <c r="CI95" s="428"/>
      <c r="CJ95" s="429"/>
      <c r="CK95" s="428"/>
      <c r="CL95" s="428"/>
      <c r="CM95" s="428"/>
      <c r="CN95" s="428"/>
      <c r="CO95" s="429"/>
      <c r="CP95" s="428"/>
      <c r="CQ95" s="428"/>
      <c r="CR95" s="428"/>
      <c r="CS95" s="428"/>
      <c r="CT95" s="429"/>
      <c r="CU95" s="428"/>
      <c r="CV95" s="431"/>
      <c r="CW95" s="428"/>
      <c r="CX95" s="428"/>
      <c r="CY95" s="429"/>
      <c r="CZ95" s="428"/>
      <c r="DA95" s="428"/>
      <c r="DB95" s="428"/>
      <c r="DC95" s="428"/>
      <c r="DD95" s="429"/>
      <c r="DE95" s="428"/>
      <c r="DF95" s="428"/>
      <c r="DG95" s="428"/>
      <c r="DH95" s="428"/>
      <c r="DI95" s="429"/>
    </row>
    <row r="96" spans="1:124" s="3" customFormat="1" ht="12" customHeight="1">
      <c r="A96" s="219"/>
      <c r="B96" s="110" t="s">
        <v>310</v>
      </c>
      <c r="C96" s="52" t="s">
        <v>126</v>
      </c>
      <c r="D96" s="112">
        <f t="shared" ref="D96:Q96" si="371">+D92/C92-1</f>
        <v>0.42316690457362482</v>
      </c>
      <c r="E96" s="52">
        <f t="shared" si="371"/>
        <v>-0.66340937555750701</v>
      </c>
      <c r="F96" s="112">
        <f t="shared" si="371"/>
        <v>-4.5184053069714292E-2</v>
      </c>
      <c r="G96" s="52">
        <f t="shared" si="371"/>
        <v>0.19842948964901708</v>
      </c>
      <c r="H96" s="112">
        <f t="shared" si="371"/>
        <v>4.537106327068452E-2</v>
      </c>
      <c r="I96" s="52">
        <f t="shared" si="371"/>
        <v>0.13816584968033108</v>
      </c>
      <c r="J96" s="112">
        <f t="shared" si="371"/>
        <v>0.12953778561553531</v>
      </c>
      <c r="K96" s="52">
        <f t="shared" si="371"/>
        <v>0.26427966532604574</v>
      </c>
      <c r="L96" s="112">
        <f t="shared" si="371"/>
        <v>0.27904977563342026</v>
      </c>
      <c r="M96" s="52">
        <f t="shared" si="371"/>
        <v>0.17432597994244836</v>
      </c>
      <c r="N96" s="112">
        <f t="shared" si="371"/>
        <v>0.11023464663228122</v>
      </c>
      <c r="O96" s="112">
        <f t="shared" si="371"/>
        <v>0.26433677883982631</v>
      </c>
      <c r="P96" s="112">
        <f t="shared" si="371"/>
        <v>3.2004397802559259E-2</v>
      </c>
      <c r="Q96" s="112">
        <f t="shared" si="371"/>
        <v>1.1884833823009311E-2</v>
      </c>
      <c r="R96" s="378" t="s">
        <v>126</v>
      </c>
      <c r="S96" s="378" t="s">
        <v>126</v>
      </c>
      <c r="T96" s="378" t="s">
        <v>126</v>
      </c>
      <c r="U96" s="378" t="s">
        <v>126</v>
      </c>
      <c r="V96" s="112">
        <f t="shared" ref="V96:AA96" si="372">+V92/Q92-1</f>
        <v>0.13757335604660215</v>
      </c>
      <c r="W96" s="52">
        <f t="shared" si="372"/>
        <v>0.18863426263805816</v>
      </c>
      <c r="X96" s="52">
        <f t="shared" si="372"/>
        <v>6.8211124120165945E-2</v>
      </c>
      <c r="Y96" s="52">
        <f t="shared" si="372"/>
        <v>0.10971722986203836</v>
      </c>
      <c r="Z96" s="52">
        <f t="shared" si="372"/>
        <v>-5.4828351880263915E-2</v>
      </c>
      <c r="AA96" s="112">
        <f t="shared" si="372"/>
        <v>7.7466306696628129E-2</v>
      </c>
      <c r="AB96" s="379"/>
      <c r="AC96" s="52">
        <f>+AC92/W92-1</f>
        <v>-7.8438795745447876E-2</v>
      </c>
      <c r="AD96" s="52">
        <f>+AD92/X92-1</f>
        <v>0.1353293136345679</v>
      </c>
      <c r="AE96" s="52">
        <f>+AE92/Y92-1</f>
        <v>0.21114793400084619</v>
      </c>
      <c r="AF96" s="52">
        <f>+AF92/Z92-1</f>
        <v>0.28820320641906005</v>
      </c>
      <c r="AG96" s="112">
        <f>+AG92/AA92-1</f>
        <v>0.13045244622469054</v>
      </c>
      <c r="AH96" s="52">
        <f t="shared" ref="AH96:BM96" si="373">+AH92/AC92-1</f>
        <v>0.36509018213020661</v>
      </c>
      <c r="AI96" s="52">
        <f t="shared" si="373"/>
        <v>3.1839516345063767E-2</v>
      </c>
      <c r="AJ96" s="52">
        <f t="shared" si="373"/>
        <v>4.1213527851458931E-2</v>
      </c>
      <c r="AK96" s="52">
        <f t="shared" si="373"/>
        <v>3.216057297535313E-2</v>
      </c>
      <c r="AL96" s="112">
        <f t="shared" si="373"/>
        <v>0.11220050396998849</v>
      </c>
      <c r="AM96" s="52">
        <f t="shared" si="373"/>
        <v>0.26905722287454847</v>
      </c>
      <c r="AN96" s="52">
        <f t="shared" si="373"/>
        <v>0.2623581113571869</v>
      </c>
      <c r="AO96" s="52">
        <f t="shared" si="373"/>
        <v>0.18738266310699125</v>
      </c>
      <c r="AP96" s="52">
        <f t="shared" si="373"/>
        <v>0.26094690705298351</v>
      </c>
      <c r="AQ96" s="112">
        <f t="shared" si="373"/>
        <v>0.24412905134725382</v>
      </c>
      <c r="AR96" s="52">
        <f t="shared" si="373"/>
        <v>0.23800485945704231</v>
      </c>
      <c r="AS96" s="52">
        <f t="shared" si="373"/>
        <v>0.21092744125310436</v>
      </c>
      <c r="AT96" s="52">
        <f t="shared" si="373"/>
        <v>0.22195804510290063</v>
      </c>
      <c r="AU96" s="52">
        <f t="shared" si="373"/>
        <v>-1.2478517848090176E-3</v>
      </c>
      <c r="AV96" s="112">
        <f t="shared" si="373"/>
        <v>0.1661321862585099</v>
      </c>
      <c r="AW96" s="52">
        <f t="shared" si="373"/>
        <v>8.7702454410827579E-2</v>
      </c>
      <c r="AX96" s="52">
        <f t="shared" si="373"/>
        <v>0.10948010851950318</v>
      </c>
      <c r="AY96" s="52">
        <f t="shared" si="373"/>
        <v>0.23737694173166424</v>
      </c>
      <c r="AZ96" s="52">
        <f t="shared" si="373"/>
        <v>0.22307596756162051</v>
      </c>
      <c r="BA96" s="112">
        <f t="shared" si="373"/>
        <v>0.16131608068004644</v>
      </c>
      <c r="BB96" s="52">
        <f t="shared" si="373"/>
        <v>-0.22487694968426297</v>
      </c>
      <c r="BC96" s="52">
        <f t="shared" si="373"/>
        <v>-7.135858717242427E-2</v>
      </c>
      <c r="BD96" s="52">
        <f t="shared" si="373"/>
        <v>9.5514311464475199E-3</v>
      </c>
      <c r="BE96" s="52">
        <f t="shared" si="373"/>
        <v>0.15368074173369073</v>
      </c>
      <c r="BF96" s="112">
        <f t="shared" si="373"/>
        <v>-4.1901509576847018E-2</v>
      </c>
      <c r="BG96" s="52">
        <f t="shared" si="373"/>
        <v>0.17936393848056276</v>
      </c>
      <c r="BH96" s="52">
        <f t="shared" si="373"/>
        <v>0.13169370293985838</v>
      </c>
      <c r="BI96" s="52">
        <f t="shared" si="373"/>
        <v>1.359684543774442E-3</v>
      </c>
      <c r="BJ96" s="52">
        <f t="shared" si="373"/>
        <v>-0.1119317294290314</v>
      </c>
      <c r="BK96" s="112">
        <f t="shared" si="373"/>
        <v>3.7121591556981359E-2</v>
      </c>
      <c r="BL96" s="52">
        <f t="shared" si="373"/>
        <v>0.28074704638084924</v>
      </c>
      <c r="BM96" s="52">
        <f t="shared" si="373"/>
        <v>0.33812536617239419</v>
      </c>
      <c r="BN96" s="52">
        <f t="shared" ref="BN96:CJ96" si="374">+BN92/BI92-1</f>
        <v>0.14541579441020858</v>
      </c>
      <c r="BO96" s="52">
        <f t="shared" si="374"/>
        <v>-1.8253837790029852</v>
      </c>
      <c r="BP96" s="112">
        <f t="shared" si="374"/>
        <v>-0.2552340824955468</v>
      </c>
      <c r="BQ96" s="52">
        <f t="shared" si="374"/>
        <v>0.11338808069324324</v>
      </c>
      <c r="BR96" s="52">
        <f t="shared" si="374"/>
        <v>0.11144697194488451</v>
      </c>
      <c r="BS96" s="52">
        <f t="shared" si="374"/>
        <v>0.14380687191221941</v>
      </c>
      <c r="BT96" s="52">
        <f t="shared" si="374"/>
        <v>-2.8401039841789792</v>
      </c>
      <c r="BU96" s="112">
        <f t="shared" si="374"/>
        <v>0.91973152290715809</v>
      </c>
      <c r="BV96" s="52">
        <f t="shared" si="374"/>
        <v>0.21447227002812408</v>
      </c>
      <c r="BW96" s="52">
        <f t="shared" si="374"/>
        <v>6.3524844771147171E-2</v>
      </c>
      <c r="BX96" s="52">
        <f t="shared" si="374"/>
        <v>-3.2868485652989277E-2</v>
      </c>
      <c r="BY96" s="52">
        <f t="shared" si="374"/>
        <v>-3.4490611191783538E-2</v>
      </c>
      <c r="BZ96" s="112">
        <f t="shared" si="374"/>
        <v>5.4373798824413511E-2</v>
      </c>
      <c r="CA96" s="52">
        <f t="shared" si="374"/>
        <v>-0.19995240577629125</v>
      </c>
      <c r="CB96" s="52">
        <f t="shared" si="374"/>
        <v>2.4002582316081877E-2</v>
      </c>
      <c r="CC96" s="52">
        <f t="shared" si="374"/>
        <v>-8.5692908748923213E-2</v>
      </c>
      <c r="CD96" s="52">
        <f t="shared" ref="CD96" si="375">+CD92/BY92-1</f>
        <v>-0.26571401129270933</v>
      </c>
      <c r="CE96" s="112">
        <f t="shared" ref="CE96" si="376">+CE92/BZ92-1</f>
        <v>-0.13960774318048597</v>
      </c>
      <c r="CF96" s="52">
        <f t="shared" si="374"/>
        <v>1.4939147172333689E-2</v>
      </c>
      <c r="CG96" s="52">
        <f t="shared" si="374"/>
        <v>0.21675983686156108</v>
      </c>
      <c r="CH96" s="52">
        <f t="shared" si="374"/>
        <v>0.23920163139376394</v>
      </c>
      <c r="CI96" s="52">
        <f t="shared" si="374"/>
        <v>0.51776596248798601</v>
      </c>
      <c r="CJ96" s="112">
        <f t="shared" si="374"/>
        <v>0.22503960665480793</v>
      </c>
      <c r="CK96" s="52">
        <f t="shared" ref="CK96" si="377">+CK92/CF92-1</f>
        <v>-0.25524206804720151</v>
      </c>
      <c r="CL96" s="52">
        <f>+CL92/CG92-1</f>
        <v>-0.24216691760022468</v>
      </c>
      <c r="CM96" s="52">
        <f t="shared" ref="CM96" si="378">+CM92/CH92-1</f>
        <v>-0.45389276132307388</v>
      </c>
      <c r="CN96" s="52">
        <f t="shared" ref="CN96" si="379">+CN92/CI92-1</f>
        <v>-0.85798767912473639</v>
      </c>
      <c r="CO96" s="112">
        <f t="shared" ref="CO96" si="380">+CO92/CJ92-1</f>
        <v>-0.45306557771407208</v>
      </c>
      <c r="CP96" s="52">
        <f t="shared" ref="CP96" si="381">+CP92/CK92-1</f>
        <v>-0.29752082597532592</v>
      </c>
      <c r="CQ96" s="52">
        <f>+CQ92/CL92-1</f>
        <v>-0.3148641752249618</v>
      </c>
      <c r="CR96" s="52">
        <f t="shared" ref="CR96" si="382">+CR92/CM92-1</f>
        <v>-0.34553019133784169</v>
      </c>
      <c r="CS96" s="52">
        <f t="shared" ref="CS96" si="383">+CS92/CN92-1</f>
        <v>4.0485848307354715</v>
      </c>
      <c r="CT96" s="112">
        <f t="shared" ref="CT96" si="384">+CT92/CO92-1</f>
        <v>-3.0278126191356169E-2</v>
      </c>
      <c r="CU96" s="52">
        <f t="shared" ref="CU96" si="385">+CU92/CP92-1</f>
        <v>-2.4064019964905037E-2</v>
      </c>
      <c r="CV96" s="52">
        <f t="shared" ref="CV96" si="386">+CV92/CQ92-1</f>
        <v>-0.31875062112215613</v>
      </c>
      <c r="CW96" s="52">
        <f t="shared" ref="CW96" si="387">+CW92/CR92-1</f>
        <v>-0.19933739718211851</v>
      </c>
      <c r="CX96" s="52">
        <f t="shared" ref="CX96" si="388">+CX92/CS92-1</f>
        <v>-0.80255246735958063</v>
      </c>
      <c r="CY96" s="112">
        <f t="shared" ref="CY96" si="389">+CY92/CT92-1</f>
        <v>-0.39444767104231793</v>
      </c>
      <c r="CZ96" s="52">
        <f t="shared" ref="CZ96" si="390">+CZ92/CU92-1</f>
        <v>-6.0028660544951928E-2</v>
      </c>
      <c r="DA96" s="52">
        <f t="shared" ref="DA96" si="391">+DA92/CV92-1</f>
        <v>-9.9274622250884237E-2</v>
      </c>
      <c r="DB96" s="52">
        <f t="shared" ref="DB96" si="392">+DB92/CW92-1</f>
        <v>-3.3709206440047934E-3</v>
      </c>
      <c r="DC96" s="52">
        <f t="shared" ref="DC96" si="393">+DC92/CX92-1</f>
        <v>-1.0241158008093221E-2</v>
      </c>
      <c r="DD96" s="112">
        <f t="shared" ref="DD96" si="394">+DD92/CY92-1</f>
        <v>-5.5736829125422327E-2</v>
      </c>
      <c r="DE96" s="52">
        <f t="shared" ref="DE96" si="395">+DE92/CZ92-1</f>
        <v>8.1312577135267405E-2</v>
      </c>
      <c r="DF96" s="52">
        <f t="shared" ref="DF96" si="396">+DF92/DA92-1</f>
        <v>0.11197559885551689</v>
      </c>
      <c r="DG96" s="52">
        <f t="shared" ref="DG96" si="397">+DG92/DB92-1</f>
        <v>0.13295668646045167</v>
      </c>
      <c r="DH96" s="52">
        <f t="shared" ref="DH96" si="398">+DH92/DC92-1</f>
        <v>0.23399566400331651</v>
      </c>
      <c r="DI96" s="112">
        <f t="shared" ref="DI96" si="399">+DI92/DD92-1</f>
        <v>0.12113228816662258</v>
      </c>
      <c r="DK96" s="432"/>
      <c r="DQ96" s="433"/>
      <c r="DR96" s="433"/>
      <c r="DS96" s="433"/>
      <c r="DT96" s="433"/>
    </row>
    <row r="97" spans="1:124" ht="12" customHeight="1">
      <c r="A97" s="219"/>
      <c r="B97" s="74"/>
      <c r="C97" s="434"/>
      <c r="D97" s="435"/>
      <c r="E97" s="434"/>
      <c r="F97" s="435"/>
      <c r="G97" s="434"/>
      <c r="H97" s="435"/>
      <c r="I97" s="434"/>
      <c r="J97" s="435"/>
      <c r="K97" s="434"/>
      <c r="L97" s="435"/>
      <c r="M97" s="434"/>
      <c r="N97" s="435"/>
      <c r="O97" s="435"/>
      <c r="P97" s="434"/>
      <c r="Q97" s="435"/>
      <c r="R97" s="434"/>
      <c r="S97" s="434"/>
      <c r="T97" s="434"/>
      <c r="U97" s="434"/>
      <c r="V97" s="436"/>
      <c r="W97" s="434"/>
      <c r="X97" s="434"/>
      <c r="Y97" s="434"/>
      <c r="Z97" s="434"/>
      <c r="AA97" s="436"/>
      <c r="AB97" s="435"/>
      <c r="AC97" s="434"/>
      <c r="AD97" s="434"/>
      <c r="AE97" s="434"/>
      <c r="AF97" s="434"/>
      <c r="AG97" s="437"/>
      <c r="AH97" s="438"/>
      <c r="AI97" s="438"/>
      <c r="AJ97" s="438"/>
      <c r="AK97" s="438"/>
      <c r="AL97" s="436"/>
      <c r="AM97" s="438"/>
      <c r="AN97" s="438"/>
      <c r="AO97" s="438"/>
      <c r="AP97" s="438"/>
      <c r="AQ97" s="436"/>
      <c r="AR97" s="438"/>
      <c r="AS97" s="438"/>
      <c r="AT97" s="438"/>
      <c r="AU97" s="438"/>
      <c r="AV97" s="436"/>
      <c r="AW97" s="438"/>
      <c r="AX97" s="438"/>
      <c r="AY97" s="438"/>
      <c r="AZ97" s="438"/>
      <c r="BA97" s="436"/>
      <c r="BB97" s="438"/>
      <c r="BC97" s="438"/>
      <c r="BD97" s="438"/>
      <c r="BE97" s="438"/>
      <c r="BF97" s="436"/>
      <c r="BG97" s="438"/>
      <c r="BH97" s="438"/>
      <c r="BI97" s="438"/>
      <c r="BJ97" s="438"/>
      <c r="BK97" s="439"/>
      <c r="BL97" s="438"/>
      <c r="BM97" s="438"/>
      <c r="BN97" s="438"/>
      <c r="BO97" s="438"/>
      <c r="BP97" s="436"/>
      <c r="BQ97" s="438"/>
      <c r="BR97" s="438"/>
      <c r="BS97" s="438"/>
      <c r="BT97" s="438"/>
      <c r="BU97" s="436"/>
      <c r="BV97" s="438"/>
      <c r="BW97" s="438"/>
      <c r="BX97" s="438"/>
      <c r="BY97" s="438"/>
      <c r="BZ97" s="436"/>
      <c r="CA97" s="438"/>
      <c r="CB97" s="438"/>
      <c r="CC97" s="438"/>
      <c r="CD97" s="438"/>
      <c r="CE97" s="436"/>
      <c r="CF97" s="438"/>
      <c r="CG97" s="438"/>
      <c r="CH97" s="438"/>
      <c r="CI97" s="438"/>
      <c r="CJ97" s="436"/>
      <c r="CK97" s="438"/>
      <c r="CL97" s="438"/>
      <c r="CM97" s="438"/>
      <c r="CN97" s="438"/>
      <c r="CO97" s="436"/>
      <c r="CP97" s="438"/>
      <c r="CQ97" s="438"/>
      <c r="CR97" s="438"/>
      <c r="CS97" s="438"/>
      <c r="CT97" s="436"/>
      <c r="CU97" s="438"/>
      <c r="CV97" s="438"/>
      <c r="CW97" s="438"/>
      <c r="CX97" s="438"/>
      <c r="CY97" s="436"/>
      <c r="CZ97" s="438"/>
      <c r="DA97" s="438"/>
      <c r="DB97" s="438"/>
      <c r="DC97" s="438"/>
      <c r="DD97" s="436"/>
      <c r="DE97" s="438"/>
      <c r="DF97" s="438"/>
      <c r="DG97" s="438"/>
      <c r="DH97" s="438"/>
      <c r="DI97" s="436"/>
      <c r="DQ97" s="370"/>
      <c r="DR97" s="370"/>
      <c r="DS97" s="370"/>
      <c r="DT97" s="370"/>
    </row>
    <row r="98" spans="1:124" s="7" customFormat="1" ht="12" customHeight="1">
      <c r="A98" s="239"/>
      <c r="B98" s="285" t="s">
        <v>102</v>
      </c>
      <c r="C98" s="286">
        <f>C76+'2. Consolidated'!C110</f>
        <v>1072.4459999999999</v>
      </c>
      <c r="D98" s="287">
        <f>D76+'2. Consolidated'!D110</f>
        <v>1517.8800000000006</v>
      </c>
      <c r="E98" s="286">
        <f>E76+'2. Consolidated'!E110</f>
        <v>1048.2999999999988</v>
      </c>
      <c r="F98" s="287">
        <f>F76+'2. Consolidated'!F110</f>
        <v>1055.0000000000016</v>
      </c>
      <c r="G98" s="286">
        <f>G76+'2. Consolidated'!G110</f>
        <v>1172.9000000000005</v>
      </c>
      <c r="H98" s="287">
        <f>H76+'2. Consolidated'!H110</f>
        <v>1211.5999999999999</v>
      </c>
      <c r="I98" s="286">
        <f>I76+'2. Consolidated'!I110</f>
        <v>1291.4000000000001</v>
      </c>
      <c r="J98" s="287">
        <f>J76+'2. Consolidated'!J110</f>
        <v>1471.8999999999999</v>
      </c>
      <c r="K98" s="286">
        <f>K76+'2. Consolidated'!K110</f>
        <v>1804.9000000000003</v>
      </c>
      <c r="L98" s="287">
        <f>L76+'2. Consolidated'!L110</f>
        <v>2150.8999999999987</v>
      </c>
      <c r="M98" s="286">
        <f>M76+'2. Consolidated'!M110</f>
        <v>2391.1999999999998</v>
      </c>
      <c r="N98" s="287">
        <f>N76+'2. Consolidated'!N110</f>
        <v>2401.5000000000009</v>
      </c>
      <c r="O98" s="287">
        <f>O76+'2. Consolidated'!O110</f>
        <v>2737.3000000000006</v>
      </c>
      <c r="P98" s="286">
        <f>P76+'2. Consolidated'!P110</f>
        <v>2878.2999999999984</v>
      </c>
      <c r="Q98" s="287">
        <f>Q76+'2. Consolidated'!Q110</f>
        <v>2846.9000000000015</v>
      </c>
      <c r="R98" s="286">
        <f>R76+'2. Consolidated'!R110</f>
        <v>831.99999999999977</v>
      </c>
      <c r="S98" s="286">
        <f>S76+'2. Consolidated'!S110</f>
        <v>693.00000000000023</v>
      </c>
      <c r="T98" s="286">
        <f>T76+'2. Consolidated'!T110</f>
        <v>795</v>
      </c>
      <c r="U98" s="286">
        <f>U76+'2. Consolidated'!U110</f>
        <v>863</v>
      </c>
      <c r="V98" s="287">
        <f>V76+'2. Consolidated'!V110</f>
        <v>3183</v>
      </c>
      <c r="W98" s="286">
        <f>W76+'2. Consolidated'!W110</f>
        <v>938</v>
      </c>
      <c r="X98" s="286">
        <f>X76+'2. Consolidated'!X110</f>
        <v>713</v>
      </c>
      <c r="Y98" s="286">
        <f>Y76+'2. Consolidated'!Y110</f>
        <v>864</v>
      </c>
      <c r="Z98" s="286">
        <f>Z76+'2. Consolidated'!Z110</f>
        <v>844</v>
      </c>
      <c r="AA98" s="287">
        <f>AA76+'2. Consolidated'!AA110</f>
        <v>3359</v>
      </c>
      <c r="AB98" s="287"/>
      <c r="AC98" s="286">
        <f>AC76+'2. Consolidated'!AC110</f>
        <v>896</v>
      </c>
      <c r="AD98" s="286">
        <f>AD76+'2. Consolidated'!AD110</f>
        <v>816</v>
      </c>
      <c r="AE98" s="286">
        <f>AE76+'2. Consolidated'!AE110</f>
        <v>965</v>
      </c>
      <c r="AF98" s="286">
        <f>AF76+'2. Consolidated'!AF110</f>
        <v>1014</v>
      </c>
      <c r="AG98" s="287">
        <f>AG76+'2. Consolidated'!AG110</f>
        <v>3691</v>
      </c>
      <c r="AH98" s="286">
        <f>AH76+'2. Consolidated'!AH110</f>
        <v>1168</v>
      </c>
      <c r="AI98" s="286">
        <f>AI76+'2. Consolidated'!AI110</f>
        <v>846</v>
      </c>
      <c r="AJ98" s="286">
        <f>AJ76+'2. Consolidated'!AJ110</f>
        <v>1021</v>
      </c>
      <c r="AK98" s="286">
        <f>AK76+'2. Consolidated'!AK110</f>
        <v>1060</v>
      </c>
      <c r="AL98" s="287">
        <f>AL76+'2. Consolidated'!AL110</f>
        <v>4095</v>
      </c>
      <c r="AM98" s="286">
        <f>AM76+'2. Consolidated'!AM110</f>
        <v>1385</v>
      </c>
      <c r="AN98" s="286">
        <f>AN76+'2. Consolidated'!AN110</f>
        <v>987</v>
      </c>
      <c r="AO98" s="286">
        <f>AO76+'2. Consolidated'!AO110</f>
        <v>1286</v>
      </c>
      <c r="AP98" s="286">
        <f>AP76+'2. Consolidated'!AP110</f>
        <v>1224</v>
      </c>
      <c r="AQ98" s="287">
        <f>AQ76+'2. Consolidated'!AQ110</f>
        <v>4882</v>
      </c>
      <c r="AR98" s="286">
        <f>AR76+'2. Consolidated'!AR110</f>
        <v>1614</v>
      </c>
      <c r="AS98" s="286">
        <f>AS76+'2. Consolidated'!AS110</f>
        <v>1132</v>
      </c>
      <c r="AT98" s="286">
        <f>AT76+'2. Consolidated'!AT110</f>
        <v>1299</v>
      </c>
      <c r="AU98" s="286">
        <f>AU76+'2. Consolidated'!AU110</f>
        <v>1259</v>
      </c>
      <c r="AV98" s="287">
        <f>AV76+'2. Consolidated'!AV110</f>
        <v>5304</v>
      </c>
      <c r="AW98" s="286">
        <f>AW76+'2. Consolidated'!AW110</f>
        <v>1461</v>
      </c>
      <c r="AX98" s="286">
        <f>AX76+'2. Consolidated'!AX110</f>
        <v>1302</v>
      </c>
      <c r="AY98" s="286">
        <f>AY76+'2. Consolidated'!AY110</f>
        <v>1517</v>
      </c>
      <c r="AZ98" s="286">
        <f>AZ76+'2. Consolidated'!AZ110</f>
        <v>1371</v>
      </c>
      <c r="BA98" s="287">
        <f>BA76+'2. Consolidated'!BA110</f>
        <v>5651</v>
      </c>
      <c r="BB98" s="286">
        <f>BB76+'2. Consolidated'!BB110</f>
        <v>1267</v>
      </c>
      <c r="BC98" s="286">
        <f>BC76+'2. Consolidated'!BC110</f>
        <v>1079</v>
      </c>
      <c r="BD98" s="286">
        <f>BD76+'2. Consolidated'!BD110</f>
        <v>1357</v>
      </c>
      <c r="BE98" s="286">
        <f>BE76+'2. Consolidated'!BE110</f>
        <v>1423</v>
      </c>
      <c r="BF98" s="287">
        <f>BF76+'2. Consolidated'!BF110</f>
        <v>5126</v>
      </c>
      <c r="BG98" s="286">
        <f>BG76+'2. Consolidated'!BG110</f>
        <v>1459</v>
      </c>
      <c r="BH98" s="286">
        <f>BH76+'2. Consolidated'!BH110</f>
        <v>1182</v>
      </c>
      <c r="BI98" s="286">
        <f>BI76+'2. Consolidated'!BI110</f>
        <v>1481</v>
      </c>
      <c r="BJ98" s="286">
        <f>BJ76+'2. Consolidated'!BJ110</f>
        <v>1433</v>
      </c>
      <c r="BK98" s="287">
        <f>BK76+'2. Consolidated'!BK110</f>
        <v>5555</v>
      </c>
      <c r="BL98" s="286">
        <f>BL76+'2. Consolidated'!BL110</f>
        <v>1745</v>
      </c>
      <c r="BM98" s="286">
        <f>BM76+'2. Consolidated'!BM110</f>
        <v>1435</v>
      </c>
      <c r="BN98" s="286">
        <f>BN76+'2. Consolidated'!BN110</f>
        <v>1463</v>
      </c>
      <c r="BO98" s="286">
        <f>BO76+'2. Consolidated'!BO110</f>
        <v>-546</v>
      </c>
      <c r="BP98" s="287">
        <f>BP76+'2. Consolidated'!BP110</f>
        <v>4097</v>
      </c>
      <c r="BQ98" s="286">
        <f>BQ76+'2. Consolidated'!BQ110</f>
        <v>1956</v>
      </c>
      <c r="BR98" s="286">
        <f>BR76+'2. Consolidated'!BR110</f>
        <v>1711</v>
      </c>
      <c r="BS98" s="286">
        <f>BS76+'2. Consolidated'!BS110</f>
        <v>1882</v>
      </c>
      <c r="BT98" s="286">
        <f>BT76+'2. Consolidated'!BT110</f>
        <v>2118</v>
      </c>
      <c r="BU98" s="287">
        <f>BU76+'2. Consolidated'!BU110</f>
        <v>7667</v>
      </c>
      <c r="BV98" s="286">
        <f>BV76+'2. Consolidated'!BV110</f>
        <v>2340</v>
      </c>
      <c r="BW98" s="286">
        <f>BW76+'2. Consolidated'!BW110</f>
        <v>1737</v>
      </c>
      <c r="BX98" s="286">
        <f>BX76+'2. Consolidated'!BX110</f>
        <v>1903</v>
      </c>
      <c r="BY98" s="286">
        <f>BY76+'2. Consolidated'!BY110</f>
        <v>1593</v>
      </c>
      <c r="BZ98" s="287">
        <f>BZ76+'2. Consolidated'!BZ110</f>
        <v>7573</v>
      </c>
      <c r="CA98" s="286">
        <f>CA76+'2. Consolidated'!CA110</f>
        <v>2010</v>
      </c>
      <c r="CB98" s="286">
        <f>CB76+'2. Consolidated'!CB110</f>
        <v>1839</v>
      </c>
      <c r="CC98" s="286">
        <f>CC76+'2. Consolidated'!CC110</f>
        <v>1644</v>
      </c>
      <c r="CD98" s="286">
        <f>CD76+'2. Consolidated'!CD110</f>
        <v>1405</v>
      </c>
      <c r="CE98" s="287">
        <f>CE76+'2. Consolidated'!CE110</f>
        <v>6898</v>
      </c>
      <c r="CF98" s="286">
        <f>CF76+'2. Consolidated'!CF110</f>
        <v>1805</v>
      </c>
      <c r="CG98" s="286">
        <f>CG76+'2. Consolidated'!CG110</f>
        <v>2091</v>
      </c>
      <c r="CH98" s="286">
        <f>CH76+'2. Consolidated'!CH110</f>
        <v>1962</v>
      </c>
      <c r="CI98" s="286">
        <f>CI76+'2. Consolidated'!CI110</f>
        <v>1920</v>
      </c>
      <c r="CJ98" s="287">
        <f>CJ76+'2. Consolidated'!CJ110</f>
        <v>7778</v>
      </c>
      <c r="CK98" s="286">
        <f>CK76+'2. Consolidated'!CK110</f>
        <v>1452</v>
      </c>
      <c r="CL98" s="286">
        <f>CL76+'2. Consolidated'!CL110</f>
        <v>1582</v>
      </c>
      <c r="CM98" s="286">
        <f>CM76+'2. Consolidated'!CM110</f>
        <v>1024</v>
      </c>
      <c r="CN98" s="286">
        <f>CN76+'2. Consolidated'!CN110</f>
        <v>495</v>
      </c>
      <c r="CO98" s="287">
        <f>CO76+'2. Consolidated'!CO110</f>
        <v>4553</v>
      </c>
      <c r="CP98" s="286">
        <f>CP76+'2. Consolidated'!CP110</f>
        <v>1094</v>
      </c>
      <c r="CQ98" s="286">
        <f>CQ76+'2. Consolidated'!CQ110</f>
        <v>1169</v>
      </c>
      <c r="CR98" s="286">
        <f>CR76+'2. Consolidated'!CR110</f>
        <v>838.94</v>
      </c>
      <c r="CS98" s="286">
        <f>CS76+'2. Consolidated'!CS110</f>
        <v>1514</v>
      </c>
      <c r="CT98" s="287">
        <f>CT76+'2. Consolidated'!CT110</f>
        <v>4615.9400000000005</v>
      </c>
      <c r="CU98" s="286">
        <f>CU76+'2. Consolidated'!CU110</f>
        <v>1101.75</v>
      </c>
      <c r="CV98" s="286">
        <f>CV76+'2. Consolidated'!CV110</f>
        <v>894.159431876844</v>
      </c>
      <c r="CW98" s="286">
        <f>CW76+'2. Consolidated'!CW110</f>
        <v>755.09725314247487</v>
      </c>
      <c r="CX98" s="286">
        <f>CX76+'2. Consolidated'!CX110</f>
        <v>469.60123577904295</v>
      </c>
      <c r="CY98" s="287">
        <f>CY76+'2. Consolidated'!CY110</f>
        <v>3220.6079207983616</v>
      </c>
      <c r="CZ98" s="286">
        <f>CZ76+'2. Consolidated'!CZ110</f>
        <v>1053.3712623986733</v>
      </c>
      <c r="DA98" s="286">
        <f>DA76+'2. Consolidated'!DA110</f>
        <v>806.74105087351074</v>
      </c>
      <c r="DB98" s="286">
        <f>DB76+'2. Consolidated'!DB110</f>
        <v>740.87772727286631</v>
      </c>
      <c r="DC98" s="286">
        <f>DC76+'2. Consolidated'!DC110</f>
        <v>462.96068296992178</v>
      </c>
      <c r="DD98" s="287">
        <f>DD76+'2. Consolidated'!DD110</f>
        <v>3063.9507235149722</v>
      </c>
      <c r="DE98" s="286">
        <f>DE76+'2. Consolidated'!DE110</f>
        <v>1115.6746172272151</v>
      </c>
      <c r="DF98" s="286">
        <f>DF76+'2. Consolidated'!DF110</f>
        <v>869.6886315670763</v>
      </c>
      <c r="DG98" s="286">
        <f>DG76+'2. Consolidated'!DG110</f>
        <v>805.31305676579473</v>
      </c>
      <c r="DH98" s="286">
        <f>DH76+'2. Consolidated'!DH110</f>
        <v>523.14899862135735</v>
      </c>
      <c r="DI98" s="287">
        <f>DI76+'2. Consolidated'!DI110</f>
        <v>3313.8253041814437</v>
      </c>
    </row>
    <row r="99" spans="1:124" s="7" customFormat="1" ht="12" customHeight="1">
      <c r="A99" s="239"/>
      <c r="B99" s="274" t="s">
        <v>146</v>
      </c>
      <c r="C99" s="288"/>
      <c r="D99" s="289"/>
      <c r="E99" s="288"/>
      <c r="F99" s="289"/>
      <c r="G99" s="288"/>
      <c r="H99" s="289"/>
      <c r="I99" s="288"/>
      <c r="J99" s="289"/>
      <c r="K99" s="288">
        <f t="shared" ref="K99:AA99" si="400">K98-K100</f>
        <v>2011.9000000000003</v>
      </c>
      <c r="L99" s="289">
        <f t="shared" si="400"/>
        <v>2383.8999999999987</v>
      </c>
      <c r="M99" s="288">
        <f t="shared" si="400"/>
        <v>2643.2</v>
      </c>
      <c r="N99" s="289">
        <f t="shared" si="400"/>
        <v>2686.5000000000009</v>
      </c>
      <c r="O99" s="289">
        <f t="shared" si="400"/>
        <v>3081.3000000000006</v>
      </c>
      <c r="P99" s="288">
        <f t="shared" si="400"/>
        <v>3275.2999999999984</v>
      </c>
      <c r="Q99" s="289">
        <f t="shared" si="400"/>
        <v>3262.9000000000015</v>
      </c>
      <c r="R99" s="288">
        <f t="shared" si="400"/>
        <v>943.49999999999977</v>
      </c>
      <c r="S99" s="288">
        <f t="shared" si="400"/>
        <v>804.50000000000023</v>
      </c>
      <c r="T99" s="288">
        <f t="shared" si="400"/>
        <v>906.5</v>
      </c>
      <c r="U99" s="288">
        <f t="shared" si="400"/>
        <v>974.5</v>
      </c>
      <c r="V99" s="289">
        <f t="shared" si="400"/>
        <v>3629</v>
      </c>
      <c r="W99" s="288">
        <f t="shared" si="400"/>
        <v>1045.75</v>
      </c>
      <c r="X99" s="288">
        <f t="shared" si="400"/>
        <v>820.75</v>
      </c>
      <c r="Y99" s="288">
        <f t="shared" si="400"/>
        <v>971.75</v>
      </c>
      <c r="Z99" s="288">
        <f t="shared" si="400"/>
        <v>951.75</v>
      </c>
      <c r="AA99" s="289">
        <f t="shared" si="400"/>
        <v>3790</v>
      </c>
      <c r="AB99" s="289"/>
      <c r="AC99" s="288">
        <f t="shared" ref="AC99:BH99" si="401">AC98-AC100</f>
        <v>1016.5</v>
      </c>
      <c r="AD99" s="288">
        <f t="shared" si="401"/>
        <v>936.5</v>
      </c>
      <c r="AE99" s="288">
        <f t="shared" si="401"/>
        <v>1085.5</v>
      </c>
      <c r="AF99" s="288">
        <f t="shared" si="401"/>
        <v>1134.5</v>
      </c>
      <c r="AG99" s="289">
        <f t="shared" si="401"/>
        <v>4173</v>
      </c>
      <c r="AH99" s="288">
        <f t="shared" si="401"/>
        <v>1301.25</v>
      </c>
      <c r="AI99" s="288">
        <f t="shared" si="401"/>
        <v>979.25</v>
      </c>
      <c r="AJ99" s="288">
        <f t="shared" si="401"/>
        <v>1154.25</v>
      </c>
      <c r="AK99" s="288">
        <f t="shared" si="401"/>
        <v>1193.25</v>
      </c>
      <c r="AL99" s="289">
        <f t="shared" si="401"/>
        <v>4628</v>
      </c>
      <c r="AM99" s="288">
        <f t="shared" si="401"/>
        <v>1533.5</v>
      </c>
      <c r="AN99" s="288">
        <f t="shared" si="401"/>
        <v>1135.5</v>
      </c>
      <c r="AO99" s="288">
        <f t="shared" si="401"/>
        <v>1434.5</v>
      </c>
      <c r="AP99" s="288">
        <f t="shared" si="401"/>
        <v>1372.5</v>
      </c>
      <c r="AQ99" s="289">
        <f t="shared" si="401"/>
        <v>5476</v>
      </c>
      <c r="AR99" s="288">
        <f t="shared" si="401"/>
        <v>1779.25</v>
      </c>
      <c r="AS99" s="288">
        <f t="shared" si="401"/>
        <v>1297.25</v>
      </c>
      <c r="AT99" s="288">
        <f t="shared" si="401"/>
        <v>1464.25</v>
      </c>
      <c r="AU99" s="288">
        <f t="shared" si="401"/>
        <v>1424.25</v>
      </c>
      <c r="AV99" s="289">
        <f t="shared" si="401"/>
        <v>5965</v>
      </c>
      <c r="AW99" s="288">
        <f t="shared" si="401"/>
        <v>1643.75</v>
      </c>
      <c r="AX99" s="288">
        <f t="shared" si="401"/>
        <v>1484.75</v>
      </c>
      <c r="AY99" s="288">
        <f t="shared" si="401"/>
        <v>1699.75</v>
      </c>
      <c r="AZ99" s="288">
        <f t="shared" si="401"/>
        <v>1553.75</v>
      </c>
      <c r="BA99" s="289">
        <f t="shared" si="401"/>
        <v>6382</v>
      </c>
      <c r="BB99" s="288">
        <f t="shared" si="401"/>
        <v>1472</v>
      </c>
      <c r="BC99" s="288">
        <f t="shared" si="401"/>
        <v>1284</v>
      </c>
      <c r="BD99" s="288">
        <f t="shared" si="401"/>
        <v>1562</v>
      </c>
      <c r="BE99" s="288">
        <f t="shared" si="401"/>
        <v>1628</v>
      </c>
      <c r="BF99" s="289">
        <f t="shared" si="401"/>
        <v>5946</v>
      </c>
      <c r="BG99" s="288">
        <f t="shared" si="401"/>
        <v>1666.25</v>
      </c>
      <c r="BH99" s="288">
        <f t="shared" si="401"/>
        <v>1389.25</v>
      </c>
      <c r="BI99" s="288">
        <f t="shared" ref="BI99:CJ99" si="402">BI98-BI100</f>
        <v>1688.25</v>
      </c>
      <c r="BJ99" s="288">
        <f t="shared" si="402"/>
        <v>1640.25</v>
      </c>
      <c r="BK99" s="289">
        <f t="shared" si="402"/>
        <v>6384</v>
      </c>
      <c r="BL99" s="288">
        <f t="shared" si="402"/>
        <v>1971.5</v>
      </c>
      <c r="BM99" s="288">
        <f t="shared" si="402"/>
        <v>1661.5</v>
      </c>
      <c r="BN99" s="288">
        <f t="shared" si="402"/>
        <v>1689.5</v>
      </c>
      <c r="BO99" s="288">
        <f t="shared" si="402"/>
        <v>-319.5</v>
      </c>
      <c r="BP99" s="289">
        <f t="shared" si="402"/>
        <v>5003</v>
      </c>
      <c r="BQ99" s="288">
        <f t="shared" si="402"/>
        <v>2190</v>
      </c>
      <c r="BR99" s="288">
        <f t="shared" si="402"/>
        <v>1945</v>
      </c>
      <c r="BS99" s="288">
        <f t="shared" si="402"/>
        <v>2116</v>
      </c>
      <c r="BT99" s="288">
        <f t="shared" si="402"/>
        <v>2352</v>
      </c>
      <c r="BU99" s="289">
        <f t="shared" si="402"/>
        <v>8603</v>
      </c>
      <c r="BV99" s="288">
        <f t="shared" si="402"/>
        <v>2579.75</v>
      </c>
      <c r="BW99" s="288">
        <f t="shared" si="402"/>
        <v>1976.75</v>
      </c>
      <c r="BX99" s="288">
        <f t="shared" si="402"/>
        <v>2142.75</v>
      </c>
      <c r="BY99" s="288">
        <f t="shared" si="402"/>
        <v>1832.75</v>
      </c>
      <c r="BZ99" s="289">
        <f t="shared" si="402"/>
        <v>8532</v>
      </c>
      <c r="CA99" s="288">
        <f t="shared" si="402"/>
        <v>2257</v>
      </c>
      <c r="CB99" s="288">
        <f t="shared" si="402"/>
        <v>2086</v>
      </c>
      <c r="CC99" s="288">
        <f t="shared" ref="CC99:CE99" si="403">CC98-CC100</f>
        <v>1891</v>
      </c>
      <c r="CD99" s="288">
        <f t="shared" si="403"/>
        <v>1652</v>
      </c>
      <c r="CE99" s="289">
        <f t="shared" si="403"/>
        <v>7886</v>
      </c>
      <c r="CF99" s="288">
        <f t="shared" si="402"/>
        <v>2067.75</v>
      </c>
      <c r="CG99" s="288">
        <f t="shared" si="402"/>
        <v>2353.75</v>
      </c>
      <c r="CH99" s="288">
        <f t="shared" si="402"/>
        <v>2224.75</v>
      </c>
      <c r="CI99" s="288">
        <f t="shared" si="402"/>
        <v>2182.75</v>
      </c>
      <c r="CJ99" s="289">
        <f t="shared" si="402"/>
        <v>8829</v>
      </c>
      <c r="CK99" s="288">
        <f t="shared" ref="CK99" si="404">CK98-CK100</f>
        <v>1725.75</v>
      </c>
      <c r="CL99" s="288">
        <f t="shared" ref="CL99:CO99" si="405">CL98-CL100</f>
        <v>1855.75</v>
      </c>
      <c r="CM99" s="288">
        <f t="shared" si="405"/>
        <v>1297.75</v>
      </c>
      <c r="CN99" s="288">
        <f t="shared" si="405"/>
        <v>768.75</v>
      </c>
      <c r="CO99" s="289">
        <f t="shared" si="405"/>
        <v>5648</v>
      </c>
      <c r="CP99" s="288">
        <f t="shared" ref="CP99:CT99" si="406">CP98-CP100</f>
        <v>1380.5</v>
      </c>
      <c r="CQ99" s="288">
        <f t="shared" si="406"/>
        <v>1455.5</v>
      </c>
      <c r="CR99" s="288">
        <f t="shared" si="406"/>
        <v>1125.44</v>
      </c>
      <c r="CS99" s="288">
        <f t="shared" si="406"/>
        <v>1800.5</v>
      </c>
      <c r="CT99" s="289">
        <f t="shared" si="406"/>
        <v>5761.9400000000005</v>
      </c>
      <c r="CU99" s="288">
        <f t="shared" ref="CU99:CY99" si="407">CU98-CU100</f>
        <v>1416.9</v>
      </c>
      <c r="CV99" s="288">
        <f t="shared" si="407"/>
        <v>1209.309431876844</v>
      </c>
      <c r="CW99" s="288">
        <f t="shared" si="407"/>
        <v>1070.2472531424748</v>
      </c>
      <c r="CX99" s="288">
        <f t="shared" si="407"/>
        <v>784.75123577904299</v>
      </c>
      <c r="CY99" s="289">
        <f t="shared" si="407"/>
        <v>4481.2079207983616</v>
      </c>
      <c r="CZ99" s="288">
        <f t="shared" ref="CZ99:DD99" si="408">CZ98-CZ100</f>
        <v>1400.0362623986734</v>
      </c>
      <c r="DA99" s="288">
        <f t="shared" si="408"/>
        <v>1153.4060508735108</v>
      </c>
      <c r="DB99" s="288">
        <f t="shared" si="408"/>
        <v>1087.5427272728664</v>
      </c>
      <c r="DC99" s="288">
        <f t="shared" si="408"/>
        <v>809.62568296992185</v>
      </c>
      <c r="DD99" s="289">
        <f t="shared" si="408"/>
        <v>4450.6107235149721</v>
      </c>
      <c r="DE99" s="288">
        <f t="shared" ref="DE99:DI99" si="409">DE98-DE100</f>
        <v>1497.0061172272153</v>
      </c>
      <c r="DF99" s="288">
        <f t="shared" si="409"/>
        <v>1251.0201315670765</v>
      </c>
      <c r="DG99" s="288">
        <f t="shared" si="409"/>
        <v>1186.6445567657947</v>
      </c>
      <c r="DH99" s="288">
        <f t="shared" si="409"/>
        <v>904.48049862135747</v>
      </c>
      <c r="DI99" s="289">
        <f t="shared" si="409"/>
        <v>4839.1513041814442</v>
      </c>
    </row>
    <row r="100" spans="1:124" s="7" customFormat="1" ht="12" customHeight="1">
      <c r="A100" s="239"/>
      <c r="B100" s="274" t="s">
        <v>127</v>
      </c>
      <c r="C100" s="288"/>
      <c r="D100" s="289"/>
      <c r="E100" s="288"/>
      <c r="F100" s="289"/>
      <c r="G100" s="288"/>
      <c r="H100" s="289"/>
      <c r="I100" s="288"/>
      <c r="J100" s="289"/>
      <c r="K100" s="288">
        <v>-207</v>
      </c>
      <c r="L100" s="289">
        <v>-233</v>
      </c>
      <c r="M100" s="288">
        <v>-252</v>
      </c>
      <c r="N100" s="289">
        <v>-285</v>
      </c>
      <c r="O100" s="289">
        <v>-344</v>
      </c>
      <c r="P100" s="288">
        <v>-397</v>
      </c>
      <c r="Q100" s="289">
        <v>-416</v>
      </c>
      <c r="R100" s="288">
        <f>+V100/4</f>
        <v>-111.5</v>
      </c>
      <c r="S100" s="288">
        <f>+V100/4</f>
        <v>-111.5</v>
      </c>
      <c r="T100" s="288">
        <f>+V100/4</f>
        <v>-111.5</v>
      </c>
      <c r="U100" s="288">
        <f>+V100/4</f>
        <v>-111.5</v>
      </c>
      <c r="V100" s="289">
        <v>-446</v>
      </c>
      <c r="W100" s="288">
        <f>+AA100/4</f>
        <v>-107.75</v>
      </c>
      <c r="X100" s="288">
        <f>+AA100/4</f>
        <v>-107.75</v>
      </c>
      <c r="Y100" s="288">
        <f>+AA100/4</f>
        <v>-107.75</v>
      </c>
      <c r="Z100" s="288">
        <f>+AA100/4</f>
        <v>-107.75</v>
      </c>
      <c r="AA100" s="289">
        <v>-431</v>
      </c>
      <c r="AB100" s="289"/>
      <c r="AC100" s="288">
        <f>+AG100/4</f>
        <v>-120.5</v>
      </c>
      <c r="AD100" s="288">
        <f>+AG100/4</f>
        <v>-120.5</v>
      </c>
      <c r="AE100" s="288">
        <f>+AG100/4</f>
        <v>-120.5</v>
      </c>
      <c r="AF100" s="288">
        <f>+AG100/4</f>
        <v>-120.5</v>
      </c>
      <c r="AG100" s="289">
        <v>-482</v>
      </c>
      <c r="AH100" s="288">
        <f>+AL100/4</f>
        <v>-133.25</v>
      </c>
      <c r="AI100" s="288">
        <f>+AL100/4</f>
        <v>-133.25</v>
      </c>
      <c r="AJ100" s="288">
        <f>+AL100/4</f>
        <v>-133.25</v>
      </c>
      <c r="AK100" s="288">
        <f>+AL100/4</f>
        <v>-133.25</v>
      </c>
      <c r="AL100" s="289">
        <v>-533</v>
      </c>
      <c r="AM100" s="288">
        <f>+AQ100/4</f>
        <v>-148.5</v>
      </c>
      <c r="AN100" s="288">
        <f>+AQ100/4</f>
        <v>-148.5</v>
      </c>
      <c r="AO100" s="288">
        <f>+AQ100/4</f>
        <v>-148.5</v>
      </c>
      <c r="AP100" s="288">
        <f>+AQ100/4</f>
        <v>-148.5</v>
      </c>
      <c r="AQ100" s="289">
        <v>-594</v>
      </c>
      <c r="AR100" s="288">
        <f>+AV100/4</f>
        <v>-165.25</v>
      </c>
      <c r="AS100" s="288">
        <f>+AV100/4</f>
        <v>-165.25</v>
      </c>
      <c r="AT100" s="288">
        <f>+AV100/4</f>
        <v>-165.25</v>
      </c>
      <c r="AU100" s="288">
        <f>+AV100/4</f>
        <v>-165.25</v>
      </c>
      <c r="AV100" s="289">
        <v>-661</v>
      </c>
      <c r="AW100" s="288">
        <f>+BA100/4</f>
        <v>-182.75</v>
      </c>
      <c r="AX100" s="288">
        <f>+BA100/4</f>
        <v>-182.75</v>
      </c>
      <c r="AY100" s="288">
        <f>+BA100/4</f>
        <v>-182.75</v>
      </c>
      <c r="AZ100" s="288">
        <f>+BA100/4</f>
        <v>-182.75</v>
      </c>
      <c r="BA100" s="289">
        <v>-731</v>
      </c>
      <c r="BB100" s="288">
        <f>+BF100/4</f>
        <v>-205</v>
      </c>
      <c r="BC100" s="288">
        <f>+BF100/4</f>
        <v>-205</v>
      </c>
      <c r="BD100" s="288">
        <f>+BF100/4</f>
        <v>-205</v>
      </c>
      <c r="BE100" s="288">
        <f>+BF100/4</f>
        <v>-205</v>
      </c>
      <c r="BF100" s="289">
        <v>-820</v>
      </c>
      <c r="BG100" s="288">
        <f>+BK100/4</f>
        <v>-207.25</v>
      </c>
      <c r="BH100" s="288">
        <f>+BK100/4</f>
        <v>-207.25</v>
      </c>
      <c r="BI100" s="288">
        <f>+BK100/4</f>
        <v>-207.25</v>
      </c>
      <c r="BJ100" s="288">
        <f>+BK100/4</f>
        <v>-207.25</v>
      </c>
      <c r="BK100" s="290">
        <v>-829</v>
      </c>
      <c r="BL100" s="288">
        <f>+BP100/4</f>
        <v>-226.5</v>
      </c>
      <c r="BM100" s="288">
        <f>+BP100/4</f>
        <v>-226.5</v>
      </c>
      <c r="BN100" s="288">
        <f>+BP100/4</f>
        <v>-226.5</v>
      </c>
      <c r="BO100" s="288">
        <f>+BP100/4</f>
        <v>-226.5</v>
      </c>
      <c r="BP100" s="290">
        <f>-569-337</f>
        <v>-906</v>
      </c>
      <c r="BQ100" s="288">
        <f>+BU100/4</f>
        <v>-234</v>
      </c>
      <c r="BR100" s="288">
        <f>+BU100/4</f>
        <v>-234</v>
      </c>
      <c r="BS100" s="288">
        <f>+BU100/4</f>
        <v>-234</v>
      </c>
      <c r="BT100" s="288">
        <f>+BU100/4</f>
        <v>-234</v>
      </c>
      <c r="BU100" s="290">
        <f>-589-347</f>
        <v>-936</v>
      </c>
      <c r="BV100" s="288">
        <f>+BZ100/4</f>
        <v>-239.75</v>
      </c>
      <c r="BW100" s="288">
        <f>+BZ100/4</f>
        <v>-239.75</v>
      </c>
      <c r="BX100" s="288">
        <f>+BZ100/4</f>
        <v>-239.75</v>
      </c>
      <c r="BY100" s="288">
        <f>+BZ100/4</f>
        <v>-239.75</v>
      </c>
      <c r="BZ100" s="290">
        <f>-593-366</f>
        <v>-959</v>
      </c>
      <c r="CA100" s="288">
        <f>+CE100/4</f>
        <v>-247</v>
      </c>
      <c r="CB100" s="288">
        <f>+CE100/4</f>
        <v>-247</v>
      </c>
      <c r="CC100" s="288">
        <f>+CE100/4</f>
        <v>-247</v>
      </c>
      <c r="CD100" s="288">
        <f>+CE100/4</f>
        <v>-247</v>
      </c>
      <c r="CE100" s="290">
        <f>-585-403</f>
        <v>-988</v>
      </c>
      <c r="CF100" s="288">
        <f>+CJ100/4</f>
        <v>-262.75</v>
      </c>
      <c r="CG100" s="288">
        <f>+CJ100/4</f>
        <v>-262.75</v>
      </c>
      <c r="CH100" s="288">
        <f>+CJ100/4</f>
        <v>-262.75</v>
      </c>
      <c r="CI100" s="288">
        <f>+CJ100/4</f>
        <v>-262.75</v>
      </c>
      <c r="CJ100" s="290">
        <f>-618-433</f>
        <v>-1051</v>
      </c>
      <c r="CK100" s="288">
        <f>+CO100/4</f>
        <v>-273.75</v>
      </c>
      <c r="CL100" s="288">
        <f>+CO100/4</f>
        <v>-273.75</v>
      </c>
      <c r="CM100" s="288">
        <f>+CO100/4</f>
        <v>-273.75</v>
      </c>
      <c r="CN100" s="288">
        <f>+CO100/4</f>
        <v>-273.75</v>
      </c>
      <c r="CO100" s="290">
        <f>-663-432</f>
        <v>-1095</v>
      </c>
      <c r="CP100" s="288">
        <f>+CT100/4</f>
        <v>-286.5</v>
      </c>
      <c r="CQ100" s="288">
        <f>+CT100/4</f>
        <v>-286.5</v>
      </c>
      <c r="CR100" s="288">
        <f>+CT100/4</f>
        <v>-286.5</v>
      </c>
      <c r="CS100" s="288">
        <f>+CT100/4</f>
        <v>-286.5</v>
      </c>
      <c r="CT100" s="290">
        <f>-693-453</f>
        <v>-1146</v>
      </c>
      <c r="CU100" s="288">
        <f>+CY100/4</f>
        <v>-315.15000000000003</v>
      </c>
      <c r="CV100" s="288">
        <f>+CY100/4</f>
        <v>-315.15000000000003</v>
      </c>
      <c r="CW100" s="288">
        <f>+CY100/4</f>
        <v>-315.15000000000003</v>
      </c>
      <c r="CX100" s="288">
        <f>+CY100/4</f>
        <v>-315.15000000000003</v>
      </c>
      <c r="CY100" s="291">
        <f>CT100*1.1</f>
        <v>-1260.6000000000001</v>
      </c>
      <c r="CZ100" s="288">
        <f>+DD100/4</f>
        <v>-346.66500000000008</v>
      </c>
      <c r="DA100" s="288">
        <f>+DD100/4</f>
        <v>-346.66500000000008</v>
      </c>
      <c r="DB100" s="288">
        <f>+DD100/4</f>
        <v>-346.66500000000008</v>
      </c>
      <c r="DC100" s="288">
        <f>+DD100/4</f>
        <v>-346.66500000000008</v>
      </c>
      <c r="DD100" s="291">
        <f>CY100*1.1</f>
        <v>-1386.6600000000003</v>
      </c>
      <c r="DE100" s="288">
        <f>+DI100/4</f>
        <v>-381.33150000000012</v>
      </c>
      <c r="DF100" s="288">
        <f>+DI100/4</f>
        <v>-381.33150000000012</v>
      </c>
      <c r="DG100" s="288">
        <f>+DI100/4</f>
        <v>-381.33150000000012</v>
      </c>
      <c r="DH100" s="288">
        <f>+DI100/4</f>
        <v>-381.33150000000012</v>
      </c>
      <c r="DI100" s="291">
        <f>DD100*1.1</f>
        <v>-1525.3260000000005</v>
      </c>
    </row>
    <row r="101" spans="1:124" s="7" customFormat="1" ht="12" customHeight="1">
      <c r="A101" s="239"/>
      <c r="B101" s="274" t="s">
        <v>145</v>
      </c>
      <c r="C101" s="288"/>
      <c r="D101" s="289"/>
      <c r="E101" s="288"/>
      <c r="F101" s="289"/>
      <c r="G101" s="288"/>
      <c r="H101" s="289"/>
      <c r="I101" s="288"/>
      <c r="J101" s="289"/>
      <c r="K101" s="288">
        <f t="shared" ref="K101:Q101" si="410">-K100*8</f>
        <v>1656</v>
      </c>
      <c r="L101" s="289">
        <f t="shared" si="410"/>
        <v>1864</v>
      </c>
      <c r="M101" s="288">
        <f t="shared" si="410"/>
        <v>2016</v>
      </c>
      <c r="N101" s="289">
        <f t="shared" si="410"/>
        <v>2280</v>
      </c>
      <c r="O101" s="289">
        <f t="shared" si="410"/>
        <v>2752</v>
      </c>
      <c r="P101" s="288">
        <f t="shared" si="410"/>
        <v>3176</v>
      </c>
      <c r="Q101" s="289">
        <f t="shared" si="410"/>
        <v>3328</v>
      </c>
      <c r="R101" s="288"/>
      <c r="S101" s="288"/>
      <c r="T101" s="288"/>
      <c r="U101" s="288"/>
      <c r="V101" s="289">
        <f>-V100*8</f>
        <v>3568</v>
      </c>
      <c r="W101" s="288"/>
      <c r="X101" s="288"/>
      <c r="Y101" s="288"/>
      <c r="Z101" s="288"/>
      <c r="AA101" s="289">
        <f>-AA100*8</f>
        <v>3448</v>
      </c>
      <c r="AB101" s="289"/>
      <c r="AC101" s="288"/>
      <c r="AD101" s="288"/>
      <c r="AE101" s="288"/>
      <c r="AF101" s="288"/>
      <c r="AG101" s="289">
        <f>-AG100*8</f>
        <v>3856</v>
      </c>
      <c r="AH101" s="288"/>
      <c r="AI101" s="288"/>
      <c r="AJ101" s="288"/>
      <c r="AK101" s="288"/>
      <c r="AL101" s="289">
        <f>-AL100*8</f>
        <v>4264</v>
      </c>
      <c r="AM101" s="288"/>
      <c r="AN101" s="288"/>
      <c r="AO101" s="288"/>
      <c r="AP101" s="288"/>
      <c r="AQ101" s="289">
        <f>-AQ100*8</f>
        <v>4752</v>
      </c>
      <c r="AR101" s="288"/>
      <c r="AS101" s="288"/>
      <c r="AT101" s="288"/>
      <c r="AU101" s="288"/>
      <c r="AV101" s="289">
        <f>-AV100*8</f>
        <v>5288</v>
      </c>
      <c r="AW101" s="288"/>
      <c r="AX101" s="288"/>
      <c r="AY101" s="288"/>
      <c r="AZ101" s="288"/>
      <c r="BA101" s="289">
        <f>-BA100*8</f>
        <v>5848</v>
      </c>
      <c r="BB101" s="288"/>
      <c r="BC101" s="288"/>
      <c r="BD101" s="288"/>
      <c r="BE101" s="288"/>
      <c r="BF101" s="289">
        <f>-BF100*8</f>
        <v>6560</v>
      </c>
      <c r="BG101" s="288"/>
      <c r="BH101" s="288"/>
      <c r="BI101" s="288"/>
      <c r="BJ101" s="288"/>
      <c r="BK101" s="289">
        <f>-BK100*8</f>
        <v>6632</v>
      </c>
      <c r="BL101" s="288"/>
      <c r="BM101" s="288"/>
      <c r="BN101" s="288"/>
      <c r="BO101" s="288"/>
      <c r="BP101" s="289">
        <f>-BP100*8</f>
        <v>7248</v>
      </c>
      <c r="BQ101" s="288"/>
      <c r="BR101" s="288"/>
      <c r="BS101" s="288"/>
      <c r="BT101" s="288"/>
      <c r="BU101" s="289">
        <f>-BU100*8</f>
        <v>7488</v>
      </c>
      <c r="BV101" s="288"/>
      <c r="BW101" s="288"/>
      <c r="BX101" s="288"/>
      <c r="BY101" s="288"/>
      <c r="BZ101" s="289">
        <f>-BZ100*8</f>
        <v>7672</v>
      </c>
      <c r="CA101" s="288"/>
      <c r="CB101" s="288"/>
      <c r="CC101" s="288"/>
      <c r="CD101" s="288"/>
      <c r="CE101" s="289">
        <f>-CE100*8</f>
        <v>7904</v>
      </c>
      <c r="CF101" s="288"/>
      <c r="CG101" s="288"/>
      <c r="CH101" s="288"/>
      <c r="CI101" s="288"/>
      <c r="CJ101" s="289">
        <f>-CJ100*8</f>
        <v>8408</v>
      </c>
      <c r="CK101" s="288"/>
      <c r="CL101" s="288"/>
      <c r="CM101" s="288"/>
      <c r="CN101" s="288"/>
      <c r="CO101" s="289">
        <f>-CO100*8</f>
        <v>8760</v>
      </c>
      <c r="CP101" s="288"/>
      <c r="CQ101" s="288"/>
      <c r="CR101" s="288"/>
      <c r="CS101" s="288"/>
      <c r="CT101" s="289">
        <f>-CT100*8</f>
        <v>9168</v>
      </c>
      <c r="CU101" s="288"/>
      <c r="CV101" s="288"/>
      <c r="CW101" s="288"/>
      <c r="CX101" s="288"/>
      <c r="CY101" s="289">
        <f>-CY100*8</f>
        <v>10084.800000000001</v>
      </c>
      <c r="CZ101" s="288"/>
      <c r="DA101" s="288"/>
      <c r="DB101" s="288"/>
      <c r="DC101" s="288"/>
      <c r="DD101" s="289">
        <f>-DD100*8</f>
        <v>11093.280000000002</v>
      </c>
      <c r="DE101" s="288"/>
      <c r="DF101" s="288"/>
      <c r="DG101" s="288"/>
      <c r="DH101" s="288"/>
      <c r="DI101" s="289">
        <f>-DI100*8</f>
        <v>12202.608000000004</v>
      </c>
    </row>
    <row r="102" spans="1:124" s="319" customFormat="1" ht="12" customHeight="1">
      <c r="A102" s="261"/>
      <c r="B102" s="315" t="s">
        <v>269</v>
      </c>
      <c r="C102" s="316" t="s">
        <v>1</v>
      </c>
      <c r="D102" s="317" t="s">
        <v>1</v>
      </c>
      <c r="E102" s="316" t="s">
        <v>1</v>
      </c>
      <c r="F102" s="317" t="s">
        <v>1</v>
      </c>
      <c r="G102" s="316" t="s">
        <v>1</v>
      </c>
      <c r="H102" s="317" t="s">
        <v>1</v>
      </c>
      <c r="I102" s="316" t="s">
        <v>1</v>
      </c>
      <c r="J102" s="317" t="s">
        <v>1</v>
      </c>
      <c r="K102" s="316" t="s">
        <v>1</v>
      </c>
      <c r="L102" s="317" t="s">
        <v>1</v>
      </c>
      <c r="M102" s="316" t="s">
        <v>1</v>
      </c>
      <c r="N102" s="317" t="s">
        <v>1</v>
      </c>
      <c r="O102" s="317" t="s">
        <v>1</v>
      </c>
      <c r="P102" s="316" t="s">
        <v>1</v>
      </c>
      <c r="Q102" s="317">
        <f t="shared" ref="Q102:Z102" si="411">+Q340</f>
        <v>0.26500000000000001</v>
      </c>
      <c r="R102" s="316">
        <f t="shared" si="411"/>
        <v>0.06</v>
      </c>
      <c r="S102" s="316">
        <f t="shared" si="411"/>
        <v>0.08</v>
      </c>
      <c r="T102" s="316">
        <f t="shared" si="411"/>
        <v>0.08</v>
      </c>
      <c r="U102" s="316">
        <f t="shared" si="411"/>
        <v>0.08</v>
      </c>
      <c r="V102" s="317">
        <f t="shared" si="411"/>
        <v>0.3</v>
      </c>
      <c r="W102" s="316">
        <f t="shared" si="411"/>
        <v>0.08</v>
      </c>
      <c r="X102" s="316">
        <f t="shared" si="411"/>
        <v>0.09</v>
      </c>
      <c r="Y102" s="316">
        <f t="shared" si="411"/>
        <v>0.09</v>
      </c>
      <c r="Z102" s="316">
        <f t="shared" si="411"/>
        <v>0.09</v>
      </c>
      <c r="AA102" s="317">
        <f t="shared" ref="AA102:AF102" si="412">+AA340</f>
        <v>0.35</v>
      </c>
      <c r="AB102" s="317"/>
      <c r="AC102" s="262">
        <f t="shared" si="412"/>
        <v>0.09</v>
      </c>
      <c r="AD102" s="262">
        <f t="shared" si="412"/>
        <v>0.105</v>
      </c>
      <c r="AE102" s="262">
        <f t="shared" si="412"/>
        <v>0.105</v>
      </c>
      <c r="AF102" s="262">
        <f t="shared" si="412"/>
        <v>0.105</v>
      </c>
      <c r="AG102" s="318">
        <f t="shared" ref="AG102:BP102" si="413">+AG340</f>
        <v>0.40499999999999997</v>
      </c>
      <c r="AH102" s="262">
        <f t="shared" si="413"/>
        <v>0.105</v>
      </c>
      <c r="AI102" s="262">
        <f t="shared" si="413"/>
        <v>0.12</v>
      </c>
      <c r="AJ102" s="262">
        <f t="shared" si="413"/>
        <v>0.12</v>
      </c>
      <c r="AK102" s="262">
        <f t="shared" si="413"/>
        <v>0.12</v>
      </c>
      <c r="AL102" s="318">
        <f t="shared" si="413"/>
        <v>0.46499999999999997</v>
      </c>
      <c r="AM102" s="262">
        <f t="shared" si="413"/>
        <v>0.12</v>
      </c>
      <c r="AN102" s="262">
        <f t="shared" si="413"/>
        <v>0.14000000000000001</v>
      </c>
      <c r="AO102" s="262">
        <f t="shared" si="413"/>
        <v>0.14000000000000001</v>
      </c>
      <c r="AP102" s="262">
        <f t="shared" si="413"/>
        <v>0.14000000000000001</v>
      </c>
      <c r="AQ102" s="318">
        <f t="shared" si="413"/>
        <v>0.54</v>
      </c>
      <c r="AR102" s="262">
        <f t="shared" si="413"/>
        <v>0.14000000000000001</v>
      </c>
      <c r="AS102" s="262">
        <f t="shared" si="413"/>
        <v>0.16</v>
      </c>
      <c r="AT102" s="262">
        <f t="shared" si="413"/>
        <v>0.16</v>
      </c>
      <c r="AU102" s="262">
        <f t="shared" si="413"/>
        <v>0.16</v>
      </c>
      <c r="AV102" s="318">
        <f t="shared" si="413"/>
        <v>0.62000000000000011</v>
      </c>
      <c r="AW102" s="262">
        <f t="shared" si="413"/>
        <v>0.16</v>
      </c>
      <c r="AX102" s="262">
        <f t="shared" si="413"/>
        <v>0.18</v>
      </c>
      <c r="AY102" s="262">
        <f t="shared" si="413"/>
        <v>0.18</v>
      </c>
      <c r="AZ102" s="262">
        <f t="shared" si="413"/>
        <v>0.18</v>
      </c>
      <c r="BA102" s="318">
        <f t="shared" si="413"/>
        <v>0.7</v>
      </c>
      <c r="BB102" s="262">
        <f t="shared" si="413"/>
        <v>0.18</v>
      </c>
      <c r="BC102" s="262">
        <f t="shared" si="413"/>
        <v>0.2</v>
      </c>
      <c r="BD102" s="262">
        <f t="shared" si="413"/>
        <v>0.2</v>
      </c>
      <c r="BE102" s="262">
        <f>+BE340</f>
        <v>0.2</v>
      </c>
      <c r="BF102" s="318">
        <f t="shared" si="413"/>
        <v>0.78</v>
      </c>
      <c r="BG102" s="262">
        <f t="shared" si="413"/>
        <v>0.2</v>
      </c>
      <c r="BH102" s="262">
        <f t="shared" si="413"/>
        <v>0.22</v>
      </c>
      <c r="BI102" s="262">
        <f t="shared" si="413"/>
        <v>0.22</v>
      </c>
      <c r="BJ102" s="262">
        <f t="shared" si="413"/>
        <v>0.22</v>
      </c>
      <c r="BK102" s="318">
        <f t="shared" si="413"/>
        <v>0.86</v>
      </c>
      <c r="BL102" s="262">
        <f t="shared" si="413"/>
        <v>0.22</v>
      </c>
      <c r="BM102" s="262">
        <f t="shared" si="413"/>
        <v>0.245</v>
      </c>
      <c r="BN102" s="262">
        <f t="shared" si="413"/>
        <v>0.245</v>
      </c>
      <c r="BO102" s="262">
        <f t="shared" si="413"/>
        <v>0.245</v>
      </c>
      <c r="BP102" s="318">
        <f t="shared" si="413"/>
        <v>0.95499999999999996</v>
      </c>
      <c r="BQ102" s="262">
        <f t="shared" ref="BQ102:BZ102" si="414">+BQ340</f>
        <v>0.245</v>
      </c>
      <c r="BR102" s="262">
        <f t="shared" si="414"/>
        <v>0.27500000000000002</v>
      </c>
      <c r="BS102" s="262">
        <f t="shared" si="414"/>
        <v>0.27500000000000002</v>
      </c>
      <c r="BT102" s="262">
        <f t="shared" si="414"/>
        <v>0.27500000000000002</v>
      </c>
      <c r="BU102" s="318">
        <f t="shared" si="414"/>
        <v>1.07</v>
      </c>
      <c r="BV102" s="262">
        <f t="shared" si="414"/>
        <v>0.27500000000000002</v>
      </c>
      <c r="BW102" s="262">
        <f t="shared" si="414"/>
        <v>0.30499999999999999</v>
      </c>
      <c r="BX102" s="262">
        <f t="shared" si="414"/>
        <v>0.30499999999999999</v>
      </c>
      <c r="BY102" s="262">
        <f t="shared" si="414"/>
        <v>0.30499999999999999</v>
      </c>
      <c r="BZ102" s="318">
        <f t="shared" si="414"/>
        <v>1.19</v>
      </c>
      <c r="CA102" s="262">
        <f t="shared" ref="CA102:CE102" si="415">+CA340</f>
        <v>0.30499999999999999</v>
      </c>
      <c r="CB102" s="262">
        <f t="shared" si="415"/>
        <v>0.34</v>
      </c>
      <c r="CC102" s="262">
        <f t="shared" si="415"/>
        <v>0.34</v>
      </c>
      <c r="CD102" s="262">
        <f t="shared" si="415"/>
        <v>0.34</v>
      </c>
      <c r="CE102" s="318">
        <f t="shared" si="415"/>
        <v>1.3250000000000002</v>
      </c>
      <c r="CF102" s="262">
        <f t="shared" ref="CF102:CJ102" si="416">+CF340</f>
        <v>0.34</v>
      </c>
      <c r="CG102" s="262">
        <f t="shared" si="416"/>
        <v>0.37</v>
      </c>
      <c r="CH102" s="262">
        <f t="shared" si="416"/>
        <v>0.37</v>
      </c>
      <c r="CI102" s="262">
        <f t="shared" si="416"/>
        <v>0.37</v>
      </c>
      <c r="CJ102" s="318">
        <f t="shared" si="416"/>
        <v>1.4500000000000002</v>
      </c>
      <c r="CK102" s="262">
        <f t="shared" ref="CK102" si="417">+CK340</f>
        <v>0.37</v>
      </c>
      <c r="CL102" s="262">
        <f t="shared" ref="CL102:CO102" si="418">+CL340</f>
        <v>0.4</v>
      </c>
      <c r="CM102" s="262">
        <f t="shared" si="418"/>
        <v>0.4</v>
      </c>
      <c r="CN102" s="262">
        <f t="shared" si="418"/>
        <v>0.39960000000000001</v>
      </c>
      <c r="CO102" s="318">
        <f t="shared" si="418"/>
        <v>1.5695999999999999</v>
      </c>
      <c r="CP102" s="262">
        <f>+CP340</f>
        <v>0.4</v>
      </c>
      <c r="CQ102" s="262">
        <f t="shared" ref="CQ102:CT102" si="419">+CQ340</f>
        <v>0.41</v>
      </c>
      <c r="CR102" s="262">
        <f t="shared" si="419"/>
        <v>0.41</v>
      </c>
      <c r="CS102" s="262">
        <f t="shared" si="419"/>
        <v>0.41</v>
      </c>
      <c r="CT102" s="318">
        <f t="shared" si="419"/>
        <v>1.63</v>
      </c>
      <c r="CU102" s="262">
        <f>+CU340</f>
        <v>0.41</v>
      </c>
      <c r="CV102" s="262">
        <f t="shared" ref="CV102:CY102" si="420">+CV340</f>
        <v>0.41819999999999996</v>
      </c>
      <c r="CW102" s="262">
        <f t="shared" si="420"/>
        <v>0.41819999999999996</v>
      </c>
      <c r="CX102" s="262">
        <f t="shared" si="420"/>
        <v>0.41819999999999996</v>
      </c>
      <c r="CY102" s="318">
        <f t="shared" si="420"/>
        <v>1.6645999999999999</v>
      </c>
      <c r="CZ102" s="262">
        <f>+CZ340</f>
        <v>0.44280000000000003</v>
      </c>
      <c r="DA102" s="262">
        <f t="shared" ref="DA102:DD102" si="421">+DA340</f>
        <v>0.451656</v>
      </c>
      <c r="DB102" s="262">
        <f t="shared" si="421"/>
        <v>0.451656</v>
      </c>
      <c r="DC102" s="262">
        <f t="shared" si="421"/>
        <v>0.451656</v>
      </c>
      <c r="DD102" s="318">
        <f t="shared" si="421"/>
        <v>1.797768</v>
      </c>
      <c r="DE102" s="262">
        <f>+DE340</f>
        <v>0.47822400000000004</v>
      </c>
      <c r="DF102" s="262">
        <f t="shared" ref="DF102:DI102" si="422">+DF340</f>
        <v>0.48778848000000002</v>
      </c>
      <c r="DG102" s="262">
        <f t="shared" si="422"/>
        <v>0.48778848000000002</v>
      </c>
      <c r="DH102" s="262">
        <f t="shared" si="422"/>
        <v>0.48778848000000002</v>
      </c>
      <c r="DI102" s="318">
        <f t="shared" si="422"/>
        <v>1.9415894400000002</v>
      </c>
    </row>
    <row r="103" spans="1:124" ht="12" customHeight="1">
      <c r="A103" s="219"/>
      <c r="B103" s="302" t="s">
        <v>140</v>
      </c>
      <c r="C103" s="303" t="s">
        <v>1</v>
      </c>
      <c r="D103" s="304" t="s">
        <v>1</v>
      </c>
      <c r="E103" s="303" t="s">
        <v>1</v>
      </c>
      <c r="F103" s="304" t="s">
        <v>1</v>
      </c>
      <c r="G103" s="303" t="s">
        <v>1</v>
      </c>
      <c r="H103" s="304" t="s">
        <v>1</v>
      </c>
      <c r="I103" s="303" t="s">
        <v>1</v>
      </c>
      <c r="J103" s="304" t="s">
        <v>1</v>
      </c>
      <c r="K103" s="303" t="s">
        <v>1</v>
      </c>
      <c r="L103" s="304" t="s">
        <v>1</v>
      </c>
      <c r="M103" s="303" t="s">
        <v>1</v>
      </c>
      <c r="N103" s="304" t="s">
        <v>1</v>
      </c>
      <c r="O103" s="304" t="s">
        <v>1</v>
      </c>
      <c r="P103" s="303" t="s">
        <v>1</v>
      </c>
      <c r="Q103" s="304">
        <f t="shared" ref="Q103:AA103" si="423">+(Q102/Q92)</f>
        <v>0.27457596895159153</v>
      </c>
      <c r="R103" s="303">
        <f t="shared" si="423"/>
        <v>0.20977459749552782</v>
      </c>
      <c r="S103" s="303">
        <f t="shared" si="423"/>
        <v>0.34142669584245061</v>
      </c>
      <c r="T103" s="303">
        <f t="shared" si="423"/>
        <v>0.29705544933078393</v>
      </c>
      <c r="U103" s="303">
        <f t="shared" si="423"/>
        <v>0.25788552188552188</v>
      </c>
      <c r="V103" s="304">
        <f t="shared" si="423"/>
        <v>0.27324894514767928</v>
      </c>
      <c r="W103" s="303">
        <f t="shared" si="423"/>
        <v>0.23531162790697677</v>
      </c>
      <c r="X103" s="303">
        <f t="shared" si="423"/>
        <v>0.35957782515991465</v>
      </c>
      <c r="Y103" s="303">
        <f t="shared" si="423"/>
        <v>0.30114642857142854</v>
      </c>
      <c r="Z103" s="303">
        <f t="shared" si="423"/>
        <v>0.30695081967213117</v>
      </c>
      <c r="AA103" s="304">
        <f t="shared" si="423"/>
        <v>0.29587044534412954</v>
      </c>
      <c r="AB103" s="304"/>
      <c r="AC103" s="303">
        <f t="shared" ref="AC103:BH103" si="424">+(AC102/AC92)</f>
        <v>0.28725773195876286</v>
      </c>
      <c r="AD103" s="303">
        <f t="shared" si="424"/>
        <v>0.36950289017341037</v>
      </c>
      <c r="AE103" s="303">
        <f t="shared" si="424"/>
        <v>0.29008636363636364</v>
      </c>
      <c r="AF103" s="303">
        <f t="shared" si="424"/>
        <v>0.27799130434782604</v>
      </c>
      <c r="AG103" s="251">
        <f t="shared" si="424"/>
        <v>0.30285605875152993</v>
      </c>
      <c r="AH103" s="250">
        <f t="shared" si="424"/>
        <v>0.24550320924261873</v>
      </c>
      <c r="AI103" s="250">
        <f t="shared" si="424"/>
        <v>0.40925842696629211</v>
      </c>
      <c r="AJ103" s="250">
        <f t="shared" si="424"/>
        <v>0.31840469208211142</v>
      </c>
      <c r="AK103" s="250">
        <f t="shared" si="424"/>
        <v>0.30780515759312321</v>
      </c>
      <c r="AL103" s="251">
        <f t="shared" si="424"/>
        <v>0.31264472707018193</v>
      </c>
      <c r="AM103" s="250">
        <f t="shared" si="424"/>
        <v>0.22108939708939709</v>
      </c>
      <c r="AN103" s="250">
        <f t="shared" si="424"/>
        <v>0.3782351145038168</v>
      </c>
      <c r="AO103" s="250">
        <f t="shared" si="424"/>
        <v>0.3128495575221239</v>
      </c>
      <c r="AP103" s="250">
        <f t="shared" si="424"/>
        <v>0.28479075144508675</v>
      </c>
      <c r="AQ103" s="251">
        <f t="shared" si="424"/>
        <v>0.29182768102658113</v>
      </c>
      <c r="AR103" s="250">
        <f t="shared" si="424"/>
        <v>0.20834944868532657</v>
      </c>
      <c r="AS103" s="250">
        <f t="shared" si="424"/>
        <v>0.35697324840764333</v>
      </c>
      <c r="AT103" s="250">
        <f t="shared" si="424"/>
        <v>0.29259789473684211</v>
      </c>
      <c r="AU103" s="250">
        <f t="shared" si="424"/>
        <v>0.32588179669030731</v>
      </c>
      <c r="AV103" s="251">
        <f t="shared" si="424"/>
        <v>0.28732712765957452</v>
      </c>
      <c r="AW103" s="250">
        <f t="shared" si="424"/>
        <v>0.21891433146517214</v>
      </c>
      <c r="AX103" s="250">
        <f t="shared" si="424"/>
        <v>0.36196674584323041</v>
      </c>
      <c r="AY103" s="250">
        <f t="shared" si="424"/>
        <v>0.26602453987730063</v>
      </c>
      <c r="AZ103" s="250">
        <f t="shared" si="424"/>
        <v>0.29974999999999996</v>
      </c>
      <c r="BA103" s="251">
        <f t="shared" si="424"/>
        <v>0.27933962264150941</v>
      </c>
      <c r="BB103" s="250">
        <f t="shared" si="424"/>
        <v>0.3177284210526316</v>
      </c>
      <c r="BC103" s="250">
        <f t="shared" si="424"/>
        <v>0.43308996088657109</v>
      </c>
      <c r="BD103" s="250">
        <f t="shared" si="424"/>
        <v>0.29278629395852124</v>
      </c>
      <c r="BE103" s="250">
        <f t="shared" si="424"/>
        <v>0.28868953386103785</v>
      </c>
      <c r="BF103" s="251">
        <f t="shared" si="424"/>
        <v>0.32487698713096141</v>
      </c>
      <c r="BG103" s="250">
        <f t="shared" si="424"/>
        <v>0.29934065934065934</v>
      </c>
      <c r="BH103" s="250">
        <f t="shared" si="424"/>
        <v>0.42096103896103898</v>
      </c>
      <c r="BI103" s="250">
        <f t="shared" ref="BI103:CJ103" si="425">+(BI102/BI92)</f>
        <v>0.32162761126248862</v>
      </c>
      <c r="BJ103" s="250">
        <f t="shared" si="425"/>
        <v>0.35758341759352885</v>
      </c>
      <c r="BK103" s="251">
        <f t="shared" si="425"/>
        <v>0.34537676842889053</v>
      </c>
      <c r="BL103" s="250">
        <f t="shared" si="425"/>
        <v>0.25709583028529626</v>
      </c>
      <c r="BM103" s="250">
        <f t="shared" si="425"/>
        <v>0.35033901345291479</v>
      </c>
      <c r="BN103" s="250">
        <f t="shared" si="425"/>
        <v>0.31270408981555731</v>
      </c>
      <c r="BO103" s="250">
        <f t="shared" si="425"/>
        <v>-0.48246392405063293</v>
      </c>
      <c r="BP103" s="251">
        <f t="shared" si="425"/>
        <v>0.51496563456958144</v>
      </c>
      <c r="BQ103" s="250">
        <f t="shared" si="425"/>
        <v>0.25715316205533595</v>
      </c>
      <c r="BR103" s="250">
        <f t="shared" si="425"/>
        <v>0.35380695443645083</v>
      </c>
      <c r="BS103" s="250">
        <f t="shared" si="425"/>
        <v>0.3068650793650794</v>
      </c>
      <c r="BT103" s="250">
        <f t="shared" si="425"/>
        <v>0.29429920477137178</v>
      </c>
      <c r="BU103" s="251">
        <f t="shared" si="425"/>
        <v>0.30055098655491536</v>
      </c>
      <c r="BV103" s="250">
        <f t="shared" si="425"/>
        <v>0.23766808964781216</v>
      </c>
      <c r="BW103" s="250">
        <f t="shared" si="425"/>
        <v>0.36896559461480932</v>
      </c>
      <c r="BX103" s="250">
        <f t="shared" si="425"/>
        <v>0.35190795128939828</v>
      </c>
      <c r="BY103" s="250">
        <f t="shared" si="425"/>
        <v>0.33806462821403754</v>
      </c>
      <c r="BZ103" s="251">
        <f t="shared" si="425"/>
        <v>0.31702005458154148</v>
      </c>
      <c r="CA103" s="250">
        <f t="shared" si="425"/>
        <v>0.32947479564032695</v>
      </c>
      <c r="CB103" s="250">
        <f t="shared" si="425"/>
        <v>0.40166491359879797</v>
      </c>
      <c r="CC103" s="250">
        <f t="shared" ref="CC103:CE103" si="426">+(CC102/CC92)</f>
        <v>0.42905806451612905</v>
      </c>
      <c r="CD103" s="250">
        <f t="shared" si="426"/>
        <v>0.51323181377303584</v>
      </c>
      <c r="CE103" s="251">
        <f t="shared" si="426"/>
        <v>0.41025998520710066</v>
      </c>
      <c r="CF103" s="250">
        <f t="shared" si="425"/>
        <v>0.36187724137931038</v>
      </c>
      <c r="CG103" s="250">
        <f t="shared" si="425"/>
        <v>0.3592376425855513</v>
      </c>
      <c r="CH103" s="250">
        <f t="shared" si="425"/>
        <v>0.37678785857238156</v>
      </c>
      <c r="CI103" s="250">
        <f t="shared" si="425"/>
        <v>0.3679862295081967</v>
      </c>
      <c r="CJ103" s="251">
        <f t="shared" si="425"/>
        <v>0.36648917713152679</v>
      </c>
      <c r="CK103" s="250">
        <f t="shared" ref="CK103" si="427">+(CK102/CK92)</f>
        <v>0.52877259752616557</v>
      </c>
      <c r="CL103" s="250">
        <f t="shared" ref="CL103:CO103" si="428">+(CL102/CL92)</f>
        <v>0.51246775580395532</v>
      </c>
      <c r="CM103" s="250">
        <f t="shared" si="428"/>
        <v>0.74589420654911831</v>
      </c>
      <c r="CN103" s="250">
        <f t="shared" si="428"/>
        <v>2.7985256872037918</v>
      </c>
      <c r="CO103" s="251">
        <f t="shared" si="428"/>
        <v>0.72534877912395157</v>
      </c>
      <c r="CP103" s="250">
        <f t="shared" ref="CP103:CT103" si="429">+(CP102/CP92)</f>
        <v>0.81375515818431921</v>
      </c>
      <c r="CQ103" s="250">
        <f t="shared" si="429"/>
        <v>0.76667929292929282</v>
      </c>
      <c r="CR103" s="250">
        <f t="shared" si="429"/>
        <v>1.1681846153846154</v>
      </c>
      <c r="CS103" s="250">
        <f t="shared" si="429"/>
        <v>0.56874555659494852</v>
      </c>
      <c r="CT103" s="251">
        <f t="shared" si="429"/>
        <v>0.77678048584298587</v>
      </c>
      <c r="CU103" s="250">
        <f t="shared" ref="CU103:CY103" si="430">+(CU102/CU92)</f>
        <v>0.8546657303370786</v>
      </c>
      <c r="CV103" s="250">
        <f t="shared" si="430"/>
        <v>1.1479098594937625</v>
      </c>
      <c r="CW103" s="250">
        <f t="shared" si="430"/>
        <v>1.4882027754246649</v>
      </c>
      <c r="CX103" s="250">
        <f t="shared" si="430"/>
        <v>2.9380993521115868</v>
      </c>
      <c r="CY103" s="251">
        <f t="shared" si="430"/>
        <v>1.3099928156760283</v>
      </c>
      <c r="CZ103" s="250">
        <f t="shared" ref="CZ103:DD103" si="431">+(CZ102/CZ92)</f>
        <v>0.9819863117307176</v>
      </c>
      <c r="DA103" s="250">
        <f t="shared" si="431"/>
        <v>1.3763825011251944</v>
      </c>
      <c r="DB103" s="250">
        <f t="shared" si="431"/>
        <v>1.6126952652206596</v>
      </c>
      <c r="DC103" s="250">
        <f t="shared" si="431"/>
        <v>3.2059802505977117</v>
      </c>
      <c r="DD103" s="251">
        <f t="shared" si="431"/>
        <v>1.4983028932704519</v>
      </c>
      <c r="DE103" s="250">
        <f t="shared" ref="DE103:DI103" si="432">+(DE102/DE92)</f>
        <v>0.98079430415845936</v>
      </c>
      <c r="DF103" s="250">
        <f t="shared" si="432"/>
        <v>1.3368037057154485</v>
      </c>
      <c r="DG103" s="250">
        <f t="shared" si="432"/>
        <v>1.537314627516531</v>
      </c>
      <c r="DH103" s="250">
        <f t="shared" si="432"/>
        <v>2.8058920883179237</v>
      </c>
      <c r="DI103" s="251">
        <f t="shared" si="432"/>
        <v>1.4433329071079222</v>
      </c>
    </row>
    <row r="104" spans="1:124" ht="12" customHeight="1">
      <c r="A104" s="5"/>
      <c r="B104" s="309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10"/>
      <c r="AG104" s="310"/>
      <c r="AH104" s="310"/>
      <c r="AI104" s="310"/>
      <c r="AJ104" s="310"/>
      <c r="AK104" s="310"/>
      <c r="AL104" s="310"/>
      <c r="AM104" s="310"/>
      <c r="AN104" s="310"/>
      <c r="AO104" s="310"/>
      <c r="AP104" s="310"/>
      <c r="AQ104" s="310"/>
      <c r="AR104" s="310"/>
      <c r="AS104" s="310"/>
      <c r="AT104" s="310"/>
      <c r="AU104" s="310"/>
      <c r="AV104" s="310"/>
      <c r="AW104" s="310"/>
      <c r="AX104" s="310"/>
      <c r="AY104" s="310"/>
      <c r="AZ104" s="310"/>
      <c r="BA104" s="310"/>
      <c r="BB104" s="310"/>
      <c r="BC104" s="310"/>
      <c r="BD104" s="310"/>
      <c r="BE104" s="310"/>
      <c r="BF104" s="310"/>
      <c r="BG104" s="310"/>
      <c r="BH104" s="310"/>
      <c r="BI104" s="310"/>
      <c r="BJ104" s="310"/>
      <c r="BK104" s="310"/>
      <c r="BL104" s="310"/>
      <c r="BM104" s="310"/>
      <c r="BN104" s="310"/>
      <c r="BO104" s="310"/>
      <c r="BP104" s="310"/>
      <c r="BQ104" s="310"/>
      <c r="BR104" s="310"/>
      <c r="BS104" s="310"/>
      <c r="BT104" s="310"/>
      <c r="BU104" s="310"/>
      <c r="BV104" s="310"/>
      <c r="BW104" s="310"/>
      <c r="BX104" s="310"/>
      <c r="BY104" s="310"/>
      <c r="BZ104" s="310"/>
      <c r="CA104" s="310"/>
      <c r="CB104" s="310"/>
      <c r="CC104" s="310"/>
      <c r="CD104" s="310"/>
      <c r="CE104" s="310"/>
      <c r="CF104" s="310"/>
      <c r="CG104" s="310"/>
      <c r="CH104" s="310"/>
      <c r="CI104" s="310"/>
      <c r="CJ104" s="310"/>
      <c r="CK104" s="310"/>
      <c r="CL104" s="310"/>
      <c r="CM104" s="310"/>
      <c r="CN104" s="310"/>
      <c r="CO104" s="310"/>
      <c r="CP104" s="310"/>
      <c r="CQ104" s="310"/>
      <c r="CR104" s="310"/>
      <c r="CS104" s="310"/>
      <c r="CT104" s="310"/>
      <c r="CU104" s="310"/>
      <c r="CV104" s="310"/>
      <c r="CW104" s="310"/>
      <c r="CX104" s="310"/>
      <c r="CY104" s="310"/>
      <c r="CZ104" s="310"/>
      <c r="DA104" s="310"/>
      <c r="DB104" s="310"/>
      <c r="DC104" s="310"/>
      <c r="DD104" s="310"/>
      <c r="DE104" s="310"/>
      <c r="DF104" s="310"/>
      <c r="DG104" s="310"/>
      <c r="DH104" s="310"/>
      <c r="DI104" s="311"/>
    </row>
    <row r="105" spans="1:124" s="4" customFormat="1" ht="12" customHeight="1">
      <c r="A105" s="5"/>
      <c r="B105" s="78" t="s">
        <v>238</v>
      </c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215"/>
      <c r="CZ105" s="80"/>
      <c r="DA105" s="80"/>
      <c r="DB105" s="80"/>
      <c r="DC105" s="80"/>
      <c r="DD105" s="215"/>
      <c r="DE105" s="80"/>
      <c r="DF105" s="80"/>
      <c r="DG105" s="80"/>
      <c r="DH105" s="80"/>
      <c r="DI105" s="215"/>
    </row>
    <row r="106" spans="1:124" ht="12" customHeight="1">
      <c r="A106" s="219"/>
      <c r="B106" s="368"/>
      <c r="C106" s="440"/>
      <c r="D106" s="441"/>
      <c r="E106" s="440"/>
      <c r="F106" s="441"/>
      <c r="G106" s="440"/>
      <c r="H106" s="441"/>
      <c r="I106" s="440"/>
      <c r="J106" s="441"/>
      <c r="K106" s="9"/>
      <c r="L106" s="41"/>
      <c r="M106" s="9"/>
      <c r="N106" s="41"/>
      <c r="O106" s="442"/>
      <c r="P106" s="9"/>
      <c r="Q106" s="41"/>
      <c r="R106" s="9"/>
      <c r="S106" s="9"/>
      <c r="T106" s="9"/>
      <c r="U106" s="9"/>
      <c r="V106" s="41"/>
      <c r="W106" s="9"/>
      <c r="X106" s="9"/>
      <c r="Y106" s="9"/>
      <c r="Z106" s="9"/>
      <c r="AA106" s="41"/>
      <c r="AB106" s="41"/>
      <c r="AC106" s="9"/>
      <c r="AD106" s="9"/>
      <c r="AE106" s="9"/>
      <c r="AF106" s="9"/>
      <c r="AG106" s="41"/>
      <c r="AH106" s="9"/>
      <c r="AI106" s="9"/>
      <c r="AJ106" s="9"/>
      <c r="AK106" s="9"/>
      <c r="AL106" s="41"/>
      <c r="AM106" s="9"/>
      <c r="AN106" s="9"/>
      <c r="AO106" s="9"/>
      <c r="AP106" s="9"/>
      <c r="AQ106" s="41"/>
      <c r="AR106" s="9"/>
      <c r="AS106" s="9"/>
      <c r="AT106" s="9"/>
      <c r="AU106" s="9"/>
      <c r="AV106" s="41"/>
      <c r="AW106" s="9"/>
      <c r="AX106" s="9"/>
      <c r="AY106" s="9"/>
      <c r="AZ106" s="9"/>
      <c r="BA106" s="41"/>
      <c r="BB106" s="9"/>
      <c r="BC106" s="9"/>
      <c r="BD106" s="9"/>
      <c r="BE106" s="9"/>
      <c r="BF106" s="41"/>
      <c r="BG106" s="9"/>
      <c r="BH106" s="9"/>
      <c r="BI106" s="9"/>
      <c r="BJ106" s="9"/>
      <c r="BK106" s="41"/>
      <c r="BL106" s="9"/>
      <c r="BM106" s="9"/>
      <c r="BN106" s="9"/>
      <c r="BO106" s="9"/>
      <c r="BP106" s="41"/>
      <c r="BQ106" s="9"/>
      <c r="BR106" s="9"/>
      <c r="BS106" s="9"/>
      <c r="BT106" s="9"/>
      <c r="BU106" s="41"/>
      <c r="BV106" s="9"/>
      <c r="BW106" s="9"/>
      <c r="BX106" s="9"/>
      <c r="BY106" s="9"/>
      <c r="BZ106" s="41"/>
      <c r="CA106" s="9"/>
      <c r="CB106" s="9"/>
      <c r="CC106" s="9"/>
      <c r="CD106" s="9"/>
      <c r="CE106" s="41"/>
      <c r="CF106" s="9"/>
      <c r="CG106" s="9"/>
      <c r="CH106" s="9"/>
      <c r="CI106" s="9"/>
      <c r="CJ106" s="41"/>
      <c r="CK106" s="9"/>
      <c r="CL106" s="9"/>
      <c r="CM106" s="9"/>
      <c r="CN106" s="9"/>
      <c r="CO106" s="41"/>
      <c r="CP106" s="9"/>
      <c r="CQ106" s="9"/>
      <c r="CR106" s="9"/>
      <c r="CS106" s="9"/>
      <c r="CT106" s="41"/>
      <c r="CU106" s="9"/>
      <c r="CV106" s="9"/>
      <c r="CW106" s="9"/>
      <c r="CX106" s="9"/>
      <c r="CY106" s="41"/>
      <c r="CZ106" s="9"/>
      <c r="DA106" s="9"/>
      <c r="DB106" s="9"/>
      <c r="DC106" s="9"/>
      <c r="DD106" s="41"/>
      <c r="DE106" s="9"/>
      <c r="DF106" s="9"/>
      <c r="DG106" s="9"/>
      <c r="DH106" s="9"/>
      <c r="DI106" s="41"/>
    </row>
    <row r="107" spans="1:124" s="7" customFormat="1" ht="12" customHeight="1">
      <c r="A107" s="239"/>
      <c r="B107" s="20" t="s">
        <v>14</v>
      </c>
      <c r="C107" s="43">
        <f>'2. Consolidated'!C86</f>
        <v>553.18999999999983</v>
      </c>
      <c r="D107" s="36">
        <f>'2. Consolidated'!D86</f>
        <v>795.82200000000068</v>
      </c>
      <c r="E107" s="43">
        <f>'2. Consolidated'!E86</f>
        <v>529.59999999999889</v>
      </c>
      <c r="F107" s="36">
        <f>'2. Consolidated'!F86</f>
        <v>496.50000000000148</v>
      </c>
      <c r="G107" s="43">
        <f>'2. Consolidated'!G86</f>
        <v>576.60000000000048</v>
      </c>
      <c r="H107" s="36">
        <f>'2. Consolidated'!H86</f>
        <v>589.59999999999991</v>
      </c>
      <c r="I107" s="43">
        <f>'2. Consolidated'!I86</f>
        <v>668.30000000000007</v>
      </c>
      <c r="J107" s="36">
        <f>'2. Consolidated'!J86</f>
        <v>740.1</v>
      </c>
      <c r="K107" s="43">
        <f>'2. Consolidated'!K86</f>
        <v>945.60000000000025</v>
      </c>
      <c r="L107" s="36">
        <f>'2. Consolidated'!L86</f>
        <v>1211.599999999999</v>
      </c>
      <c r="M107" s="43">
        <f>'2. Consolidated'!M86</f>
        <v>1392</v>
      </c>
      <c r="N107" s="36">
        <f>'2. Consolidated'!N86</f>
        <v>1491.5000000000009</v>
      </c>
      <c r="O107" s="36">
        <f>'2. Consolidated'!O86</f>
        <v>1863.3000000000006</v>
      </c>
      <c r="P107" s="43">
        <f>'2. Consolidated'!P86</f>
        <v>1871.8947399999984</v>
      </c>
      <c r="Q107" s="36">
        <f>'2. Consolidated'!Q86</f>
        <v>1906.7000000000016</v>
      </c>
      <c r="R107" s="43">
        <f>'2. Consolidated'!R86</f>
        <v>558.99999999999977</v>
      </c>
      <c r="S107" s="43">
        <f>'2. Consolidated'!S86</f>
        <v>457.00000000000023</v>
      </c>
      <c r="T107" s="43">
        <f>'2. Consolidated'!T86</f>
        <v>523</v>
      </c>
      <c r="U107" s="43">
        <f>'2. Consolidated'!U86</f>
        <v>594</v>
      </c>
      <c r="V107" s="36">
        <f>'2. Consolidated'!V86</f>
        <v>2133</v>
      </c>
      <c r="W107" s="43">
        <f>'2. Consolidated'!W86</f>
        <v>645</v>
      </c>
      <c r="X107" s="43">
        <f>'2. Consolidated'!X86</f>
        <v>469</v>
      </c>
      <c r="Y107" s="43">
        <f>'2. Consolidated'!Y86</f>
        <v>560</v>
      </c>
      <c r="Z107" s="43">
        <f>'2. Consolidated'!Z86</f>
        <v>549</v>
      </c>
      <c r="AA107" s="36">
        <f>'2. Consolidated'!AA86</f>
        <v>2223</v>
      </c>
      <c r="AB107" s="36"/>
      <c r="AC107" s="43">
        <f>'2. Consolidated'!AC86</f>
        <v>582</v>
      </c>
      <c r="AD107" s="43">
        <f>'2. Consolidated'!AD86</f>
        <v>519</v>
      </c>
      <c r="AE107" s="43">
        <f>'2. Consolidated'!AE86</f>
        <v>660</v>
      </c>
      <c r="AF107" s="43">
        <f>'2. Consolidated'!AF86</f>
        <v>690</v>
      </c>
      <c r="AG107" s="36">
        <f>'2. Consolidated'!AG86</f>
        <v>2451</v>
      </c>
      <c r="AH107" s="43">
        <f>'2. Consolidated'!AH86</f>
        <v>779</v>
      </c>
      <c r="AI107" s="43">
        <f>'2. Consolidated'!AI86</f>
        <v>534</v>
      </c>
      <c r="AJ107" s="43">
        <f>'2. Consolidated'!AJ86</f>
        <v>682</v>
      </c>
      <c r="AK107" s="43">
        <f>'2. Consolidated'!AK86</f>
        <v>698</v>
      </c>
      <c r="AL107" s="36">
        <f>'2. Consolidated'!AL86</f>
        <v>2693</v>
      </c>
      <c r="AM107" s="43">
        <f>'2. Consolidated'!AM86</f>
        <v>962</v>
      </c>
      <c r="AN107" s="43">
        <f>'2. Consolidated'!AN86</f>
        <v>655</v>
      </c>
      <c r="AO107" s="43">
        <f>'2. Consolidated'!AO86</f>
        <v>791</v>
      </c>
      <c r="AP107" s="43">
        <f>'2. Consolidated'!AP86</f>
        <v>865</v>
      </c>
      <c r="AQ107" s="15">
        <f>'2. Consolidated'!AQ86</f>
        <v>3273</v>
      </c>
      <c r="AR107" s="43">
        <f>'2. Consolidated'!AR86</f>
        <v>1179</v>
      </c>
      <c r="AS107" s="43">
        <f>'2. Consolidated'!AS86</f>
        <v>785</v>
      </c>
      <c r="AT107" s="43">
        <f>'2. Consolidated'!AT86</f>
        <v>950</v>
      </c>
      <c r="AU107" s="43">
        <f>'2. Consolidated'!AU86</f>
        <v>846</v>
      </c>
      <c r="AV107" s="36">
        <f>'2. Consolidated'!AV86</f>
        <v>3760</v>
      </c>
      <c r="AW107" s="43">
        <f>'2. Consolidated'!AW86</f>
        <v>1249</v>
      </c>
      <c r="AX107" s="43">
        <f>'2. Consolidated'!AX86</f>
        <v>842</v>
      </c>
      <c r="AY107" s="43">
        <f>'2. Consolidated'!AY86</f>
        <v>1141</v>
      </c>
      <c r="AZ107" s="43">
        <f>'2. Consolidated'!AZ86</f>
        <v>1008</v>
      </c>
      <c r="BA107" s="36">
        <f>'2. Consolidated'!BA86</f>
        <v>4240</v>
      </c>
      <c r="BB107" s="43">
        <f>'2. Consolidated'!BB86</f>
        <v>950</v>
      </c>
      <c r="BC107" s="43">
        <f>'2. Consolidated'!BC86</f>
        <v>767</v>
      </c>
      <c r="BD107" s="43">
        <f>'2. Consolidated'!BD86</f>
        <v>1109</v>
      </c>
      <c r="BE107" s="43">
        <f>'2. Consolidated'!BE86</f>
        <v>1137</v>
      </c>
      <c r="BF107" s="36">
        <f>'2. Consolidated'!BF86</f>
        <v>3963</v>
      </c>
      <c r="BG107" s="43">
        <f>'2. Consolidated'!BG86</f>
        <v>1092</v>
      </c>
      <c r="BH107" s="43">
        <f>'2. Consolidated'!BH86</f>
        <v>847</v>
      </c>
      <c r="BI107" s="43">
        <f>'2. Consolidated'!BI86</f>
        <v>1101</v>
      </c>
      <c r="BJ107" s="43">
        <f>'2. Consolidated'!BJ86</f>
        <v>989</v>
      </c>
      <c r="BK107" s="36">
        <f>'2. Consolidated'!BK86</f>
        <v>4029</v>
      </c>
      <c r="BL107" s="43">
        <f>'2. Consolidated'!BL86</f>
        <v>1367</v>
      </c>
      <c r="BM107" s="43">
        <f>'2. Consolidated'!BM86</f>
        <v>1115</v>
      </c>
      <c r="BN107" s="43">
        <f>'2. Consolidated'!BN86</f>
        <v>1247</v>
      </c>
      <c r="BO107" s="43">
        <f>'2. Consolidated'!BO86</f>
        <v>-790</v>
      </c>
      <c r="BP107" s="36">
        <f>'2. Consolidated'!BP86</f>
        <v>2939</v>
      </c>
      <c r="BQ107" s="43">
        <f>'2. Consolidated'!BQ86</f>
        <v>1518</v>
      </c>
      <c r="BR107" s="43">
        <f>'2. Consolidated'!BR86</f>
        <v>1251</v>
      </c>
      <c r="BS107" s="43">
        <f>'2. Consolidated'!BS86</f>
        <v>1449</v>
      </c>
      <c r="BT107" s="43">
        <f>'2. Consolidated'!BT86</f>
        <v>1509</v>
      </c>
      <c r="BU107" s="36">
        <f>'2. Consolidated'!BU86</f>
        <v>5727</v>
      </c>
      <c r="BV107" s="43">
        <f>'2. Consolidated'!BV86</f>
        <v>1874</v>
      </c>
      <c r="BW107" s="43">
        <f>'2. Consolidated'!BW86</f>
        <v>1337</v>
      </c>
      <c r="BX107" s="43">
        <f>'2. Consolidated'!BX86</f>
        <v>1396</v>
      </c>
      <c r="BY107" s="43">
        <f>'2. Consolidated'!BY86</f>
        <v>1439</v>
      </c>
      <c r="BZ107" s="36">
        <f>'2. Consolidated'!BZ86</f>
        <v>6046</v>
      </c>
      <c r="CA107" s="43">
        <f>'2. Consolidated'!CA86</f>
        <v>1468</v>
      </c>
      <c r="CB107" s="43">
        <f>'2. Consolidated'!CB86</f>
        <v>1331</v>
      </c>
      <c r="CC107" s="43">
        <f>'2. Consolidated'!CC86</f>
        <v>1240</v>
      </c>
      <c r="CD107" s="43">
        <f>'2. Consolidated'!CD86</f>
        <v>1031</v>
      </c>
      <c r="CE107" s="36">
        <f>'2. Consolidated'!CE86</f>
        <v>5070</v>
      </c>
      <c r="CF107" s="43">
        <f>'2. Consolidated'!CF86</f>
        <v>1450</v>
      </c>
      <c r="CG107" s="43">
        <f>'2. Consolidated'!CG86</f>
        <v>1578</v>
      </c>
      <c r="CH107" s="43">
        <f>'2. Consolidated'!CH86</f>
        <v>1499</v>
      </c>
      <c r="CI107" s="43">
        <f>'2. Consolidated'!CI86</f>
        <v>1525</v>
      </c>
      <c r="CJ107" s="36">
        <f>'2. Consolidated'!CJ86</f>
        <v>6052</v>
      </c>
      <c r="CK107" s="43">
        <f>'2. Consolidated'!CK86</f>
        <v>1051</v>
      </c>
      <c r="CL107" s="43">
        <f>'2. Consolidated'!CL86</f>
        <v>1163</v>
      </c>
      <c r="CM107" s="43">
        <f>'2. Consolidated'!CM86</f>
        <v>794</v>
      </c>
      <c r="CN107" s="43">
        <f>'2. Consolidated'!CN86</f>
        <v>211</v>
      </c>
      <c r="CO107" s="36">
        <f>'2. Consolidated'!CO86</f>
        <v>3219</v>
      </c>
      <c r="CP107" s="43">
        <f>'2. Consolidated'!CP86</f>
        <v>727</v>
      </c>
      <c r="CQ107" s="43">
        <f>'2. Consolidated'!CQ86</f>
        <v>792</v>
      </c>
      <c r="CR107" s="43">
        <f>'2. Consolidated'!CR86</f>
        <v>520</v>
      </c>
      <c r="CS107" s="43">
        <f>'2. Consolidated'!CS86</f>
        <v>1069</v>
      </c>
      <c r="CT107" s="36">
        <f>'2. Consolidated'!CT86</f>
        <v>3108</v>
      </c>
      <c r="CU107" s="43">
        <f>'2. Consolidated'!CU86</f>
        <v>712</v>
      </c>
      <c r="CV107" s="43">
        <f>'2. Consolidated'!CV86</f>
        <v>529.60475117948033</v>
      </c>
      <c r="CW107" s="43">
        <f>'2. Consolidated'!CW86</f>
        <v>408.60487730971909</v>
      </c>
      <c r="CX107" s="43">
        <f>'2. Consolidated'!CX86</f>
        <v>207.00722704759656</v>
      </c>
      <c r="CY107" s="36">
        <f>'2. Consolidated'!CY86</f>
        <v>1857.2168555367962</v>
      </c>
      <c r="CZ107" s="43">
        <f>'2. Consolidated'!CZ86</f>
        <v>656.35025942299183</v>
      </c>
      <c r="DA107" s="43">
        <f>'2. Consolidated'!DA86</f>
        <v>477.69452366386821</v>
      </c>
      <c r="DB107" s="43">
        <f>'2. Consolidated'!DB86</f>
        <v>407.72443122737849</v>
      </c>
      <c r="DC107" s="43">
        <f>'2. Consolidated'!DC86</f>
        <v>205.24279405714054</v>
      </c>
      <c r="DD107" s="36">
        <f>'2. Consolidated'!DD86</f>
        <v>1747.0120083713791</v>
      </c>
      <c r="DE107" s="43">
        <f>'2. Consolidated'!DE86</f>
        <v>709.11736932745578</v>
      </c>
      <c r="DF107" s="43">
        <f>'2. Consolidated'!DF86</f>
        <v>528.82942396289877</v>
      </c>
      <c r="DG107" s="43">
        <f>'2. Consolidated'!DG86</f>
        <v>458.57983918153701</v>
      </c>
      <c r="DH107" s="43">
        <f>'2. Consolidated'!DH86</f>
        <v>250.38502565719517</v>
      </c>
      <c r="DI107" s="36">
        <f>'2. Consolidated'!DI86</f>
        <v>1946.9116581290868</v>
      </c>
    </row>
    <row r="108" spans="1:124" s="7" customFormat="1" ht="12" customHeight="1">
      <c r="A108" s="239"/>
      <c r="B108" s="20" t="s">
        <v>15</v>
      </c>
      <c r="C108" s="43">
        <f>'2. Consolidated'!C93*'2. Consolidated'!C90</f>
        <v>0</v>
      </c>
      <c r="D108" s="36">
        <f>'2. Consolidated'!D93*'2. Consolidated'!D90</f>
        <v>0</v>
      </c>
      <c r="E108" s="43">
        <f>'2. Consolidated'!E93*'2. Consolidated'!E90</f>
        <v>-130</v>
      </c>
      <c r="F108" s="36">
        <f>'2. Consolidated'!F93*'2. Consolidated'!F90</f>
        <v>-45.1</v>
      </c>
      <c r="G108" s="43">
        <f>'2. Consolidated'!G93*'2. Consolidated'!G90</f>
        <v>2.5</v>
      </c>
      <c r="H108" s="36">
        <f>'2. Consolidated'!H93*'2. Consolidated'!H90</f>
        <v>0.1</v>
      </c>
      <c r="I108" s="43">
        <f>'2. Consolidated'!I93*'2. Consolidated'!I90</f>
        <v>-5</v>
      </c>
      <c r="J108" s="36">
        <f>'2. Consolidated'!J93*'2. Consolidated'!J90</f>
        <v>-266.10000000000002</v>
      </c>
      <c r="K108" s="43">
        <f>'2. Consolidated'!K93*'2. Consolidated'!K90</f>
        <v>0</v>
      </c>
      <c r="L108" s="36">
        <f>'2. Consolidated'!L93*'2. Consolidated'!L90</f>
        <v>0</v>
      </c>
      <c r="M108" s="43">
        <f>'2. Consolidated'!M93*'2. Consolidated'!M90</f>
        <v>0</v>
      </c>
      <c r="N108" s="36">
        <f>'2. Consolidated'!N93*'2. Consolidated'!N90</f>
        <v>0</v>
      </c>
      <c r="O108" s="36">
        <f>'2. Consolidated'!O93*'2. Consolidated'!O90</f>
        <v>20.100000000000001</v>
      </c>
      <c r="P108" s="43">
        <f>'2. Consolidated'!P93*'2. Consolidated'!P90</f>
        <v>-385.19474000000002</v>
      </c>
      <c r="Q108" s="36">
        <f>'2. Consolidated'!Q93*'2. Consolidated'!Q90</f>
        <v>0</v>
      </c>
      <c r="R108" s="43">
        <f>'2. Consolidated'!R93*'2. Consolidated'!R90</f>
        <v>0</v>
      </c>
      <c r="S108" s="43">
        <f>'2. Consolidated'!S93*'2. Consolidated'!S90</f>
        <v>0</v>
      </c>
      <c r="T108" s="43">
        <f>'2. Consolidated'!T93*'2. Consolidated'!T90</f>
        <v>0</v>
      </c>
      <c r="U108" s="43">
        <f>'2. Consolidated'!U93*'2. Consolidated'!U90</f>
        <v>0</v>
      </c>
      <c r="V108" s="36">
        <f>'2. Consolidated'!V93*'2. Consolidated'!V90</f>
        <v>0</v>
      </c>
      <c r="W108" s="43">
        <f>'2. Consolidated'!W93*'2. Consolidated'!W90</f>
        <v>0</v>
      </c>
      <c r="X108" s="43">
        <f>'2. Consolidated'!X93*'2. Consolidated'!X90</f>
        <v>0</v>
      </c>
      <c r="Y108" s="43">
        <f>'2. Consolidated'!Y93*'2. Consolidated'!Y90</f>
        <v>0</v>
      </c>
      <c r="Z108" s="43">
        <f>'2. Consolidated'!Z93*'2. Consolidated'!Z90</f>
        <v>0</v>
      </c>
      <c r="AA108" s="36">
        <f>'2. Consolidated'!AA93*'2. Consolidated'!AA90</f>
        <v>0</v>
      </c>
      <c r="AB108" s="36"/>
      <c r="AC108" s="43">
        <f>'2. Consolidated'!AC93*'2. Consolidated'!AC90</f>
        <v>-18</v>
      </c>
      <c r="AD108" s="43">
        <f>'2. Consolidated'!AD93*'2. Consolidated'!AD90</f>
        <v>-137</v>
      </c>
      <c r="AE108" s="43">
        <f>'2. Consolidated'!AE93*'2. Consolidated'!AE90</f>
        <v>204</v>
      </c>
      <c r="AF108" s="43">
        <f>'2. Consolidated'!AF93*'2. Consolidated'!AF90</f>
        <v>-28</v>
      </c>
      <c r="AG108" s="15">
        <f>'2. Consolidated'!AG93*'2. Consolidated'!AG90</f>
        <v>21</v>
      </c>
      <c r="AH108" s="43">
        <f>'2. Consolidated'!AH93*'2. Consolidated'!AH90</f>
        <v>0</v>
      </c>
      <c r="AI108" s="43">
        <f>'2. Consolidated'!AI93*'2. Consolidated'!AI90</f>
        <v>0</v>
      </c>
      <c r="AJ108" s="43">
        <f>'2. Consolidated'!AJ93*'2. Consolidated'!AJ90</f>
        <v>0</v>
      </c>
      <c r="AK108" s="43">
        <f>'2. Consolidated'!AK93*'2. Consolidated'!AK90</f>
        <v>0</v>
      </c>
      <c r="AL108" s="36">
        <f>'2. Consolidated'!AL93*'2. Consolidated'!AL90</f>
        <v>0</v>
      </c>
      <c r="AM108" s="43">
        <f>'2. Consolidated'!AM93*'2. Consolidated'!AM90</f>
        <v>0</v>
      </c>
      <c r="AN108" s="43">
        <f>'2. Consolidated'!AN93*'2. Consolidated'!AN90</f>
        <v>0</v>
      </c>
      <c r="AO108" s="43">
        <f>'2. Consolidated'!AO93*'2. Consolidated'!AO90</f>
        <v>0</v>
      </c>
      <c r="AP108" s="43">
        <f>'2. Consolidated'!AP93*'2. Consolidated'!AP90</f>
        <v>0</v>
      </c>
      <c r="AQ108" s="15">
        <f>'2. Consolidated'!AQ93*'2. Consolidated'!AQ90</f>
        <v>0</v>
      </c>
      <c r="AR108" s="43">
        <f>'2. Consolidated'!AR93*'2. Consolidated'!AR90</f>
        <v>0</v>
      </c>
      <c r="AS108" s="43">
        <f>'2. Consolidated'!AS93*'2. Consolidated'!AS90</f>
        <v>0</v>
      </c>
      <c r="AT108" s="43">
        <f>'2. Consolidated'!AT93*'2. Consolidated'!AT90</f>
        <v>0</v>
      </c>
      <c r="AU108" s="43">
        <f>'2. Consolidated'!AU93*'2. Consolidated'!AU90</f>
        <v>0</v>
      </c>
      <c r="AV108" s="36">
        <f>'2. Consolidated'!AV93*'2. Consolidated'!AV90</f>
        <v>0</v>
      </c>
      <c r="AW108" s="43">
        <f>'2. Consolidated'!AW93*'2. Consolidated'!AW90</f>
        <v>0</v>
      </c>
      <c r="AX108" s="43">
        <f>'2. Consolidated'!AX93*'2. Consolidated'!AX90</f>
        <v>0</v>
      </c>
      <c r="AY108" s="43">
        <f>'2. Consolidated'!AY93*'2. Consolidated'!AY90</f>
        <v>0</v>
      </c>
      <c r="AZ108" s="43">
        <f>'2. Consolidated'!AZ93*'2. Consolidated'!AZ90</f>
        <v>0</v>
      </c>
      <c r="BA108" s="36">
        <f>'2. Consolidated'!BA93*'2. Consolidated'!BA90</f>
        <v>0</v>
      </c>
      <c r="BB108" s="43">
        <f>'2. Consolidated'!BB93*'2. Consolidated'!BB90</f>
        <v>0</v>
      </c>
      <c r="BC108" s="43">
        <f>'2. Consolidated'!BC93*'2. Consolidated'!BC90</f>
        <v>0</v>
      </c>
      <c r="BD108" s="43">
        <f>'2. Consolidated'!BD93*'2. Consolidated'!BD90</f>
        <v>-2030</v>
      </c>
      <c r="BE108" s="43">
        <f>'2. Consolidated'!BE93*'2. Consolidated'!BE90</f>
        <v>0</v>
      </c>
      <c r="BF108" s="36">
        <f>'2. Consolidated'!BF93*'2. Consolidated'!BF90</f>
        <v>-2030</v>
      </c>
      <c r="BG108" s="43">
        <f>'2. Consolidated'!BG93*'2. Consolidated'!BG90</f>
        <v>0</v>
      </c>
      <c r="BH108" s="43">
        <f>'2. Consolidated'!BH93*'2. Consolidated'!BH90</f>
        <v>0</v>
      </c>
      <c r="BI108" s="43">
        <f>'2. Consolidated'!BI93*'2. Consolidated'!BI90</f>
        <v>0</v>
      </c>
      <c r="BJ108" s="43">
        <f>'2. Consolidated'!BJ93*'2. Consolidated'!BJ90</f>
        <v>0</v>
      </c>
      <c r="BK108" s="36">
        <f>'2. Consolidated'!BK93*'2. Consolidated'!BK90</f>
        <v>0</v>
      </c>
      <c r="BL108" s="43">
        <f>'2. Consolidated'!BL93*'2. Consolidated'!BL90</f>
        <v>0</v>
      </c>
      <c r="BM108" s="43">
        <f>'2. Consolidated'!BM93*'2. Consolidated'!BM90</f>
        <v>0</v>
      </c>
      <c r="BN108" s="43">
        <f>'2. Consolidated'!BN93*'2. Consolidated'!BN90</f>
        <v>-399.99999999999994</v>
      </c>
      <c r="BO108" s="43">
        <f>'2. Consolidated'!BO93*'2. Consolidated'!BO90</f>
        <v>0</v>
      </c>
      <c r="BP108" s="36">
        <f>'2. Consolidated'!BP93*'2. Consolidated'!BP90</f>
        <v>-400</v>
      </c>
      <c r="BQ108" s="43">
        <f>'2. Consolidated'!BQ93*'2. Consolidated'!BQ90</f>
        <v>0</v>
      </c>
      <c r="BR108" s="43">
        <f>'2. Consolidated'!BR93*'2. Consolidated'!BR90</f>
        <v>0</v>
      </c>
      <c r="BS108" s="43">
        <f>'2. Consolidated'!BS93*'2. Consolidated'!BS90</f>
        <v>0</v>
      </c>
      <c r="BT108" s="43">
        <f>'2. Consolidated'!BT93*'2. Consolidated'!BT90</f>
        <v>0</v>
      </c>
      <c r="BU108" s="36">
        <f>'2. Consolidated'!BU93*'2. Consolidated'!BU90</f>
        <v>0</v>
      </c>
      <c r="BV108" s="43">
        <f>'2. Consolidated'!BV93*'2. Consolidated'!BV90</f>
        <v>0</v>
      </c>
      <c r="BW108" s="43">
        <f>'2. Consolidated'!BW93*'2. Consolidated'!BW90</f>
        <v>0</v>
      </c>
      <c r="BX108" s="43">
        <f>'2. Consolidated'!BX93*'2. Consolidated'!BX90</f>
        <v>0</v>
      </c>
      <c r="BY108" s="43">
        <f>'2. Consolidated'!BY93*'2. Consolidated'!BY90</f>
        <v>0</v>
      </c>
      <c r="BZ108" s="36">
        <f>'2. Consolidated'!BZ93*'2. Consolidated'!BZ90</f>
        <v>0</v>
      </c>
      <c r="CA108" s="43">
        <f>'2. Consolidated'!CA93*'2. Consolidated'!CA90</f>
        <v>0</v>
      </c>
      <c r="CB108" s="43">
        <f>'2. Consolidated'!CB93*'2. Consolidated'!CB90</f>
        <v>0</v>
      </c>
      <c r="CC108" s="43">
        <f>'2. Consolidated'!CC93*'2. Consolidated'!CC90</f>
        <v>0</v>
      </c>
      <c r="CD108" s="43">
        <f>'2. Consolidated'!CD93*'2. Consolidated'!CD90</f>
        <v>0</v>
      </c>
      <c r="CE108" s="36">
        <f>'2. Consolidated'!CE93*'2. Consolidated'!CE90</f>
        <v>0</v>
      </c>
      <c r="CF108" s="43">
        <f>'2. Consolidated'!CF93*'2. Consolidated'!CF90</f>
        <v>0</v>
      </c>
      <c r="CG108" s="43">
        <f>'2. Consolidated'!CG93*'2. Consolidated'!CG90</f>
        <v>0</v>
      </c>
      <c r="CH108" s="43">
        <f>'2. Consolidated'!CH93*'2. Consolidated'!CH90</f>
        <v>-327</v>
      </c>
      <c r="CI108" s="43">
        <f>'2. Consolidated'!CI93*'2. Consolidated'!CI90</f>
        <v>-25.000000000000004</v>
      </c>
      <c r="CJ108" s="36">
        <f>'2. Consolidated'!CJ93*'2. Consolidated'!CJ90</f>
        <v>-352</v>
      </c>
      <c r="CK108" s="43">
        <f>'2. Consolidated'!CK93*'2. Consolidated'!CK90</f>
        <v>0</v>
      </c>
      <c r="CL108" s="43">
        <f>'2. Consolidated'!CL93*'2. Consolidated'!CL90</f>
        <v>0</v>
      </c>
      <c r="CM108" s="43">
        <f>'2. Consolidated'!CM93*'2. Consolidated'!CM90</f>
        <v>0</v>
      </c>
      <c r="CN108" s="43">
        <f>'2. Consolidated'!CN93*'2. Consolidated'!CN90</f>
        <v>0</v>
      </c>
      <c r="CO108" s="36">
        <f>'2. Consolidated'!CO93*'2. Consolidated'!CO90</f>
        <v>0</v>
      </c>
      <c r="CP108" s="43">
        <f>'2. Consolidated'!CP93*'2. Consolidated'!CP90</f>
        <v>0</v>
      </c>
      <c r="CQ108" s="43">
        <f>'2. Consolidated'!CQ93*'2. Consolidated'!CQ90</f>
        <v>0</v>
      </c>
      <c r="CR108" s="43">
        <f>'2. Consolidated'!CR93*'2. Consolidated'!CR90</f>
        <v>0</v>
      </c>
      <c r="CS108" s="43">
        <f>'2. Consolidated'!CS93*'2. Consolidated'!CS90</f>
        <v>0</v>
      </c>
      <c r="CT108" s="36">
        <f>'2. Consolidated'!CT93*'2. Consolidated'!CT90</f>
        <v>0</v>
      </c>
      <c r="CU108" s="43">
        <f>'2. Consolidated'!CU93*'2. Consolidated'!CU90</f>
        <v>0</v>
      </c>
      <c r="CV108" s="43">
        <f>'2. Consolidated'!CV93*'2. Consolidated'!CV90</f>
        <v>-72.685140544436422</v>
      </c>
      <c r="CW108" s="43">
        <f>'2. Consolidated'!CW93*'2. Consolidated'!CW90</f>
        <v>-72.702882886702383</v>
      </c>
      <c r="CX108" s="43">
        <f>'2. Consolidated'!CX93*'2. Consolidated'!CX90</f>
        <v>-72.717336163433714</v>
      </c>
      <c r="CY108" s="36">
        <f>'2. Consolidated'!CY93*'2. Consolidated'!CY90</f>
        <v>-218.10535959457252</v>
      </c>
      <c r="CZ108" s="43">
        <f>'2. Consolidated'!CZ93*'2. Consolidated'!CZ90</f>
        <v>-37.5</v>
      </c>
      <c r="DA108" s="43">
        <f>'2. Consolidated'!DA93*'2. Consolidated'!DA90</f>
        <v>-37.5</v>
      </c>
      <c r="DB108" s="43">
        <f>'2. Consolidated'!DB93*'2. Consolidated'!DB90</f>
        <v>-37.5</v>
      </c>
      <c r="DC108" s="43">
        <f>'2. Consolidated'!DC93*'2. Consolidated'!DC90</f>
        <v>-37.5</v>
      </c>
      <c r="DD108" s="36">
        <f>'2. Consolidated'!DD93*'2. Consolidated'!DD90</f>
        <v>-150</v>
      </c>
      <c r="DE108" s="43">
        <f>'2. Consolidated'!DE93*'2. Consolidated'!DE90</f>
        <v>-37.5</v>
      </c>
      <c r="DF108" s="43">
        <f>'2. Consolidated'!DF93*'2. Consolidated'!DF90</f>
        <v>-37.5</v>
      </c>
      <c r="DG108" s="43">
        <f>'2. Consolidated'!DG93*'2. Consolidated'!DG90</f>
        <v>-37.5</v>
      </c>
      <c r="DH108" s="43">
        <f>'2. Consolidated'!DH93*'2. Consolidated'!DH90</f>
        <v>-37.5</v>
      </c>
      <c r="DI108" s="36">
        <f>'2. Consolidated'!DI93*'2. Consolidated'!DI90</f>
        <v>-150</v>
      </c>
    </row>
    <row r="109" spans="1:124" s="117" customFormat="1" ht="12" customHeight="1">
      <c r="A109" s="239"/>
      <c r="B109" s="362" t="s">
        <v>16</v>
      </c>
      <c r="C109" s="363">
        <f t="shared" ref="C109:AA109" si="433">SUM(C107:C108)</f>
        <v>553.18999999999983</v>
      </c>
      <c r="D109" s="364">
        <f t="shared" si="433"/>
        <v>795.82200000000068</v>
      </c>
      <c r="E109" s="363">
        <f t="shared" si="433"/>
        <v>399.59999999999889</v>
      </c>
      <c r="F109" s="364">
        <f t="shared" si="433"/>
        <v>451.40000000000146</v>
      </c>
      <c r="G109" s="363">
        <f t="shared" si="433"/>
        <v>579.10000000000048</v>
      </c>
      <c r="H109" s="364">
        <f t="shared" si="433"/>
        <v>589.69999999999993</v>
      </c>
      <c r="I109" s="363">
        <f t="shared" si="433"/>
        <v>663.30000000000007</v>
      </c>
      <c r="J109" s="364">
        <f t="shared" si="433"/>
        <v>474</v>
      </c>
      <c r="K109" s="363">
        <f t="shared" si="433"/>
        <v>945.60000000000025</v>
      </c>
      <c r="L109" s="364">
        <f t="shared" si="433"/>
        <v>1211.599999999999</v>
      </c>
      <c r="M109" s="363">
        <f t="shared" si="433"/>
        <v>1392</v>
      </c>
      <c r="N109" s="364">
        <f t="shared" si="433"/>
        <v>1491.5000000000009</v>
      </c>
      <c r="O109" s="364">
        <f t="shared" si="433"/>
        <v>1883.4000000000005</v>
      </c>
      <c r="P109" s="363">
        <f t="shared" si="433"/>
        <v>1486.6999999999985</v>
      </c>
      <c r="Q109" s="364">
        <f t="shared" si="433"/>
        <v>1906.7000000000016</v>
      </c>
      <c r="R109" s="363">
        <f t="shared" si="433"/>
        <v>558.99999999999977</v>
      </c>
      <c r="S109" s="363">
        <f t="shared" si="433"/>
        <v>457.00000000000023</v>
      </c>
      <c r="T109" s="363">
        <f t="shared" si="433"/>
        <v>523</v>
      </c>
      <c r="U109" s="363">
        <f t="shared" si="433"/>
        <v>594</v>
      </c>
      <c r="V109" s="364">
        <f t="shared" si="433"/>
        <v>2133</v>
      </c>
      <c r="W109" s="363">
        <f t="shared" si="433"/>
        <v>645</v>
      </c>
      <c r="X109" s="363">
        <f t="shared" si="433"/>
        <v>469</v>
      </c>
      <c r="Y109" s="363">
        <f t="shared" si="433"/>
        <v>560</v>
      </c>
      <c r="Z109" s="363">
        <f t="shared" si="433"/>
        <v>549</v>
      </c>
      <c r="AA109" s="364">
        <f t="shared" si="433"/>
        <v>2223</v>
      </c>
      <c r="AB109" s="364"/>
      <c r="AC109" s="363">
        <f t="shared" ref="AC109:BE109" si="434">SUM(AC107:AC108)</f>
        <v>564</v>
      </c>
      <c r="AD109" s="363">
        <f t="shared" si="434"/>
        <v>382</v>
      </c>
      <c r="AE109" s="363">
        <f t="shared" si="434"/>
        <v>864</v>
      </c>
      <c r="AF109" s="363">
        <f t="shared" si="434"/>
        <v>662</v>
      </c>
      <c r="AG109" s="364">
        <f t="shared" si="434"/>
        <v>2472</v>
      </c>
      <c r="AH109" s="363">
        <f t="shared" si="434"/>
        <v>779</v>
      </c>
      <c r="AI109" s="363">
        <f t="shared" si="434"/>
        <v>534</v>
      </c>
      <c r="AJ109" s="363">
        <f t="shared" si="434"/>
        <v>682</v>
      </c>
      <c r="AK109" s="363">
        <f t="shared" si="434"/>
        <v>698</v>
      </c>
      <c r="AL109" s="372">
        <f t="shared" si="434"/>
        <v>2693</v>
      </c>
      <c r="AM109" s="363">
        <f t="shared" si="434"/>
        <v>962</v>
      </c>
      <c r="AN109" s="363">
        <f t="shared" si="434"/>
        <v>655</v>
      </c>
      <c r="AO109" s="363">
        <f t="shared" si="434"/>
        <v>791</v>
      </c>
      <c r="AP109" s="363">
        <f t="shared" si="434"/>
        <v>865</v>
      </c>
      <c r="AQ109" s="372">
        <f t="shared" si="434"/>
        <v>3273</v>
      </c>
      <c r="AR109" s="363">
        <f t="shared" si="434"/>
        <v>1179</v>
      </c>
      <c r="AS109" s="363">
        <f t="shared" si="434"/>
        <v>785</v>
      </c>
      <c r="AT109" s="363">
        <f t="shared" si="434"/>
        <v>950</v>
      </c>
      <c r="AU109" s="363">
        <f t="shared" si="434"/>
        <v>846</v>
      </c>
      <c r="AV109" s="364">
        <f t="shared" si="434"/>
        <v>3760</v>
      </c>
      <c r="AW109" s="363">
        <f t="shared" si="434"/>
        <v>1249</v>
      </c>
      <c r="AX109" s="363">
        <f t="shared" si="434"/>
        <v>842</v>
      </c>
      <c r="AY109" s="363">
        <f t="shared" si="434"/>
        <v>1141</v>
      </c>
      <c r="AZ109" s="363">
        <f t="shared" si="434"/>
        <v>1008</v>
      </c>
      <c r="BA109" s="364">
        <f t="shared" si="434"/>
        <v>4240</v>
      </c>
      <c r="BB109" s="363">
        <f t="shared" si="434"/>
        <v>950</v>
      </c>
      <c r="BC109" s="363">
        <f t="shared" si="434"/>
        <v>767</v>
      </c>
      <c r="BD109" s="363">
        <f t="shared" si="434"/>
        <v>-921</v>
      </c>
      <c r="BE109" s="363">
        <f t="shared" si="434"/>
        <v>1137</v>
      </c>
      <c r="BF109" s="364">
        <f>SUM(BB109:BE109)</f>
        <v>1933</v>
      </c>
      <c r="BG109" s="363">
        <f>SUM(BG107:BG108)</f>
        <v>1092</v>
      </c>
      <c r="BH109" s="363">
        <f>SUM(BH107:BH108)</f>
        <v>847</v>
      </c>
      <c r="BI109" s="363">
        <f>SUM(BI107:BI108)</f>
        <v>1101</v>
      </c>
      <c r="BJ109" s="363">
        <f>SUM(BJ107:BJ108)</f>
        <v>989</v>
      </c>
      <c r="BK109" s="364">
        <f>SUM(BG109:BJ109)</f>
        <v>4029</v>
      </c>
      <c r="BL109" s="363">
        <f>SUM(BL107:BL108)</f>
        <v>1367</v>
      </c>
      <c r="BM109" s="363">
        <f>SUM(BM107:BM108)</f>
        <v>1115</v>
      </c>
      <c r="BN109" s="363">
        <f>SUM(BN107:BN108)</f>
        <v>847</v>
      </c>
      <c r="BO109" s="363">
        <f>SUM(BO107:BO108)</f>
        <v>-790</v>
      </c>
      <c r="BP109" s="364">
        <f>SUM(BL109:BO109)</f>
        <v>2539</v>
      </c>
      <c r="BQ109" s="363">
        <f>SUM(BQ107:BQ108)</f>
        <v>1518</v>
      </c>
      <c r="BR109" s="363">
        <f>SUM(BR107:BR108)</f>
        <v>1251</v>
      </c>
      <c r="BS109" s="363">
        <f>SUM(BS107:BS108)</f>
        <v>1449</v>
      </c>
      <c r="BT109" s="363">
        <f>SUM(BT107:BT108)</f>
        <v>1509</v>
      </c>
      <c r="BU109" s="364">
        <f>SUM(BQ109:BT109)</f>
        <v>5727</v>
      </c>
      <c r="BV109" s="363">
        <f>SUM(BV107:BV108)</f>
        <v>1874</v>
      </c>
      <c r="BW109" s="363">
        <f>SUM(BW107:BW108)</f>
        <v>1337</v>
      </c>
      <c r="BX109" s="363">
        <f>SUM(BX107:BX108)</f>
        <v>1396</v>
      </c>
      <c r="BY109" s="363">
        <f>SUM(BY107:BY108)</f>
        <v>1439</v>
      </c>
      <c r="BZ109" s="364">
        <f>SUM(BV109:BY109)</f>
        <v>6046</v>
      </c>
      <c r="CA109" s="363">
        <f>SUM(CA107:CA108)</f>
        <v>1468</v>
      </c>
      <c r="CB109" s="363">
        <f>SUM(CB107:CB108)</f>
        <v>1331</v>
      </c>
      <c r="CC109" s="363">
        <f>SUM(CC107:CC108)</f>
        <v>1240</v>
      </c>
      <c r="CD109" s="363">
        <f>SUM(CD107:CD108)</f>
        <v>1031</v>
      </c>
      <c r="CE109" s="364">
        <f>SUM(CA109:CD109)</f>
        <v>5070</v>
      </c>
      <c r="CF109" s="363">
        <f>SUM(CF107:CF108)</f>
        <v>1450</v>
      </c>
      <c r="CG109" s="363">
        <f>SUM(CG107:CG108)</f>
        <v>1578</v>
      </c>
      <c r="CH109" s="363">
        <f>SUM(CH107:CH108)</f>
        <v>1172</v>
      </c>
      <c r="CI109" s="363">
        <f>SUM(CI107:CI108)</f>
        <v>1500</v>
      </c>
      <c r="CJ109" s="364">
        <f>SUM(CF109:CI109)</f>
        <v>5700</v>
      </c>
      <c r="CK109" s="363">
        <f>SUM(CK107:CK108)</f>
        <v>1051</v>
      </c>
      <c r="CL109" s="363">
        <f>SUM(CL107:CL108)</f>
        <v>1163</v>
      </c>
      <c r="CM109" s="363">
        <f>SUM(CM107:CM108)</f>
        <v>794</v>
      </c>
      <c r="CN109" s="363">
        <f>SUM(CN107:CN108)</f>
        <v>211</v>
      </c>
      <c r="CO109" s="364">
        <f>SUM(CK109:CN109)</f>
        <v>3219</v>
      </c>
      <c r="CP109" s="363">
        <f>SUM(CP107:CP108)</f>
        <v>727</v>
      </c>
      <c r="CQ109" s="363">
        <f>SUM(CQ107:CQ108)</f>
        <v>792</v>
      </c>
      <c r="CR109" s="363">
        <f>SUM(CR107:CR108)</f>
        <v>520</v>
      </c>
      <c r="CS109" s="363">
        <f>SUM(CS107:CS108)</f>
        <v>1069</v>
      </c>
      <c r="CT109" s="364">
        <f>SUM(CP109:CS109)</f>
        <v>3108</v>
      </c>
      <c r="CU109" s="363">
        <f>SUM(CU107:CU108)</f>
        <v>712</v>
      </c>
      <c r="CV109" s="363">
        <f>SUM(CV107:CV108)</f>
        <v>456.91961063504391</v>
      </c>
      <c r="CW109" s="363">
        <f>SUM(CW107:CW108)</f>
        <v>335.90199442301673</v>
      </c>
      <c r="CX109" s="363">
        <f>SUM(CX107:CX108)</f>
        <v>134.28989088416284</v>
      </c>
      <c r="CY109" s="364">
        <f>SUM(CU109:CX109)</f>
        <v>1639.1114959422234</v>
      </c>
      <c r="CZ109" s="363">
        <f>SUM(CZ107:CZ108)</f>
        <v>618.85025942299183</v>
      </c>
      <c r="DA109" s="363">
        <f>SUM(DA107:DA108)</f>
        <v>440.19452366386821</v>
      </c>
      <c r="DB109" s="363">
        <f>SUM(DB107:DB108)</f>
        <v>370.22443122737849</v>
      </c>
      <c r="DC109" s="363">
        <f>SUM(DC107:DC108)</f>
        <v>167.74279405714054</v>
      </c>
      <c r="DD109" s="364">
        <f>SUM(CZ109:DC109)</f>
        <v>1597.0120083713791</v>
      </c>
      <c r="DE109" s="363">
        <f>SUM(DE107:DE108)</f>
        <v>671.61736932745578</v>
      </c>
      <c r="DF109" s="363">
        <f>SUM(DF107:DF108)</f>
        <v>491.32942396289877</v>
      </c>
      <c r="DG109" s="363">
        <f>SUM(DG107:DG108)</f>
        <v>421.07983918153701</v>
      </c>
      <c r="DH109" s="363">
        <f>SUM(DH107:DH108)</f>
        <v>212.88502565719517</v>
      </c>
      <c r="DI109" s="364">
        <f>SUM(DE109:DH109)</f>
        <v>1796.9116581290866</v>
      </c>
    </row>
    <row r="110" spans="1:124" s="7" customFormat="1" ht="12" customHeight="1">
      <c r="A110" s="239"/>
      <c r="B110" s="20" t="s">
        <v>17</v>
      </c>
      <c r="C110" s="43">
        <v>97.179000000000002</v>
      </c>
      <c r="D110" s="36">
        <v>138.03800000000001</v>
      </c>
      <c r="E110" s="43">
        <v>184.5</v>
      </c>
      <c r="F110" s="36">
        <v>198.2</v>
      </c>
      <c r="G110" s="43">
        <v>188</v>
      </c>
      <c r="H110" s="36">
        <v>197.39999999999998</v>
      </c>
      <c r="I110" s="43">
        <v>223.5</v>
      </c>
      <c r="J110" s="36">
        <v>239.3</v>
      </c>
      <c r="K110" s="43">
        <v>255.2</v>
      </c>
      <c r="L110" s="36">
        <v>257.19999999999993</v>
      </c>
      <c r="M110" s="43">
        <v>282</v>
      </c>
      <c r="N110" s="36">
        <v>269.69999999999993</v>
      </c>
      <c r="O110" s="36">
        <v>303.60000000000002</v>
      </c>
      <c r="P110" s="43">
        <v>335</v>
      </c>
      <c r="Q110" s="36">
        <v>323.7</v>
      </c>
      <c r="R110" s="43">
        <f>+R149</f>
        <v>78</v>
      </c>
      <c r="S110" s="43">
        <f t="shared" ref="S110:U112" si="435">+S149-R149</f>
        <v>83</v>
      </c>
      <c r="T110" s="43">
        <f t="shared" si="435"/>
        <v>88</v>
      </c>
      <c r="U110" s="43">
        <f t="shared" si="435"/>
        <v>86</v>
      </c>
      <c r="V110" s="36">
        <v>335</v>
      </c>
      <c r="W110" s="43">
        <f>+W149</f>
        <v>86</v>
      </c>
      <c r="X110" s="43">
        <f t="shared" ref="X110:Z112" si="436">+X149-W149</f>
        <v>92</v>
      </c>
      <c r="Y110" s="43">
        <f t="shared" si="436"/>
        <v>94</v>
      </c>
      <c r="Z110" s="43">
        <f t="shared" si="436"/>
        <v>101</v>
      </c>
      <c r="AA110" s="36">
        <v>373</v>
      </c>
      <c r="AB110" s="36"/>
      <c r="AC110" s="43">
        <f>+AC149</f>
        <v>104</v>
      </c>
      <c r="AD110" s="43">
        <f t="shared" ref="AD110:AF112" si="437">+AD149-AC149</f>
        <v>107</v>
      </c>
      <c r="AE110" s="43">
        <f t="shared" si="437"/>
        <v>111</v>
      </c>
      <c r="AF110" s="43">
        <f t="shared" si="437"/>
        <v>116</v>
      </c>
      <c r="AG110" s="36">
        <v>438</v>
      </c>
      <c r="AH110" s="43">
        <f>+AH149</f>
        <v>122</v>
      </c>
      <c r="AI110" s="43">
        <f t="shared" ref="AI110:AK112" si="438">+AI149-AH149</f>
        <v>124</v>
      </c>
      <c r="AJ110" s="43">
        <f t="shared" si="438"/>
        <v>132</v>
      </c>
      <c r="AK110" s="43">
        <f t="shared" si="438"/>
        <v>140</v>
      </c>
      <c r="AL110" s="15">
        <v>518</v>
      </c>
      <c r="AM110" s="43">
        <f>+AM149</f>
        <v>147</v>
      </c>
      <c r="AN110" s="43">
        <f t="shared" ref="AN110:AP112" si="439">+AN149-AM149</f>
        <v>100</v>
      </c>
      <c r="AO110" s="43">
        <f t="shared" si="439"/>
        <v>234</v>
      </c>
      <c r="AP110" s="43">
        <f t="shared" si="439"/>
        <v>168</v>
      </c>
      <c r="AQ110" s="15">
        <f>606+43</f>
        <v>649</v>
      </c>
      <c r="AR110" s="43">
        <f>+AR149</f>
        <v>165</v>
      </c>
      <c r="AS110" s="43">
        <f t="shared" ref="AS110:AU112" si="440">+AS149-AR149</f>
        <v>157</v>
      </c>
      <c r="AT110" s="43">
        <f t="shared" si="440"/>
        <v>159</v>
      </c>
      <c r="AU110" s="43">
        <f t="shared" si="440"/>
        <v>181</v>
      </c>
      <c r="AV110" s="36">
        <f>649+13</f>
        <v>662</v>
      </c>
      <c r="AW110" s="43">
        <f>+AW149</f>
        <v>173</v>
      </c>
      <c r="AX110" s="43">
        <f t="shared" ref="AX110:AZ112" si="441">+AX149-AW149</f>
        <v>173</v>
      </c>
      <c r="AY110" s="43">
        <f t="shared" si="441"/>
        <v>175</v>
      </c>
      <c r="AZ110" s="43">
        <f t="shared" si="441"/>
        <v>185</v>
      </c>
      <c r="BA110" s="36">
        <v>706</v>
      </c>
      <c r="BB110" s="43">
        <f>+BB149</f>
        <v>179</v>
      </c>
      <c r="BC110" s="43">
        <f t="shared" ref="BC110:BE112" si="442">+BC149-BB149</f>
        <v>187</v>
      </c>
      <c r="BD110" s="43">
        <f t="shared" si="442"/>
        <v>185</v>
      </c>
      <c r="BE110" s="43">
        <f t="shared" si="442"/>
        <v>196</v>
      </c>
      <c r="BF110" s="36">
        <v>747</v>
      </c>
      <c r="BG110" s="43">
        <f>+BG149</f>
        <v>178</v>
      </c>
      <c r="BH110" s="43">
        <f t="shared" ref="BH110:BJ112" si="443">+BH149-BG149</f>
        <v>171</v>
      </c>
      <c r="BI110" s="43">
        <f t="shared" si="443"/>
        <v>178</v>
      </c>
      <c r="BJ110" s="43">
        <f t="shared" si="443"/>
        <v>178</v>
      </c>
      <c r="BK110" s="36">
        <f>SUM(BG110:BJ110)</f>
        <v>705</v>
      </c>
      <c r="BL110" s="43">
        <f>+BL149</f>
        <v>169</v>
      </c>
      <c r="BM110" s="43">
        <f t="shared" ref="BM110:BO112" si="444">+BM149-BL149</f>
        <v>174</v>
      </c>
      <c r="BN110" s="43">
        <f t="shared" si="444"/>
        <v>170</v>
      </c>
      <c r="BO110" s="43">
        <f t="shared" si="444"/>
        <v>208</v>
      </c>
      <c r="BP110" s="36">
        <f>SUM(BL110:BO110)</f>
        <v>721</v>
      </c>
      <c r="BQ110" s="43">
        <f>+BQ149</f>
        <v>176</v>
      </c>
      <c r="BR110" s="43">
        <f t="shared" ref="BR110:BT112" si="445">+BR149-BQ149</f>
        <v>185</v>
      </c>
      <c r="BS110" s="43">
        <f t="shared" si="445"/>
        <v>182</v>
      </c>
      <c r="BT110" s="43">
        <f t="shared" si="445"/>
        <v>201</v>
      </c>
      <c r="BU110" s="36">
        <f>SUM(BQ110:BT110)</f>
        <v>744</v>
      </c>
      <c r="BV110" s="43">
        <f>+BV149</f>
        <v>177</v>
      </c>
      <c r="BW110" s="43">
        <f t="shared" ref="BW110:BY112" si="446">+BW149-BV149</f>
        <v>181</v>
      </c>
      <c r="BX110" s="43">
        <f t="shared" si="446"/>
        <v>180</v>
      </c>
      <c r="BY110" s="43">
        <f t="shared" si="446"/>
        <v>179</v>
      </c>
      <c r="BZ110" s="36">
        <f>SUM(BV110:BY110)</f>
        <v>717</v>
      </c>
      <c r="CA110" s="43">
        <f>+CA149</f>
        <v>169</v>
      </c>
      <c r="CB110" s="369">
        <f t="shared" ref="CB110:CD112" si="447">+CB149-CA149</f>
        <v>173</v>
      </c>
      <c r="CC110" s="43">
        <f t="shared" si="447"/>
        <v>174</v>
      </c>
      <c r="CD110" s="43">
        <f t="shared" si="447"/>
        <v>187</v>
      </c>
      <c r="CE110" s="36">
        <f>SUM(CA110:CD110)</f>
        <v>703</v>
      </c>
      <c r="CF110" s="43">
        <f>+CF149</f>
        <v>191</v>
      </c>
      <c r="CG110" s="369">
        <f t="shared" ref="CG110:CI112" si="448">+CG149-CF149</f>
        <v>191</v>
      </c>
      <c r="CH110" s="43">
        <f t="shared" si="448"/>
        <v>207</v>
      </c>
      <c r="CI110" s="43">
        <f t="shared" si="448"/>
        <v>207</v>
      </c>
      <c r="CJ110" s="36">
        <f>SUM(CF110:CI110)</f>
        <v>796</v>
      </c>
      <c r="CK110" s="43">
        <f>+CK149</f>
        <v>188</v>
      </c>
      <c r="CL110" s="369">
        <f t="shared" ref="CL110:CM112" si="449">+CL149-CK149</f>
        <v>190</v>
      </c>
      <c r="CM110" s="43">
        <f t="shared" si="449"/>
        <v>198</v>
      </c>
      <c r="CN110" s="43">
        <f t="shared" ref="CN110:CN112" si="450">+CN149-CM149</f>
        <v>199</v>
      </c>
      <c r="CO110" s="36">
        <f>SUM(CK110:CN110)</f>
        <v>775</v>
      </c>
      <c r="CP110" s="43">
        <f>+CP149</f>
        <v>190</v>
      </c>
      <c r="CQ110" s="369">
        <f t="shared" ref="CQ110:CQ112" si="451">+CQ149-CP149</f>
        <v>179</v>
      </c>
      <c r="CR110" s="43">
        <f>CM110*1.03</f>
        <v>203.94</v>
      </c>
      <c r="CS110" s="43">
        <f t="shared" ref="CS110:CS112" si="452">+CS149-CR149</f>
        <v>193</v>
      </c>
      <c r="CT110" s="36">
        <f>SUM(CP110:CS110)</f>
        <v>765.94</v>
      </c>
      <c r="CU110" s="374">
        <f>CP110*1.025</f>
        <v>194.74999999999997</v>
      </c>
      <c r="CV110" s="410">
        <f>CQ110*1.025</f>
        <v>183.47499999999999</v>
      </c>
      <c r="CW110" s="410">
        <f>CR110*1.025</f>
        <v>209.03849999999997</v>
      </c>
      <c r="CX110" s="410">
        <f>CS110*1.025</f>
        <v>197.82499999999999</v>
      </c>
      <c r="CY110" s="36">
        <f>SUM(CU110:CX110)</f>
        <v>785.08849999999984</v>
      </c>
      <c r="CZ110" s="410">
        <f>CU110*1.025</f>
        <v>199.61874999999995</v>
      </c>
      <c r="DA110" s="410">
        <f>CV110*1.025</f>
        <v>188.06187499999999</v>
      </c>
      <c r="DB110" s="410">
        <f>CW110*1.025</f>
        <v>214.26446249999995</v>
      </c>
      <c r="DC110" s="410">
        <f>CX110*1.025</f>
        <v>202.77062499999997</v>
      </c>
      <c r="DD110" s="36">
        <f>SUM(CZ110:DC110)</f>
        <v>804.71571249999988</v>
      </c>
      <c r="DE110" s="410">
        <f>CZ110*1.025</f>
        <v>204.60921874999994</v>
      </c>
      <c r="DF110" s="410">
        <f>DA110*1.025</f>
        <v>192.76342187499998</v>
      </c>
      <c r="DG110" s="410">
        <f>DB110*1.025</f>
        <v>219.62107406249993</v>
      </c>
      <c r="DH110" s="410">
        <f>DC110*1.025</f>
        <v>207.83989062499995</v>
      </c>
      <c r="DI110" s="36">
        <f>SUM(DE110:DH110)</f>
        <v>824.8336053124998</v>
      </c>
    </row>
    <row r="111" spans="1:124" s="7" customFormat="1" ht="12" customHeight="1">
      <c r="A111" s="239"/>
      <c r="B111" s="20" t="s">
        <v>18</v>
      </c>
      <c r="C111" s="43">
        <v>0</v>
      </c>
      <c r="D111" s="36">
        <v>0</v>
      </c>
      <c r="E111" s="43">
        <v>0</v>
      </c>
      <c r="F111" s="36">
        <v>0</v>
      </c>
      <c r="G111" s="43">
        <v>0</v>
      </c>
      <c r="H111" s="36">
        <v>32.4</v>
      </c>
      <c r="I111" s="43">
        <v>13.9</v>
      </c>
      <c r="J111" s="36">
        <v>12.5</v>
      </c>
      <c r="K111" s="39">
        <v>47.2</v>
      </c>
      <c r="L111" s="40">
        <v>63.1</v>
      </c>
      <c r="M111" s="39">
        <v>54.2</v>
      </c>
      <c r="N111" s="36">
        <v>147.69999999999999</v>
      </c>
      <c r="O111" s="36">
        <v>141</v>
      </c>
      <c r="P111" s="43">
        <v>170.6</v>
      </c>
      <c r="Q111" s="36">
        <v>159</v>
      </c>
      <c r="R111" s="43">
        <f>+R150</f>
        <v>21</v>
      </c>
      <c r="S111" s="43">
        <f t="shared" si="435"/>
        <v>29</v>
      </c>
      <c r="T111" s="43">
        <f t="shared" si="435"/>
        <v>28</v>
      </c>
      <c r="U111" s="43">
        <f t="shared" si="435"/>
        <v>27</v>
      </c>
      <c r="V111" s="36">
        <v>105</v>
      </c>
      <c r="W111" s="43">
        <f>+W150</f>
        <v>25</v>
      </c>
      <c r="X111" s="43">
        <f t="shared" si="436"/>
        <v>36</v>
      </c>
      <c r="Y111" s="43">
        <f t="shared" si="436"/>
        <v>34</v>
      </c>
      <c r="Z111" s="43">
        <f t="shared" si="436"/>
        <v>35</v>
      </c>
      <c r="AA111" s="36">
        <v>130</v>
      </c>
      <c r="AB111" s="36"/>
      <c r="AC111" s="43">
        <f>+AC150</f>
        <v>37</v>
      </c>
      <c r="AD111" s="43">
        <f t="shared" si="437"/>
        <v>46</v>
      </c>
      <c r="AE111" s="43">
        <f t="shared" si="437"/>
        <v>45</v>
      </c>
      <c r="AF111" s="43">
        <f t="shared" si="437"/>
        <v>46</v>
      </c>
      <c r="AG111" s="36">
        <v>174</v>
      </c>
      <c r="AH111" s="43">
        <f>+AH150</f>
        <v>42</v>
      </c>
      <c r="AI111" s="43">
        <f t="shared" si="438"/>
        <v>46</v>
      </c>
      <c r="AJ111" s="43">
        <f t="shared" si="438"/>
        <v>43</v>
      </c>
      <c r="AK111" s="43">
        <f t="shared" si="438"/>
        <v>46</v>
      </c>
      <c r="AL111" s="15">
        <v>177</v>
      </c>
      <c r="AM111" s="43">
        <f>+AM150</f>
        <v>43</v>
      </c>
      <c r="AN111" s="43">
        <f t="shared" si="439"/>
        <v>49</v>
      </c>
      <c r="AO111" s="43">
        <f t="shared" si="439"/>
        <v>48</v>
      </c>
      <c r="AP111" s="43">
        <f t="shared" si="439"/>
        <v>51</v>
      </c>
      <c r="AQ111" s="15">
        <v>191</v>
      </c>
      <c r="AR111" s="43">
        <f>+AR150</f>
        <v>54</v>
      </c>
      <c r="AS111" s="43">
        <f t="shared" si="440"/>
        <v>62</v>
      </c>
      <c r="AT111" s="43">
        <f t="shared" si="440"/>
        <v>60</v>
      </c>
      <c r="AU111" s="43">
        <f t="shared" si="440"/>
        <v>60</v>
      </c>
      <c r="AV111" s="36">
        <v>236</v>
      </c>
      <c r="AW111" s="43">
        <f>+AW150</f>
        <v>57</v>
      </c>
      <c r="AX111" s="43">
        <f t="shared" si="441"/>
        <v>54</v>
      </c>
      <c r="AY111" s="43">
        <f t="shared" si="441"/>
        <v>51</v>
      </c>
      <c r="AZ111" s="43">
        <f t="shared" si="441"/>
        <v>53</v>
      </c>
      <c r="BA111" s="36">
        <v>215</v>
      </c>
      <c r="BB111" s="43">
        <f>+BB150</f>
        <v>50</v>
      </c>
      <c r="BC111" s="43">
        <f t="shared" si="442"/>
        <v>53</v>
      </c>
      <c r="BD111" s="43">
        <f t="shared" si="442"/>
        <v>55</v>
      </c>
      <c r="BE111" s="43">
        <f t="shared" si="442"/>
        <v>60</v>
      </c>
      <c r="BF111" s="36">
        <v>218</v>
      </c>
      <c r="BG111" s="43">
        <f>+BG150</f>
        <v>41</v>
      </c>
      <c r="BH111" s="43">
        <f t="shared" si="443"/>
        <v>92</v>
      </c>
      <c r="BI111" s="43">
        <f t="shared" si="443"/>
        <v>93</v>
      </c>
      <c r="BJ111" s="43">
        <f t="shared" si="443"/>
        <v>99</v>
      </c>
      <c r="BK111" s="36">
        <f>SUM(BG111:BJ111)</f>
        <v>325</v>
      </c>
      <c r="BL111" s="43">
        <f>+BL150</f>
        <v>80</v>
      </c>
      <c r="BM111" s="43">
        <f t="shared" si="444"/>
        <v>110</v>
      </c>
      <c r="BN111" s="43">
        <f t="shared" si="444"/>
        <v>113</v>
      </c>
      <c r="BO111" s="43">
        <f t="shared" si="444"/>
        <v>126</v>
      </c>
      <c r="BP111" s="36">
        <f>SUM(BL111:BO111)</f>
        <v>429</v>
      </c>
      <c r="BQ111" s="43">
        <f>+BQ150</f>
        <v>136</v>
      </c>
      <c r="BR111" s="43">
        <f t="shared" si="445"/>
        <v>189</v>
      </c>
      <c r="BS111" s="43">
        <f t="shared" si="445"/>
        <v>142</v>
      </c>
      <c r="BT111" s="43">
        <f t="shared" si="445"/>
        <v>144</v>
      </c>
      <c r="BU111" s="36">
        <f>SUM(BQ111:BT111)</f>
        <v>611</v>
      </c>
      <c r="BV111" s="43">
        <f>+BV150</f>
        <v>136</v>
      </c>
      <c r="BW111" s="43">
        <f t="shared" si="446"/>
        <v>170</v>
      </c>
      <c r="BX111" s="43">
        <f t="shared" si="446"/>
        <v>161</v>
      </c>
      <c r="BY111" s="43">
        <f t="shared" si="446"/>
        <v>171</v>
      </c>
      <c r="BZ111" s="36">
        <f>SUM(BV111:BY111)</f>
        <v>638</v>
      </c>
      <c r="CA111" s="43">
        <f>+CA150</f>
        <v>170</v>
      </c>
      <c r="CB111" s="369">
        <f t="shared" si="447"/>
        <v>194</v>
      </c>
      <c r="CC111" s="43">
        <f t="shared" si="447"/>
        <v>192</v>
      </c>
      <c r="CD111" s="43">
        <f t="shared" si="447"/>
        <v>199</v>
      </c>
      <c r="CE111" s="36">
        <f>SUM(CA111:CD111)</f>
        <v>755</v>
      </c>
      <c r="CF111" s="43">
        <f>+CF150</f>
        <v>196</v>
      </c>
      <c r="CG111" s="369">
        <f t="shared" si="448"/>
        <v>206</v>
      </c>
      <c r="CH111" s="43">
        <f t="shared" si="448"/>
        <v>216</v>
      </c>
      <c r="CI111" s="43">
        <f t="shared" si="448"/>
        <v>186</v>
      </c>
      <c r="CJ111" s="36">
        <f>SUM(CF111:CI111)</f>
        <v>804</v>
      </c>
      <c r="CK111" s="43">
        <f>+CK150</f>
        <v>183</v>
      </c>
      <c r="CL111" s="369">
        <f t="shared" si="449"/>
        <v>192</v>
      </c>
      <c r="CM111" s="43">
        <f t="shared" si="449"/>
        <v>169</v>
      </c>
      <c r="CN111" s="43">
        <f t="shared" si="450"/>
        <v>165</v>
      </c>
      <c r="CO111" s="36">
        <f>SUM(CK111:CN111)</f>
        <v>709</v>
      </c>
      <c r="CP111" s="43">
        <f>+CP150</f>
        <v>185</v>
      </c>
      <c r="CQ111" s="369">
        <f t="shared" si="451"/>
        <v>176</v>
      </c>
      <c r="CR111" s="43">
        <f>CM111*(1+'2. Consolidated'!CR58)</f>
        <v>169.1499689413435</v>
      </c>
      <c r="CS111" s="43">
        <f t="shared" si="452"/>
        <v>160</v>
      </c>
      <c r="CT111" s="36">
        <f>SUM(CP111:CS111)</f>
        <v>690.14996894134356</v>
      </c>
      <c r="CU111" s="374">
        <f>CP111*(1+'2. Consolidated'!CU58)</f>
        <v>176.99701365187713</v>
      </c>
      <c r="CV111" s="410">
        <f>CQ111*(1+'2. Consolidated'!CV58)</f>
        <v>154.06334895308603</v>
      </c>
      <c r="CW111" s="410">
        <f>CR111*(1+'2. Consolidated'!CW58)</f>
        <v>154.55773915076756</v>
      </c>
      <c r="CX111" s="410">
        <f>CS111*(1+'2. Consolidated'!CX58)</f>
        <v>144.09541917608456</v>
      </c>
      <c r="CY111" s="36">
        <f>SUM(CU111:CX111)</f>
        <v>629.71352093181531</v>
      </c>
      <c r="CZ111" s="410">
        <f>CU111*(1+'2. Consolidated'!CZ58)</f>
        <v>163.03097865614333</v>
      </c>
      <c r="DA111" s="410">
        <f>CV111*(1+'2. Consolidated'!DA58)</f>
        <v>146.72580797437834</v>
      </c>
      <c r="DB111" s="410">
        <f>CW111*(1+'2. Consolidated'!DB58)</f>
        <v>150.35356774765282</v>
      </c>
      <c r="DC111" s="410">
        <f>CX111*(1+'2. Consolidated'!DC58)</f>
        <v>140.39944610718189</v>
      </c>
      <c r="DD111" s="36">
        <f>SUM(CZ111:DC111)</f>
        <v>600.50980048535644</v>
      </c>
      <c r="DE111" s="410">
        <f>CZ111*(1+'2. Consolidated'!DE58)</f>
        <v>163.12287219394196</v>
      </c>
      <c r="DF111" s="410">
        <f>DA111*(1+'2. Consolidated'!DF58)</f>
        <v>147.00485830422912</v>
      </c>
      <c r="DG111" s="410">
        <f>DB111*(1+'2. Consolidated'!DG58)</f>
        <v>151.38904935395445</v>
      </c>
      <c r="DH111" s="410">
        <f>DC111*(1+'2. Consolidated'!DH58)</f>
        <v>141.4024537416843</v>
      </c>
      <c r="DI111" s="36">
        <f>SUM(DE111:DH111)</f>
        <v>602.91923359380985</v>
      </c>
    </row>
    <row r="112" spans="1:124" s="7" customFormat="1" ht="12" customHeight="1">
      <c r="A112" s="239"/>
      <c r="B112" s="20" t="s">
        <v>121</v>
      </c>
      <c r="C112" s="43"/>
      <c r="D112" s="36"/>
      <c r="E112" s="43"/>
      <c r="F112" s="36"/>
      <c r="G112" s="43"/>
      <c r="H112" s="36"/>
      <c r="I112" s="43"/>
      <c r="J112" s="36"/>
      <c r="K112" s="39"/>
      <c r="L112" s="40"/>
      <c r="M112" s="39"/>
      <c r="N112" s="36"/>
      <c r="O112" s="36"/>
      <c r="P112" s="43"/>
      <c r="Q112" s="36"/>
      <c r="R112" s="43">
        <f>+R151</f>
        <v>0</v>
      </c>
      <c r="S112" s="43">
        <f t="shared" si="435"/>
        <v>0</v>
      </c>
      <c r="T112" s="43">
        <f t="shared" si="435"/>
        <v>0</v>
      </c>
      <c r="U112" s="43">
        <f t="shared" si="435"/>
        <v>0</v>
      </c>
      <c r="V112" s="36">
        <v>0</v>
      </c>
      <c r="W112" s="43">
        <f>+W151</f>
        <v>0</v>
      </c>
      <c r="X112" s="43">
        <f t="shared" si="436"/>
        <v>0</v>
      </c>
      <c r="Y112" s="43">
        <f t="shared" si="436"/>
        <v>0</v>
      </c>
      <c r="Z112" s="43">
        <f t="shared" si="436"/>
        <v>0</v>
      </c>
      <c r="AA112" s="36">
        <v>0</v>
      </c>
      <c r="AB112" s="36"/>
      <c r="AC112" s="43">
        <f>+AC151</f>
        <v>0</v>
      </c>
      <c r="AD112" s="43">
        <f t="shared" si="437"/>
        <v>0</v>
      </c>
      <c r="AE112" s="43">
        <f t="shared" si="437"/>
        <v>-56</v>
      </c>
      <c r="AF112" s="43">
        <f t="shared" si="437"/>
        <v>77</v>
      </c>
      <c r="AG112" s="36">
        <v>21</v>
      </c>
      <c r="AH112" s="43">
        <f>+AH151</f>
        <v>24</v>
      </c>
      <c r="AI112" s="43">
        <f t="shared" si="438"/>
        <v>-1</v>
      </c>
      <c r="AJ112" s="43">
        <f t="shared" si="438"/>
        <v>-79</v>
      </c>
      <c r="AK112" s="43">
        <f t="shared" si="438"/>
        <v>45</v>
      </c>
      <c r="AL112" s="15">
        <v>-11</v>
      </c>
      <c r="AM112" s="43">
        <f>+AM151</f>
        <v>35</v>
      </c>
      <c r="AN112" s="43">
        <f t="shared" si="439"/>
        <v>14</v>
      </c>
      <c r="AO112" s="43">
        <f t="shared" si="439"/>
        <v>-6</v>
      </c>
      <c r="AP112" s="43">
        <f t="shared" si="439"/>
        <v>-156</v>
      </c>
      <c r="AQ112" s="15">
        <v>-113</v>
      </c>
      <c r="AR112" s="43">
        <f>+AR151</f>
        <v>-31</v>
      </c>
      <c r="AS112" s="43">
        <f t="shared" si="440"/>
        <v>-8</v>
      </c>
      <c r="AT112" s="43">
        <f t="shared" si="440"/>
        <v>33</v>
      </c>
      <c r="AU112" s="43">
        <f t="shared" si="440"/>
        <v>-74</v>
      </c>
      <c r="AV112" s="36">
        <v>-80</v>
      </c>
      <c r="AW112" s="43">
        <f>+AW151</f>
        <v>-50</v>
      </c>
      <c r="AX112" s="43">
        <f t="shared" si="441"/>
        <v>-20</v>
      </c>
      <c r="AY112" s="43">
        <f t="shared" si="441"/>
        <v>-129</v>
      </c>
      <c r="AZ112" s="43">
        <f t="shared" si="441"/>
        <v>-74</v>
      </c>
      <c r="BA112" s="36">
        <v>-273</v>
      </c>
      <c r="BB112" s="43">
        <f>+BB151</f>
        <v>-59</v>
      </c>
      <c r="BC112" s="43">
        <f t="shared" si="442"/>
        <v>-24</v>
      </c>
      <c r="BD112" s="43">
        <f t="shared" si="442"/>
        <v>647</v>
      </c>
      <c r="BE112" s="43">
        <f t="shared" si="442"/>
        <v>83</v>
      </c>
      <c r="BF112" s="36">
        <v>647</v>
      </c>
      <c r="BG112" s="43">
        <f>+BG151</f>
        <v>18</v>
      </c>
      <c r="BH112" s="43">
        <f t="shared" si="443"/>
        <v>-7</v>
      </c>
      <c r="BI112" s="43">
        <f t="shared" si="443"/>
        <v>56</v>
      </c>
      <c r="BJ112" s="43">
        <f t="shared" si="443"/>
        <v>-33</v>
      </c>
      <c r="BK112" s="36">
        <f>SUM(BG112:BJ112)</f>
        <v>34</v>
      </c>
      <c r="BL112" s="43">
        <f>+BL151</f>
        <v>-42</v>
      </c>
      <c r="BM112" s="43">
        <f t="shared" si="444"/>
        <v>-92</v>
      </c>
      <c r="BN112" s="43">
        <f t="shared" si="444"/>
        <v>-238</v>
      </c>
      <c r="BO112" s="43">
        <f t="shared" si="444"/>
        <v>-8</v>
      </c>
      <c r="BP112" s="36">
        <f>SUM(BL112:BO112)</f>
        <v>-380</v>
      </c>
      <c r="BQ112" s="43">
        <f>+BQ151</f>
        <v>-220</v>
      </c>
      <c r="BR112" s="43">
        <f t="shared" si="445"/>
        <v>43</v>
      </c>
      <c r="BS112" s="43">
        <f t="shared" si="445"/>
        <v>-114</v>
      </c>
      <c r="BT112" s="43">
        <f t="shared" si="445"/>
        <v>-94</v>
      </c>
      <c r="BU112" s="36">
        <f>SUM(BQ112:BT112)</f>
        <v>-385</v>
      </c>
      <c r="BV112" s="43">
        <f>+BV151</f>
        <v>-145</v>
      </c>
      <c r="BW112" s="43">
        <f t="shared" si="446"/>
        <v>-77</v>
      </c>
      <c r="BX112" s="43">
        <f t="shared" si="446"/>
        <v>-12</v>
      </c>
      <c r="BY112" s="43">
        <f t="shared" si="446"/>
        <v>-416</v>
      </c>
      <c r="BZ112" s="36">
        <f>SUM(BV112:BY112)</f>
        <v>-650</v>
      </c>
      <c r="CA112" s="43">
        <f>+CA151</f>
        <v>-43</v>
      </c>
      <c r="CB112" s="369">
        <f t="shared" si="447"/>
        <v>-107</v>
      </c>
      <c r="CC112" s="43">
        <f t="shared" si="447"/>
        <v>-66</v>
      </c>
      <c r="CD112" s="43">
        <f t="shared" si="447"/>
        <v>99</v>
      </c>
      <c r="CE112" s="36">
        <f>SUM(CA112:CD112)</f>
        <v>-117</v>
      </c>
      <c r="CF112" s="43">
        <f>+CF151</f>
        <v>-68</v>
      </c>
      <c r="CG112" s="369">
        <f t="shared" si="448"/>
        <v>-76</v>
      </c>
      <c r="CH112" s="43">
        <f t="shared" si="448"/>
        <v>-137</v>
      </c>
      <c r="CI112" s="43">
        <f t="shared" si="448"/>
        <v>-216</v>
      </c>
      <c r="CJ112" s="36">
        <f>SUM(CF112:CI112)</f>
        <v>-497</v>
      </c>
      <c r="CK112" s="43">
        <f>+CK151</f>
        <v>-53</v>
      </c>
      <c r="CL112" s="369">
        <f t="shared" si="449"/>
        <v>-135</v>
      </c>
      <c r="CM112" s="43">
        <f t="shared" si="449"/>
        <v>-116</v>
      </c>
      <c r="CN112" s="43">
        <f t="shared" si="450"/>
        <v>16</v>
      </c>
      <c r="CO112" s="36">
        <f>SUM(CK112:CN112)</f>
        <v>-288</v>
      </c>
      <c r="CP112" s="43">
        <f>+CP151</f>
        <v>-25</v>
      </c>
      <c r="CQ112" s="369">
        <f t="shared" si="451"/>
        <v>-43</v>
      </c>
      <c r="CR112" s="43">
        <f>-1400*0.08/4</f>
        <v>-28</v>
      </c>
      <c r="CS112" s="43">
        <f t="shared" si="452"/>
        <v>36</v>
      </c>
      <c r="CT112" s="36">
        <f>SUM(CP112:CS112)</f>
        <v>-60</v>
      </c>
      <c r="CU112" s="374">
        <f>-1400*0.08/4</f>
        <v>-28</v>
      </c>
      <c r="CV112" s="410">
        <f>-1400*0.08/4</f>
        <v>-28</v>
      </c>
      <c r="CW112" s="410">
        <f>-1400*0.08/4</f>
        <v>-28</v>
      </c>
      <c r="CX112" s="410">
        <f>-1400*0.08/4</f>
        <v>-28</v>
      </c>
      <c r="CY112" s="36">
        <f>SUM(CU112:CX112)</f>
        <v>-112</v>
      </c>
      <c r="CZ112" s="410">
        <f>-1400*0.08/4</f>
        <v>-28</v>
      </c>
      <c r="DA112" s="410">
        <f>-1400*0.08/4</f>
        <v>-28</v>
      </c>
      <c r="DB112" s="410">
        <f>-1400*0.08/4</f>
        <v>-28</v>
      </c>
      <c r="DC112" s="410">
        <f>-1400*0.08/4</f>
        <v>-28</v>
      </c>
      <c r="DD112" s="36">
        <f>SUM(CZ112:DC112)</f>
        <v>-112</v>
      </c>
      <c r="DE112" s="410">
        <f>-1400*0.08/4</f>
        <v>-28</v>
      </c>
      <c r="DF112" s="410">
        <f>-1400*0.08/4</f>
        <v>-28</v>
      </c>
      <c r="DG112" s="410">
        <f>-1400*0.08/4</f>
        <v>-28</v>
      </c>
      <c r="DH112" s="410">
        <f>-1400*0.08/4</f>
        <v>-28</v>
      </c>
      <c r="DI112" s="36">
        <f>SUM(DE112:DH112)</f>
        <v>-112</v>
      </c>
    </row>
    <row r="113" spans="1:113" s="7" customFormat="1" ht="12" customHeight="1">
      <c r="A113" s="239"/>
      <c r="B113" s="20"/>
      <c r="C113" s="43"/>
      <c r="D113" s="36"/>
      <c r="E113" s="43"/>
      <c r="F113" s="36"/>
      <c r="G113" s="43"/>
      <c r="H113" s="36"/>
      <c r="I113" s="43"/>
      <c r="J113" s="36"/>
      <c r="K113" s="39"/>
      <c r="L113" s="40"/>
      <c r="M113" s="39"/>
      <c r="N113" s="36"/>
      <c r="O113" s="36"/>
      <c r="P113" s="43"/>
      <c r="Q113" s="36"/>
      <c r="R113" s="43"/>
      <c r="S113" s="43"/>
      <c r="T113" s="43"/>
      <c r="U113" s="43"/>
      <c r="V113" s="36"/>
      <c r="W113" s="43"/>
      <c r="X113" s="43"/>
      <c r="Y113" s="43"/>
      <c r="Z113" s="43"/>
      <c r="AA113" s="36"/>
      <c r="AB113" s="36"/>
      <c r="AC113" s="43"/>
      <c r="AD113" s="43"/>
      <c r="AE113" s="43"/>
      <c r="AF113" s="43"/>
      <c r="AG113" s="36"/>
      <c r="AH113" s="43"/>
      <c r="AI113" s="43"/>
      <c r="AJ113" s="43"/>
      <c r="AK113" s="43"/>
      <c r="AL113" s="15"/>
      <c r="AM113" s="43"/>
      <c r="AN113" s="43"/>
      <c r="AO113" s="43"/>
      <c r="AP113" s="43"/>
      <c r="AQ113" s="15"/>
      <c r="AR113" s="43"/>
      <c r="AS113" s="43"/>
      <c r="AT113" s="43"/>
      <c r="AU113" s="43"/>
      <c r="AV113" s="36"/>
      <c r="AW113" s="43"/>
      <c r="AX113" s="43"/>
      <c r="AY113" s="43"/>
      <c r="AZ113" s="43"/>
      <c r="BA113" s="36"/>
      <c r="BB113" s="43"/>
      <c r="BC113" s="43"/>
      <c r="BD113" s="43"/>
      <c r="BE113" s="43"/>
      <c r="BF113" s="36"/>
      <c r="BG113" s="43"/>
      <c r="BH113" s="43"/>
      <c r="BI113" s="43"/>
      <c r="BJ113" s="43"/>
      <c r="BK113" s="36"/>
      <c r="BL113" s="43"/>
      <c r="BM113" s="43"/>
      <c r="BN113" s="43"/>
      <c r="BO113" s="43"/>
      <c r="BP113" s="36"/>
      <c r="BQ113" s="43"/>
      <c r="BR113" s="43"/>
      <c r="BS113" s="43"/>
      <c r="BT113" s="43"/>
      <c r="BU113" s="36"/>
      <c r="BV113" s="43"/>
      <c r="BW113" s="43"/>
      <c r="BX113" s="43"/>
      <c r="BY113" s="43"/>
      <c r="BZ113" s="36"/>
      <c r="CA113" s="43"/>
      <c r="CB113" s="369"/>
      <c r="CC113" s="43"/>
      <c r="CD113" s="43"/>
      <c r="CE113" s="36"/>
      <c r="CF113" s="258"/>
      <c r="CG113" s="369"/>
      <c r="CH113" s="43"/>
      <c r="CI113" s="43"/>
      <c r="CJ113" s="36"/>
      <c r="CK113" s="258"/>
      <c r="CL113" s="369"/>
      <c r="CM113" s="43"/>
      <c r="CN113" s="43"/>
      <c r="CO113" s="36"/>
      <c r="CP113" s="258"/>
      <c r="CQ113" s="369"/>
      <c r="CR113" s="43"/>
      <c r="CS113" s="43"/>
      <c r="CT113" s="36"/>
      <c r="CU113" s="258"/>
      <c r="CV113" s="43"/>
      <c r="CW113" s="43"/>
      <c r="CX113" s="43"/>
      <c r="CY113" s="36"/>
      <c r="CZ113" s="43"/>
      <c r="DA113" s="43"/>
      <c r="DB113" s="43"/>
      <c r="DC113" s="43"/>
      <c r="DD113" s="36"/>
      <c r="DE113" s="43"/>
      <c r="DF113" s="43"/>
      <c r="DG113" s="43"/>
      <c r="DH113" s="43"/>
      <c r="DI113" s="36"/>
    </row>
    <row r="114" spans="1:113" s="7" customFormat="1" ht="12" customHeight="1">
      <c r="A114" s="239"/>
      <c r="B114" s="20" t="s">
        <v>19</v>
      </c>
      <c r="C114" s="43">
        <v>-292.89999999999998</v>
      </c>
      <c r="D114" s="36">
        <v>-485.6</v>
      </c>
      <c r="E114" s="43">
        <v>79.7</v>
      </c>
      <c r="F114" s="36">
        <v>134.30000000000001</v>
      </c>
      <c r="G114" s="43">
        <v>-27.1</v>
      </c>
      <c r="H114" s="36">
        <v>-141.4</v>
      </c>
      <c r="I114" s="43">
        <v>-135.19999999999999</v>
      </c>
      <c r="J114" s="36">
        <v>-136.30000000000001</v>
      </c>
      <c r="K114" s="39">
        <v>97.1</v>
      </c>
      <c r="L114" s="40">
        <v>-93.5</v>
      </c>
      <c r="M114" s="39">
        <v>-85.1</v>
      </c>
      <c r="N114" s="36">
        <v>-39.6</v>
      </c>
      <c r="O114" s="36">
        <v>-118.3</v>
      </c>
      <c r="P114" s="43">
        <v>-238</v>
      </c>
      <c r="Q114" s="36">
        <v>181.7</v>
      </c>
      <c r="R114" s="43">
        <f>+R153</f>
        <v>-82</v>
      </c>
      <c r="S114" s="43">
        <f t="shared" ref="S114:U117" si="453">+S153-R153</f>
        <v>46</v>
      </c>
      <c r="T114" s="43">
        <f t="shared" si="453"/>
        <v>-134</v>
      </c>
      <c r="U114" s="43">
        <f t="shared" si="453"/>
        <v>-103</v>
      </c>
      <c r="V114" s="36">
        <v>-273</v>
      </c>
      <c r="W114" s="43">
        <f>+W153</f>
        <v>-141</v>
      </c>
      <c r="X114" s="43">
        <f t="shared" ref="X114:Z117" si="454">+X153-W153</f>
        <v>50</v>
      </c>
      <c r="Y114" s="43">
        <f t="shared" si="454"/>
        <v>-142</v>
      </c>
      <c r="Z114" s="43">
        <f t="shared" si="454"/>
        <v>-90</v>
      </c>
      <c r="AA114" s="36">
        <v>-323</v>
      </c>
      <c r="AB114" s="36"/>
      <c r="AC114" s="43">
        <f>+AC153</f>
        <v>-123</v>
      </c>
      <c r="AD114" s="43">
        <f t="shared" ref="AD114:AF117" si="455">+AD153-AC153</f>
        <v>145</v>
      </c>
      <c r="AE114" s="43">
        <f t="shared" si="455"/>
        <v>16</v>
      </c>
      <c r="AF114" s="43">
        <f t="shared" si="455"/>
        <v>104</v>
      </c>
      <c r="AG114" s="15">
        <v>142</v>
      </c>
      <c r="AH114" s="43">
        <f>+AH153</f>
        <v>-102</v>
      </c>
      <c r="AI114" s="43">
        <f t="shared" ref="AI114:AK117" si="456">+AI153-AH153</f>
        <v>13</v>
      </c>
      <c r="AJ114" s="43">
        <f t="shared" si="456"/>
        <v>-166</v>
      </c>
      <c r="AK114" s="43">
        <f t="shared" si="456"/>
        <v>-43</v>
      </c>
      <c r="AL114" s="15">
        <v>-298</v>
      </c>
      <c r="AM114" s="43">
        <f>+AM153</f>
        <v>-203</v>
      </c>
      <c r="AN114" s="43">
        <f t="shared" ref="AN114:AP117" si="457">+AN153-AM153</f>
        <v>26</v>
      </c>
      <c r="AO114" s="43">
        <f t="shared" si="457"/>
        <v>68</v>
      </c>
      <c r="AP114" s="43">
        <f t="shared" si="457"/>
        <v>-107</v>
      </c>
      <c r="AQ114" s="15">
        <v>-216</v>
      </c>
      <c r="AR114" s="43">
        <f>+AR153</f>
        <v>52</v>
      </c>
      <c r="AS114" s="43">
        <f t="shared" ref="AS114:AU117" si="458">+AS153-AR153</f>
        <v>-191</v>
      </c>
      <c r="AT114" s="43">
        <f t="shared" si="458"/>
        <v>15</v>
      </c>
      <c r="AU114" s="43">
        <f t="shared" si="458"/>
        <v>184</v>
      </c>
      <c r="AV114" s="36">
        <v>60</v>
      </c>
      <c r="AW114" s="43">
        <f>+AW153</f>
        <v>-284</v>
      </c>
      <c r="AX114" s="43">
        <f t="shared" ref="AX114:AZ117" si="459">+AX153-AW153</f>
        <v>-34</v>
      </c>
      <c r="AY114" s="43">
        <f t="shared" si="459"/>
        <v>-228</v>
      </c>
      <c r="AZ114" s="43">
        <f t="shared" si="459"/>
        <v>120</v>
      </c>
      <c r="BA114" s="36">
        <v>-426</v>
      </c>
      <c r="BB114" s="43">
        <f>+BB153</f>
        <v>-101</v>
      </c>
      <c r="BC114" s="43">
        <f t="shared" ref="BC114:BE117" si="460">+BC153-BB153</f>
        <v>244</v>
      </c>
      <c r="BD114" s="43">
        <f t="shared" si="460"/>
        <v>-140</v>
      </c>
      <c r="BE114" s="43">
        <f t="shared" si="460"/>
        <v>184</v>
      </c>
      <c r="BF114" s="36">
        <v>187</v>
      </c>
      <c r="BG114" s="43">
        <f>+BG153</f>
        <v>-294</v>
      </c>
      <c r="BH114" s="43">
        <f t="shared" ref="BH114:BJ117" si="461">+BH153-BG153</f>
        <v>-30</v>
      </c>
      <c r="BI114" s="43">
        <f t="shared" si="461"/>
        <v>-136</v>
      </c>
      <c r="BJ114" s="43">
        <f t="shared" si="461"/>
        <v>190</v>
      </c>
      <c r="BK114" s="36">
        <f>+BG114+BH114+BI114+BJ114</f>
        <v>-270</v>
      </c>
      <c r="BL114" s="43">
        <f>+BL153</f>
        <v>-456</v>
      </c>
      <c r="BM114" s="43">
        <f t="shared" ref="BM114:BO117" si="462">+BM153-BL153</f>
        <v>-112</v>
      </c>
      <c r="BN114" s="43">
        <f t="shared" si="462"/>
        <v>93</v>
      </c>
      <c r="BO114" s="43">
        <f t="shared" si="462"/>
        <v>1714</v>
      </c>
      <c r="BP114" s="36">
        <f>+BL114+BM114+BN114+BO114</f>
        <v>1239</v>
      </c>
      <c r="BQ114" s="43">
        <f>+BQ153</f>
        <v>-990</v>
      </c>
      <c r="BR114" s="43">
        <f t="shared" ref="BR114:BT117" si="463">+BR153-BQ153</f>
        <v>69</v>
      </c>
      <c r="BS114" s="43">
        <f t="shared" si="463"/>
        <v>84</v>
      </c>
      <c r="BT114" s="43">
        <f t="shared" si="463"/>
        <v>-769</v>
      </c>
      <c r="BU114" s="36">
        <f>+BQ114+BR114+BS114+BT114</f>
        <v>-1606</v>
      </c>
      <c r="BV114" s="43">
        <f>+BV153</f>
        <v>36</v>
      </c>
      <c r="BW114" s="43">
        <f t="shared" ref="BW114:BY117" si="464">+BW153-BV153</f>
        <v>507</v>
      </c>
      <c r="BX114" s="43">
        <f t="shared" si="464"/>
        <v>-77</v>
      </c>
      <c r="BY114" s="43">
        <f t="shared" si="464"/>
        <v>-970</v>
      </c>
      <c r="BZ114" s="36">
        <f>+BV114+BW114+BX114+BY114</f>
        <v>-504</v>
      </c>
      <c r="CA114" s="43">
        <f>+CA153</f>
        <v>-415</v>
      </c>
      <c r="CB114" s="369">
        <f t="shared" ref="CB114:CD117" si="465">+CB153-CA153</f>
        <v>-463</v>
      </c>
      <c r="CC114" s="43">
        <f t="shared" si="465"/>
        <v>987</v>
      </c>
      <c r="CD114" s="43">
        <f t="shared" si="465"/>
        <v>380</v>
      </c>
      <c r="CE114" s="36">
        <f>+CA114+CB114+CC114+CD114</f>
        <v>489</v>
      </c>
      <c r="CF114" s="43">
        <f>+CF153</f>
        <v>-621</v>
      </c>
      <c r="CG114" s="369">
        <f t="shared" ref="CG114:CI117" si="466">+CG153-CF153</f>
        <v>-28</v>
      </c>
      <c r="CH114" s="43">
        <f t="shared" si="466"/>
        <v>220</v>
      </c>
      <c r="CI114" s="43">
        <f t="shared" si="466"/>
        <v>100</v>
      </c>
      <c r="CJ114" s="36">
        <f>+CF114+CG114+CH114+CI114</f>
        <v>-329</v>
      </c>
      <c r="CK114" s="43">
        <f>+CK153</f>
        <v>-312</v>
      </c>
      <c r="CL114" s="369">
        <f t="shared" ref="CL114:CM117" si="467">+CL153-CK153</f>
        <v>-631</v>
      </c>
      <c r="CM114" s="43">
        <f t="shared" si="467"/>
        <v>779</v>
      </c>
      <c r="CN114" s="43">
        <f t="shared" ref="CN114:CN117" si="468">+CN153-CM153</f>
        <v>-93</v>
      </c>
      <c r="CO114" s="36">
        <f>+CK114+CL114+CM114+CN114</f>
        <v>-257</v>
      </c>
      <c r="CP114" s="43">
        <f>+CP153</f>
        <v>-215</v>
      </c>
      <c r="CQ114" s="369">
        <f t="shared" ref="CQ114:CQ117" si="469">+CQ153-CP153</f>
        <v>-806</v>
      </c>
      <c r="CR114" s="43">
        <f>+'2. Consolidated'!CQ187-'2. Consolidated'!CR187</f>
        <v>369</v>
      </c>
      <c r="CS114" s="43">
        <f t="shared" ref="CS114:CS117" si="470">+CS153-CR153</f>
        <v>-584</v>
      </c>
      <c r="CT114" s="36">
        <f>+CP114+CQ114+CR114+CS114</f>
        <v>-1236</v>
      </c>
      <c r="CU114" s="374">
        <f>+'2. Consolidated'!CT187-'2. Consolidated'!CU187</f>
        <v>689</v>
      </c>
      <c r="CV114" s="43">
        <f>+'2. Consolidated'!CU187-'2. Consolidated'!CV187</f>
        <v>-228.1902259523149</v>
      </c>
      <c r="CW114" s="43">
        <f>+'2. Consolidated'!CV187-'2. Consolidated'!CW187</f>
        <v>465.16912468305054</v>
      </c>
      <c r="CX114" s="43">
        <f>+'2. Consolidated'!CW187-'2. Consolidated'!CX187</f>
        <v>-399.37856742593885</v>
      </c>
      <c r="CY114" s="36">
        <f>+CU114+CV114+CW114+CX114</f>
        <v>526.60033130479678</v>
      </c>
      <c r="CZ114" s="43">
        <f>+'2. Consolidated'!CY187-'2. Consolidated'!CZ187</f>
        <v>676.11848667999402</v>
      </c>
      <c r="DA114" s="43">
        <f>+'2. Consolidated'!CZ187-'2. Consolidated'!DA187</f>
        <v>-314.26633062069322</v>
      </c>
      <c r="DB114" s="43">
        <f>+'2. Consolidated'!DA187-'2. Consolidated'!DB187</f>
        <v>357.64320893740569</v>
      </c>
      <c r="DC114" s="43">
        <f>+'2. Consolidated'!DB187-'2. Consolidated'!DC187</f>
        <v>-471.93658537528972</v>
      </c>
      <c r="DD114" s="36">
        <f>+CZ114+DA114+DB114+DC114</f>
        <v>247.55877962141676</v>
      </c>
      <c r="DE114" s="43">
        <f>+'2. Consolidated'!DD187-'2. Consolidated'!DE187</f>
        <v>548.04759343649857</v>
      </c>
      <c r="DF114" s="43">
        <f>+'2. Consolidated'!DE187-'2. Consolidated'!DF187</f>
        <v>-371.05321727027695</v>
      </c>
      <c r="DG114" s="43">
        <f>+'2. Consolidated'!DF187-'2. Consolidated'!DG187</f>
        <v>313.27782333914547</v>
      </c>
      <c r="DH114" s="43">
        <f>+'2. Consolidated'!DG187-'2. Consolidated'!DH187</f>
        <v>-511.15333908396406</v>
      </c>
      <c r="DI114" s="36">
        <f>+DE114+DF114+DG114+DH114</f>
        <v>-20.881139578596958</v>
      </c>
    </row>
    <row r="115" spans="1:113" s="7" customFormat="1" ht="12" customHeight="1">
      <c r="A115" s="239"/>
      <c r="B115" s="20" t="s">
        <v>20</v>
      </c>
      <c r="C115" s="43">
        <v>-301.39999999999998</v>
      </c>
      <c r="D115" s="36">
        <v>-416.7</v>
      </c>
      <c r="E115" s="43">
        <v>-58</v>
      </c>
      <c r="F115" s="36">
        <v>226</v>
      </c>
      <c r="G115" s="43">
        <v>-275.39999999999998</v>
      </c>
      <c r="H115" s="36">
        <v>-16.7</v>
      </c>
      <c r="I115" s="43">
        <v>55.4</v>
      </c>
      <c r="J115" s="36">
        <v>-102.8</v>
      </c>
      <c r="K115" s="39">
        <v>-55.9</v>
      </c>
      <c r="L115" s="40">
        <v>-103.3</v>
      </c>
      <c r="M115" s="39">
        <v>-200.3</v>
      </c>
      <c r="N115" s="36">
        <v>-49.5</v>
      </c>
      <c r="O115" s="36">
        <v>-249.8</v>
      </c>
      <c r="P115" s="43">
        <v>32.200000000000003</v>
      </c>
      <c r="Q115" s="36">
        <v>284.60000000000002</v>
      </c>
      <c r="R115" s="43">
        <f>+R154</f>
        <v>-118</v>
      </c>
      <c r="S115" s="43">
        <f t="shared" si="453"/>
        <v>-134</v>
      </c>
      <c r="T115" s="43">
        <f t="shared" si="453"/>
        <v>-147</v>
      </c>
      <c r="U115" s="43">
        <f t="shared" si="453"/>
        <v>-152</v>
      </c>
      <c r="V115" s="36">
        <v>-551</v>
      </c>
      <c r="W115" s="43">
        <f>+W154</f>
        <v>-398</v>
      </c>
      <c r="X115" s="43">
        <f t="shared" si="454"/>
        <v>-157</v>
      </c>
      <c r="Y115" s="43">
        <f t="shared" si="454"/>
        <v>-136</v>
      </c>
      <c r="Z115" s="43">
        <f t="shared" si="454"/>
        <v>-114</v>
      </c>
      <c r="AA115" s="36">
        <v>-805</v>
      </c>
      <c r="AB115" s="36"/>
      <c r="AC115" s="43">
        <f>+AC154</f>
        <v>-17</v>
      </c>
      <c r="AD115" s="43">
        <f t="shared" si="455"/>
        <v>-24</v>
      </c>
      <c r="AE115" s="43">
        <f t="shared" si="455"/>
        <v>-28</v>
      </c>
      <c r="AF115" s="43">
        <f t="shared" si="455"/>
        <v>-128</v>
      </c>
      <c r="AG115" s="15">
        <v>-197</v>
      </c>
      <c r="AH115" s="43">
        <f>+AH154</f>
        <v>-63</v>
      </c>
      <c r="AI115" s="43">
        <f t="shared" si="456"/>
        <v>-217</v>
      </c>
      <c r="AJ115" s="43">
        <f t="shared" si="456"/>
        <v>-69</v>
      </c>
      <c r="AK115" s="43">
        <f t="shared" si="456"/>
        <v>-156</v>
      </c>
      <c r="AL115" s="15">
        <v>-505</v>
      </c>
      <c r="AM115" s="43">
        <f>+AM154</f>
        <v>-111</v>
      </c>
      <c r="AN115" s="43">
        <f t="shared" si="457"/>
        <v>-207</v>
      </c>
      <c r="AO115" s="43">
        <f t="shared" si="457"/>
        <v>-192</v>
      </c>
      <c r="AP115" s="43">
        <f t="shared" si="457"/>
        <v>-111</v>
      </c>
      <c r="AQ115" s="15">
        <v>-621</v>
      </c>
      <c r="AR115" s="43">
        <f>+AR154</f>
        <v>-100</v>
      </c>
      <c r="AS115" s="43">
        <f t="shared" si="458"/>
        <v>-254</v>
      </c>
      <c r="AT115" s="43">
        <f t="shared" si="458"/>
        <v>-5</v>
      </c>
      <c r="AU115" s="43">
        <f t="shared" si="458"/>
        <v>-231</v>
      </c>
      <c r="AV115" s="36">
        <v>-590</v>
      </c>
      <c r="AW115" s="43">
        <f>+AW154</f>
        <v>-62</v>
      </c>
      <c r="AX115" s="43">
        <f t="shared" si="459"/>
        <v>-238</v>
      </c>
      <c r="AY115" s="43">
        <f t="shared" si="459"/>
        <v>143</v>
      </c>
      <c r="AZ115" s="43">
        <f t="shared" si="459"/>
        <v>-74</v>
      </c>
      <c r="BA115" s="36">
        <v>-231</v>
      </c>
      <c r="BB115" s="43">
        <f>+BB154</f>
        <v>-96</v>
      </c>
      <c r="BC115" s="43">
        <f t="shared" si="460"/>
        <v>-147</v>
      </c>
      <c r="BD115" s="43">
        <f t="shared" si="460"/>
        <v>-2</v>
      </c>
      <c r="BE115" s="43">
        <f t="shared" si="460"/>
        <v>-10</v>
      </c>
      <c r="BF115" s="36">
        <v>-255</v>
      </c>
      <c r="BG115" s="43">
        <f>+BG154</f>
        <v>-25</v>
      </c>
      <c r="BH115" s="43">
        <f t="shared" si="461"/>
        <v>-238</v>
      </c>
      <c r="BI115" s="43">
        <f t="shared" si="461"/>
        <v>37</v>
      </c>
      <c r="BJ115" s="43">
        <f t="shared" si="461"/>
        <v>-264</v>
      </c>
      <c r="BK115" s="36">
        <f>+BG115+BH115+BI115+BJ115</f>
        <v>-490</v>
      </c>
      <c r="BL115" s="43">
        <f>+BL154</f>
        <v>-270</v>
      </c>
      <c r="BM115" s="43">
        <f t="shared" si="462"/>
        <v>-338</v>
      </c>
      <c r="BN115" s="43">
        <f t="shared" si="462"/>
        <v>153</v>
      </c>
      <c r="BO115" s="43">
        <f t="shared" si="462"/>
        <v>-1399</v>
      </c>
      <c r="BP115" s="36">
        <f>+BL115+BM115+BN115+BO115</f>
        <v>-1854</v>
      </c>
      <c r="BQ115" s="43">
        <f>+BQ154</f>
        <v>689</v>
      </c>
      <c r="BR115" s="43">
        <f t="shared" si="463"/>
        <v>632</v>
      </c>
      <c r="BS115" s="43">
        <f t="shared" si="463"/>
        <v>-647</v>
      </c>
      <c r="BT115" s="43">
        <f t="shared" si="463"/>
        <v>-167</v>
      </c>
      <c r="BU115" s="36">
        <f>+BQ115+BR115+BS115+BT115</f>
        <v>507</v>
      </c>
      <c r="BV115" s="43">
        <f>+BV154</f>
        <v>101</v>
      </c>
      <c r="BW115" s="43">
        <f t="shared" si="464"/>
        <v>167</v>
      </c>
      <c r="BX115" s="43">
        <f t="shared" si="464"/>
        <v>-1140</v>
      </c>
      <c r="BY115" s="43">
        <f t="shared" si="464"/>
        <v>-804</v>
      </c>
      <c r="BZ115" s="36">
        <f>+BV115+BW115+BX115+BY115</f>
        <v>-1676</v>
      </c>
      <c r="CA115" s="43">
        <f>+CA154</f>
        <v>-1363</v>
      </c>
      <c r="CB115" s="369">
        <f t="shared" si="465"/>
        <v>415</v>
      </c>
      <c r="CC115" s="43">
        <f t="shared" si="465"/>
        <v>421</v>
      </c>
      <c r="CD115" s="43">
        <f t="shared" si="465"/>
        <v>394</v>
      </c>
      <c r="CE115" s="36">
        <f>+CA115+CB115+CC115+CD115</f>
        <v>-133</v>
      </c>
      <c r="CF115" s="43">
        <f>+CF154</f>
        <v>-263</v>
      </c>
      <c r="CG115" s="369">
        <f t="shared" si="466"/>
        <v>756</v>
      </c>
      <c r="CH115" s="43">
        <f t="shared" si="466"/>
        <v>205</v>
      </c>
      <c r="CI115" s="43">
        <f t="shared" si="466"/>
        <v>210</v>
      </c>
      <c r="CJ115" s="36">
        <f>+CF115+CG115+CH115+CI115</f>
        <v>908</v>
      </c>
      <c r="CK115" s="43">
        <f>+CK154</f>
        <v>-679</v>
      </c>
      <c r="CL115" s="369">
        <f t="shared" si="467"/>
        <v>132</v>
      </c>
      <c r="CM115" s="43">
        <f t="shared" si="467"/>
        <v>448</v>
      </c>
      <c r="CN115" s="43">
        <f t="shared" si="468"/>
        <v>219</v>
      </c>
      <c r="CO115" s="36">
        <f>+CK115+CL115+CM115+CN115</f>
        <v>120</v>
      </c>
      <c r="CP115" s="43">
        <f>+CP154</f>
        <v>-610</v>
      </c>
      <c r="CQ115" s="369">
        <f t="shared" si="469"/>
        <v>353</v>
      </c>
      <c r="CR115" s="43">
        <f>+'2. Consolidated'!CQ188-'2. Consolidated'!CR188</f>
        <v>239</v>
      </c>
      <c r="CS115" s="43">
        <f t="shared" si="470"/>
        <v>-55</v>
      </c>
      <c r="CT115" s="36">
        <f>+CP115+CQ115+CR115+CS115</f>
        <v>-73</v>
      </c>
      <c r="CU115" s="374">
        <f>+'2. Consolidated'!CT188-'2. Consolidated'!CU188</f>
        <v>-345</v>
      </c>
      <c r="CV115" s="43">
        <f>+'2. Consolidated'!CU188-'2. Consolidated'!CV188</f>
        <v>612.68165719654371</v>
      </c>
      <c r="CW115" s="43">
        <f>+'2. Consolidated'!CV188-'2. Consolidated'!CW188</f>
        <v>405.58102688932377</v>
      </c>
      <c r="CX115" s="43">
        <f>+'2. Consolidated'!CW188-'2. Consolidated'!CX188</f>
        <v>-375.03129156647447</v>
      </c>
      <c r="CY115" s="36">
        <f>+CU115+CV115+CW115+CX115</f>
        <v>298.23139251939301</v>
      </c>
      <c r="CZ115" s="43">
        <f>+'2. Consolidated'!CY188-'2. Consolidated'!CZ188</f>
        <v>-289.33790686503835</v>
      </c>
      <c r="DA115" s="43">
        <f>+'2. Consolidated'!CZ188-'2. Consolidated'!DA188</f>
        <v>405.01726107115883</v>
      </c>
      <c r="DB115" s="43">
        <f>+'2. Consolidated'!DA188-'2. Consolidated'!DB188</f>
        <v>296.74977662689253</v>
      </c>
      <c r="DC115" s="43">
        <f>+'2. Consolidated'!DB188-'2. Consolidated'!DC188</f>
        <v>-227.64570602562435</v>
      </c>
      <c r="DD115" s="36">
        <f>+CZ115+DA115+DB115+DC115</f>
        <v>184.78342480738866</v>
      </c>
      <c r="DE115" s="43">
        <f>+'2. Consolidated'!DD188-'2. Consolidated'!DE188</f>
        <v>-399.84128463732486</v>
      </c>
      <c r="DF115" s="43">
        <f>+'2. Consolidated'!DE188-'2. Consolidated'!DF188</f>
        <v>321.85387448454549</v>
      </c>
      <c r="DG115" s="43">
        <f>+'2. Consolidated'!DF188-'2. Consolidated'!DG188</f>
        <v>243.36819207142435</v>
      </c>
      <c r="DH115" s="43">
        <f>+'2. Consolidated'!DG188-'2. Consolidated'!DH188</f>
        <v>-271.98290386308236</v>
      </c>
      <c r="DI115" s="36">
        <f>+DE115+DF115+DG115+DH115</f>
        <v>-106.60212194443739</v>
      </c>
    </row>
    <row r="116" spans="1:113" s="7" customFormat="1" ht="12" customHeight="1">
      <c r="A116" s="239"/>
      <c r="B116" s="20" t="s">
        <v>21</v>
      </c>
      <c r="C116" s="43">
        <v>-20</v>
      </c>
      <c r="D116" s="36">
        <v>-56.9</v>
      </c>
      <c r="E116" s="43">
        <v>-12.6</v>
      </c>
      <c r="F116" s="36">
        <v>25</v>
      </c>
      <c r="G116" s="43">
        <v>65.599999999999994</v>
      </c>
      <c r="H116" s="36">
        <v>78</v>
      </c>
      <c r="I116" s="43">
        <v>16.899999999999999</v>
      </c>
      <c r="J116" s="36">
        <v>60.9</v>
      </c>
      <c r="K116" s="39">
        <v>-103.6</v>
      </c>
      <c r="L116" s="40">
        <v>71.400000000000006</v>
      </c>
      <c r="M116" s="39">
        <v>-37.200000000000003</v>
      </c>
      <c r="N116" s="36">
        <v>-60.8</v>
      </c>
      <c r="O116" s="36">
        <v>-11.2</v>
      </c>
      <c r="P116" s="43">
        <v>14.1</v>
      </c>
      <c r="Q116" s="36">
        <v>-69.599999999999994</v>
      </c>
      <c r="R116" s="43">
        <f>+R155</f>
        <v>13</v>
      </c>
      <c r="S116" s="43">
        <f t="shared" si="453"/>
        <v>-3</v>
      </c>
      <c r="T116" s="43">
        <f t="shared" si="453"/>
        <v>-2</v>
      </c>
      <c r="U116" s="43">
        <f t="shared" si="453"/>
        <v>-43</v>
      </c>
      <c r="V116" s="36">
        <v>-35</v>
      </c>
      <c r="W116" s="43">
        <f>+W155</f>
        <v>-59</v>
      </c>
      <c r="X116" s="43">
        <f t="shared" si="454"/>
        <v>4</v>
      </c>
      <c r="Y116" s="43">
        <f t="shared" si="454"/>
        <v>-94</v>
      </c>
      <c r="Z116" s="43">
        <f t="shared" si="454"/>
        <v>8</v>
      </c>
      <c r="AA116" s="36">
        <v>-141</v>
      </c>
      <c r="AB116" s="36"/>
      <c r="AC116" s="43">
        <f>+AC155</f>
        <v>-63</v>
      </c>
      <c r="AD116" s="43">
        <f t="shared" si="455"/>
        <v>30</v>
      </c>
      <c r="AE116" s="43">
        <f t="shared" si="455"/>
        <v>-46</v>
      </c>
      <c r="AF116" s="43">
        <f t="shared" si="455"/>
        <v>51</v>
      </c>
      <c r="AG116" s="15">
        <v>-28</v>
      </c>
      <c r="AH116" s="43">
        <f>+AH155</f>
        <v>-102</v>
      </c>
      <c r="AI116" s="43">
        <f t="shared" si="456"/>
        <v>-23</v>
      </c>
      <c r="AJ116" s="43">
        <f t="shared" si="456"/>
        <v>-97</v>
      </c>
      <c r="AK116" s="43">
        <f t="shared" si="456"/>
        <v>12</v>
      </c>
      <c r="AL116" s="15">
        <v>-210</v>
      </c>
      <c r="AM116" s="43">
        <f>+AM155</f>
        <v>-251</v>
      </c>
      <c r="AN116" s="43">
        <f t="shared" si="457"/>
        <v>193</v>
      </c>
      <c r="AO116" s="43">
        <f t="shared" si="457"/>
        <v>27</v>
      </c>
      <c r="AP116" s="43">
        <f t="shared" si="457"/>
        <v>-113</v>
      </c>
      <c r="AQ116" s="15">
        <v>-144</v>
      </c>
      <c r="AR116" s="43">
        <f>+AR155</f>
        <v>-73</v>
      </c>
      <c r="AS116" s="43">
        <f t="shared" si="458"/>
        <v>-41</v>
      </c>
      <c r="AT116" s="43">
        <f t="shared" si="458"/>
        <v>-35</v>
      </c>
      <c r="AU116" s="43">
        <f t="shared" si="458"/>
        <v>-12</v>
      </c>
      <c r="AV116" s="36">
        <v>-161</v>
      </c>
      <c r="AW116" s="43">
        <f>+AW155</f>
        <v>-63</v>
      </c>
      <c r="AX116" s="43">
        <f t="shared" si="459"/>
        <v>-22</v>
      </c>
      <c r="AY116" s="43">
        <f t="shared" si="459"/>
        <v>-67</v>
      </c>
      <c r="AZ116" s="43">
        <f t="shared" si="459"/>
        <v>32</v>
      </c>
      <c r="BA116" s="36">
        <v>-120</v>
      </c>
      <c r="BB116" s="43">
        <f>+BB155</f>
        <v>-543</v>
      </c>
      <c r="BC116" s="43">
        <f t="shared" si="460"/>
        <v>335</v>
      </c>
      <c r="BD116" s="43">
        <f t="shared" si="460"/>
        <v>-266</v>
      </c>
      <c r="BE116" s="43">
        <f t="shared" si="460"/>
        <v>509</v>
      </c>
      <c r="BF116" s="36">
        <v>35</v>
      </c>
      <c r="BG116" s="43">
        <f>+BG155</f>
        <v>-83</v>
      </c>
      <c r="BH116" s="43">
        <f t="shared" si="461"/>
        <v>-41</v>
      </c>
      <c r="BI116" s="43">
        <f t="shared" si="461"/>
        <v>-43</v>
      </c>
      <c r="BJ116" s="43">
        <f t="shared" si="461"/>
        <v>-36</v>
      </c>
      <c r="BK116" s="36">
        <f>+BG116+BH116+BI116+BJ116</f>
        <v>-203</v>
      </c>
      <c r="BL116" s="43">
        <f>+BL155</f>
        <v>38</v>
      </c>
      <c r="BM116" s="43">
        <f t="shared" si="462"/>
        <v>-105</v>
      </c>
      <c r="BN116" s="43">
        <f t="shared" si="462"/>
        <v>-427</v>
      </c>
      <c r="BO116" s="43">
        <f t="shared" si="462"/>
        <v>-160</v>
      </c>
      <c r="BP116" s="36">
        <f>+BL116+BM116+BN116+BO116</f>
        <v>-654</v>
      </c>
      <c r="BQ116" s="43">
        <f>+BQ155</f>
        <v>-338</v>
      </c>
      <c r="BR116" s="43">
        <f t="shared" si="463"/>
        <v>175</v>
      </c>
      <c r="BS116" s="43">
        <f t="shared" si="463"/>
        <v>-243</v>
      </c>
      <c r="BT116" s="43">
        <f t="shared" si="463"/>
        <v>224</v>
      </c>
      <c r="BU116" s="36">
        <f>+BQ116+BR116+BS116+BT116</f>
        <v>-182</v>
      </c>
      <c r="BV116" s="43">
        <f>+BV155</f>
        <v>-242</v>
      </c>
      <c r="BW116" s="43">
        <f t="shared" si="464"/>
        <v>-202</v>
      </c>
      <c r="BX116" s="43">
        <f t="shared" si="464"/>
        <v>-195</v>
      </c>
      <c r="BY116" s="43">
        <f t="shared" si="464"/>
        <v>-206</v>
      </c>
      <c r="BZ116" s="36">
        <f>+BV116+BW116+BX116+BY116</f>
        <v>-845</v>
      </c>
      <c r="CA116" s="43">
        <f>+CA155</f>
        <v>-121</v>
      </c>
      <c r="CB116" s="369">
        <f t="shared" si="465"/>
        <v>-118</v>
      </c>
      <c r="CC116" s="43">
        <f t="shared" si="465"/>
        <v>-34</v>
      </c>
      <c r="CD116" s="43">
        <f t="shared" si="465"/>
        <v>-371</v>
      </c>
      <c r="CE116" s="36">
        <f>+CA116+CB116+CC116+CD116</f>
        <v>-644</v>
      </c>
      <c r="CF116" s="43">
        <f>+CF155</f>
        <v>-237</v>
      </c>
      <c r="CG116" s="369">
        <f t="shared" si="466"/>
        <v>-157</v>
      </c>
      <c r="CH116" s="43">
        <f t="shared" si="466"/>
        <v>52</v>
      </c>
      <c r="CI116" s="43">
        <f t="shared" si="466"/>
        <v>82</v>
      </c>
      <c r="CJ116" s="36">
        <f>+CF116+CG116+CH116+CI116</f>
        <v>-260</v>
      </c>
      <c r="CK116" s="43">
        <f>+CK155</f>
        <v>-265</v>
      </c>
      <c r="CL116" s="369">
        <f t="shared" si="467"/>
        <v>405</v>
      </c>
      <c r="CM116" s="43">
        <f t="shared" si="467"/>
        <v>-375</v>
      </c>
      <c r="CN116" s="43">
        <f t="shared" si="468"/>
        <v>11</v>
      </c>
      <c r="CO116" s="36">
        <f>+CK116+CL116+CM116+CN116</f>
        <v>-224</v>
      </c>
      <c r="CP116" s="43">
        <f>+CP155</f>
        <v>-165</v>
      </c>
      <c r="CQ116" s="369">
        <f t="shared" si="469"/>
        <v>276</v>
      </c>
      <c r="CR116" s="43">
        <f>+'2. Consolidated'!CQ190-'2. Consolidated'!CR190</f>
        <v>-65</v>
      </c>
      <c r="CS116" s="43">
        <f t="shared" si="470"/>
        <v>259</v>
      </c>
      <c r="CT116" s="36">
        <f>+CP116+CQ116+CR116+CS116</f>
        <v>305</v>
      </c>
      <c r="CU116" s="374">
        <f>+'2. Consolidated'!CT190-'2. Consolidated'!CU190</f>
        <v>-73</v>
      </c>
      <c r="CV116" s="43">
        <f>+'2. Consolidated'!CU190-'2. Consolidated'!CV190</f>
        <v>0</v>
      </c>
      <c r="CW116" s="43">
        <f>+'2. Consolidated'!CV190-'2. Consolidated'!CW190</f>
        <v>0</v>
      </c>
      <c r="CX116" s="43">
        <f>+'2. Consolidated'!CW190-'2. Consolidated'!CX190</f>
        <v>0</v>
      </c>
      <c r="CY116" s="36">
        <f>+CU116+CV116+CW116+CX116</f>
        <v>-73</v>
      </c>
      <c r="CZ116" s="43">
        <f>+'2. Consolidated'!CY190-'2. Consolidated'!CZ190</f>
        <v>0</v>
      </c>
      <c r="DA116" s="43">
        <f>+'2. Consolidated'!CZ190-'2. Consolidated'!DA190</f>
        <v>0</v>
      </c>
      <c r="DB116" s="43">
        <f>+'2. Consolidated'!DA190-'2. Consolidated'!DB190</f>
        <v>0</v>
      </c>
      <c r="DC116" s="43">
        <f>+'2. Consolidated'!DB190-'2. Consolidated'!DC190</f>
        <v>0</v>
      </c>
      <c r="DD116" s="36">
        <f>+CZ116+DA116+DB116+DC116</f>
        <v>0</v>
      </c>
      <c r="DE116" s="43">
        <f>+'2. Consolidated'!DD190-'2. Consolidated'!DE190</f>
        <v>0</v>
      </c>
      <c r="DF116" s="43">
        <f>+'2. Consolidated'!DE190-'2. Consolidated'!DF190</f>
        <v>0</v>
      </c>
      <c r="DG116" s="43">
        <f>+'2. Consolidated'!DF190-'2. Consolidated'!DG190</f>
        <v>0</v>
      </c>
      <c r="DH116" s="43">
        <f>+'2. Consolidated'!DG190-'2. Consolidated'!DH190</f>
        <v>0</v>
      </c>
      <c r="DI116" s="36">
        <f>+DE116+DF116+DG116+DH116</f>
        <v>0</v>
      </c>
    </row>
    <row r="117" spans="1:113" s="7" customFormat="1" ht="12" customHeight="1">
      <c r="A117" s="239"/>
      <c r="B117" s="20" t="s">
        <v>129</v>
      </c>
      <c r="C117" s="43">
        <v>344.2</v>
      </c>
      <c r="D117" s="36">
        <v>365.3</v>
      </c>
      <c r="E117" s="43">
        <v>-70.099999999999994</v>
      </c>
      <c r="F117" s="36">
        <v>-170.4</v>
      </c>
      <c r="G117" s="43">
        <v>157.30000000000001</v>
      </c>
      <c r="H117" s="36">
        <v>-179.4</v>
      </c>
      <c r="I117" s="43">
        <v>175.4</v>
      </c>
      <c r="J117" s="36">
        <v>30.1</v>
      </c>
      <c r="K117" s="39">
        <v>255.6</v>
      </c>
      <c r="L117" s="40">
        <v>112.4</v>
      </c>
      <c r="M117" s="39">
        <v>279.39999999999998</v>
      </c>
      <c r="N117" s="36">
        <v>85.1</v>
      </c>
      <c r="O117" s="36">
        <v>330.9</v>
      </c>
      <c r="P117" s="43">
        <v>-220</v>
      </c>
      <c r="Q117" s="36">
        <v>298</v>
      </c>
      <c r="R117" s="43">
        <f>+R156</f>
        <v>-243</v>
      </c>
      <c r="S117" s="43">
        <f t="shared" si="453"/>
        <v>-70</v>
      </c>
      <c r="T117" s="43">
        <f t="shared" si="453"/>
        <v>37</v>
      </c>
      <c r="U117" s="43">
        <f t="shared" si="453"/>
        <v>427</v>
      </c>
      <c r="V117" s="36">
        <v>151</v>
      </c>
      <c r="W117" s="43">
        <f>+W156</f>
        <v>-100</v>
      </c>
      <c r="X117" s="43">
        <f t="shared" si="454"/>
        <v>26</v>
      </c>
      <c r="Y117" s="43">
        <f t="shared" si="454"/>
        <v>-10</v>
      </c>
      <c r="Z117" s="43">
        <f t="shared" si="454"/>
        <v>554</v>
      </c>
      <c r="AA117" s="36">
        <v>470</v>
      </c>
      <c r="AB117" s="36"/>
      <c r="AC117" s="43">
        <f>+AC156</f>
        <v>14</v>
      </c>
      <c r="AD117" s="43">
        <f t="shared" si="455"/>
        <v>-75</v>
      </c>
      <c r="AE117" s="43">
        <f t="shared" si="455"/>
        <v>-285</v>
      </c>
      <c r="AF117" s="43">
        <f t="shared" si="455"/>
        <v>387</v>
      </c>
      <c r="AG117" s="15">
        <v>41</v>
      </c>
      <c r="AH117" s="43">
        <f>+AH156</f>
        <v>-135</v>
      </c>
      <c r="AI117" s="43">
        <f t="shared" si="456"/>
        <v>-170</v>
      </c>
      <c r="AJ117" s="43">
        <f t="shared" si="456"/>
        <v>256</v>
      </c>
      <c r="AK117" s="43">
        <f t="shared" si="456"/>
        <v>574</v>
      </c>
      <c r="AL117" s="15">
        <v>525</v>
      </c>
      <c r="AM117" s="43">
        <f>+AM156</f>
        <v>0</v>
      </c>
      <c r="AN117" s="43">
        <f t="shared" si="457"/>
        <v>-217</v>
      </c>
      <c r="AO117" s="43">
        <f t="shared" si="457"/>
        <v>722</v>
      </c>
      <c r="AP117" s="43">
        <f t="shared" si="457"/>
        <v>732</v>
      </c>
      <c r="AQ117" s="15">
        <v>1237</v>
      </c>
      <c r="AR117" s="43">
        <f>+AR156</f>
        <v>-787</v>
      </c>
      <c r="AS117" s="43">
        <f t="shared" si="458"/>
        <v>-7</v>
      </c>
      <c r="AT117" s="43">
        <f t="shared" si="458"/>
        <v>-437</v>
      </c>
      <c r="AU117" s="43">
        <f t="shared" si="458"/>
        <v>342</v>
      </c>
      <c r="AV117" s="36">
        <v>-889</v>
      </c>
      <c r="AW117" s="43">
        <f>+AW156</f>
        <v>-245</v>
      </c>
      <c r="AX117" s="43">
        <f t="shared" si="459"/>
        <v>176</v>
      </c>
      <c r="AY117" s="43">
        <f t="shared" si="459"/>
        <v>42</v>
      </c>
      <c r="AZ117" s="43">
        <f t="shared" si="459"/>
        <v>-337</v>
      </c>
      <c r="BA117" s="36">
        <v>-364</v>
      </c>
      <c r="BB117" s="43">
        <f>+BB156</f>
        <v>208</v>
      </c>
      <c r="BC117" s="43">
        <f t="shared" si="460"/>
        <v>-48</v>
      </c>
      <c r="BD117" s="43">
        <f t="shared" si="460"/>
        <v>1279</v>
      </c>
      <c r="BE117" s="43">
        <f t="shared" si="460"/>
        <v>76</v>
      </c>
      <c r="BF117" s="36">
        <v>1515</v>
      </c>
      <c r="BG117" s="43">
        <f>+BG156</f>
        <v>205</v>
      </c>
      <c r="BH117" s="43">
        <f t="shared" si="461"/>
        <v>679</v>
      </c>
      <c r="BI117" s="43">
        <f t="shared" si="461"/>
        <v>-225</v>
      </c>
      <c r="BJ117" s="43">
        <f t="shared" si="461"/>
        <v>866</v>
      </c>
      <c r="BK117" s="36">
        <f>+BG117+BH117+BI117+BJ117</f>
        <v>1525</v>
      </c>
      <c r="BL117" s="43">
        <f>+BL156</f>
        <v>-547</v>
      </c>
      <c r="BM117" s="43">
        <f t="shared" si="462"/>
        <v>190</v>
      </c>
      <c r="BN117" s="43">
        <f t="shared" si="462"/>
        <v>160</v>
      </c>
      <c r="BO117" s="43">
        <f t="shared" si="462"/>
        <v>221</v>
      </c>
      <c r="BP117" s="36">
        <f>+BL117+BM117+BN117+BO117</f>
        <v>24</v>
      </c>
      <c r="BQ117" s="43">
        <f>+BQ156</f>
        <v>-85</v>
      </c>
      <c r="BR117" s="43">
        <f t="shared" si="463"/>
        <v>-80</v>
      </c>
      <c r="BS117" s="43">
        <f t="shared" si="463"/>
        <v>539</v>
      </c>
      <c r="BT117" s="43">
        <f t="shared" si="463"/>
        <v>952</v>
      </c>
      <c r="BU117" s="36">
        <f>+BQ117+BR117+BS117+BT117</f>
        <v>1326</v>
      </c>
      <c r="BV117" s="43">
        <f>+BV156</f>
        <v>-860</v>
      </c>
      <c r="BW117" s="43">
        <f t="shared" si="464"/>
        <v>657</v>
      </c>
      <c r="BX117" s="43">
        <f t="shared" si="464"/>
        <v>-102</v>
      </c>
      <c r="BY117" s="43">
        <f t="shared" si="464"/>
        <v>1670</v>
      </c>
      <c r="BZ117" s="36">
        <f>+BV117+BW117+BX117+BY117</f>
        <v>1365</v>
      </c>
      <c r="CA117" s="43">
        <f>+CA156</f>
        <v>492</v>
      </c>
      <c r="CB117" s="369">
        <f t="shared" si="465"/>
        <v>-436</v>
      </c>
      <c r="CC117" s="43">
        <f t="shared" si="465"/>
        <v>-582</v>
      </c>
      <c r="CD117" s="43">
        <f t="shared" si="465"/>
        <v>301</v>
      </c>
      <c r="CE117" s="36">
        <f>+CA117+CB117+CC117+CD117</f>
        <v>-225</v>
      </c>
      <c r="CF117" s="43">
        <f>+CF156</f>
        <v>-714</v>
      </c>
      <c r="CG117" s="369">
        <f t="shared" si="466"/>
        <v>402</v>
      </c>
      <c r="CH117" s="43">
        <f t="shared" si="466"/>
        <v>99</v>
      </c>
      <c r="CI117" s="43">
        <f t="shared" si="466"/>
        <v>610</v>
      </c>
      <c r="CJ117" s="36">
        <f>+CF117+CG117+CH117+CI117</f>
        <v>397</v>
      </c>
      <c r="CK117" s="43">
        <f>+CK156</f>
        <v>292</v>
      </c>
      <c r="CL117" s="369">
        <f t="shared" si="467"/>
        <v>-323</v>
      </c>
      <c r="CM117" s="43">
        <f t="shared" si="467"/>
        <v>-119</v>
      </c>
      <c r="CN117" s="43">
        <f t="shared" si="468"/>
        <v>-276</v>
      </c>
      <c r="CO117" s="36">
        <f>+CK117+CL117+CM117+CN117</f>
        <v>-426</v>
      </c>
      <c r="CP117" s="43">
        <f>+CP156</f>
        <v>93</v>
      </c>
      <c r="CQ117" s="369">
        <f t="shared" si="469"/>
        <v>-369</v>
      </c>
      <c r="CR117" s="43">
        <f>+'2. Consolidated'!CR205-'2. Consolidated'!CQ205+'2. Consolidated'!CR206-'2. Consolidated'!CQ206+'2. Consolidated'!CR208-'2. Consolidated'!CQ208</f>
        <v>-782</v>
      </c>
      <c r="CS117" s="43">
        <f t="shared" si="470"/>
        <v>528</v>
      </c>
      <c r="CT117" s="36">
        <f>+CP117+CQ117+CR117+CS117</f>
        <v>-530</v>
      </c>
      <c r="CU117" s="374">
        <f>+'2. Consolidated'!CU205-'2. Consolidated'!CT205+'2. Consolidated'!CU206-'2. Consolidated'!CT206+'2. Consolidated'!CU208-'2. Consolidated'!CT208</f>
        <v>-1133</v>
      </c>
      <c r="CV117" s="43">
        <f>+'2. Consolidated'!CV205-'2. Consolidated'!CU205+'2. Consolidated'!CV206-'2. Consolidated'!CU206+'2. Consolidated'!CV208-'2. Consolidated'!CU208</f>
        <v>-0.62201181364252989</v>
      </c>
      <c r="CW117" s="43">
        <f>+'2. Consolidated'!CW205-'2. Consolidated'!CV205+'2. Consolidated'!CW206-'2. Consolidated'!CV206+'2. Consolidated'!CW208-'2. Consolidated'!CV208</f>
        <v>-833.23596408042522</v>
      </c>
      <c r="CX117" s="43">
        <f>+'2. Consolidated'!CX205-'2. Consolidated'!CW205+'2. Consolidated'!CX206-'2. Consolidated'!CW206+'2. Consolidated'!CX208-'2. Consolidated'!CW208</f>
        <v>810.75164000860968</v>
      </c>
      <c r="CY117" s="36">
        <f>+CU117+CV117+CW117+CX117</f>
        <v>-1156.1063358854581</v>
      </c>
      <c r="CZ117" s="43">
        <f>+'2. Consolidated'!CZ205-'2. Consolidated'!CY205+'2. Consolidated'!CZ206-'2. Consolidated'!CY206+'2. Consolidated'!CZ208-'2. Consolidated'!CY208</f>
        <v>-184.63230306746937</v>
      </c>
      <c r="DA117" s="43">
        <f>+'2. Consolidated'!DA205-'2. Consolidated'!CZ205+'2. Consolidated'!DA206-'2. Consolidated'!CZ206+'2. Consolidated'!DA208-'2. Consolidated'!CZ208</f>
        <v>80.655690035548105</v>
      </c>
      <c r="DB117" s="43">
        <f>+'2. Consolidated'!DB205-'2. Consolidated'!DA205+'2. Consolidated'!DB206-'2. Consolidated'!DA206+'2. Consolidated'!DB208-'2. Consolidated'!DA208</f>
        <v>-766.55903514954753</v>
      </c>
      <c r="DC117" s="43">
        <f>+'2. Consolidated'!DC205-'2. Consolidated'!DB205+'2. Consolidated'!DC206-'2. Consolidated'!DB206+'2. Consolidated'!DC208-'2. Consolidated'!DB208</f>
        <v>726.94736487082628</v>
      </c>
      <c r="DD117" s="36">
        <f>+CZ117+DA117+DB117+DC117</f>
        <v>-143.58828331064251</v>
      </c>
      <c r="DE117" s="43">
        <f>+'2. Consolidated'!DE205-'2. Consolidated'!DD205+'2. Consolidated'!DE206-'2. Consolidated'!DD206+'2. Consolidated'!DE208-'2. Consolidated'!DD208</f>
        <v>-124.13500636101799</v>
      </c>
      <c r="DF117" s="43">
        <f>+'2. Consolidated'!DF205-'2. Consolidated'!DE205+'2. Consolidated'!DF206-'2. Consolidated'!DE206+'2. Consolidated'!DF208-'2. Consolidated'!DE208</f>
        <v>112.39948852199086</v>
      </c>
      <c r="DG117" s="43">
        <f>+'2. Consolidated'!DG205-'2. Consolidated'!DF205+'2. Consolidated'!DG206-'2. Consolidated'!DF206+'2. Consolidated'!DG208-'2. Consolidated'!DF208</f>
        <v>-736.47855844246533</v>
      </c>
      <c r="DH117" s="43">
        <f>+'2. Consolidated'!DH205-'2. Consolidated'!DG205+'2. Consolidated'!DH206-'2. Consolidated'!DG206+'2. Consolidated'!DH208-'2. Consolidated'!DG208</f>
        <v>742.25281508598346</v>
      </c>
      <c r="DI117" s="36">
        <f>+DE117+DF117+DG117+DH117</f>
        <v>-5.961261195508996</v>
      </c>
    </row>
    <row r="118" spans="1:113" s="7" customFormat="1" ht="12" customHeight="1">
      <c r="A118" s="239"/>
      <c r="B118" s="20"/>
      <c r="C118" s="39"/>
      <c r="D118" s="40"/>
      <c r="E118" s="39"/>
      <c r="F118" s="40"/>
      <c r="G118" s="39"/>
      <c r="H118" s="40"/>
      <c r="I118" s="39"/>
      <c r="J118" s="40"/>
      <c r="K118" s="39"/>
      <c r="L118" s="40"/>
      <c r="M118" s="39"/>
      <c r="N118" s="40"/>
      <c r="O118" s="40"/>
      <c r="P118" s="39"/>
      <c r="Q118" s="40"/>
      <c r="R118" s="43"/>
      <c r="S118" s="39"/>
      <c r="T118" s="39"/>
      <c r="U118" s="39"/>
      <c r="V118" s="40"/>
      <c r="W118" s="43"/>
      <c r="X118" s="39"/>
      <c r="Y118" s="39"/>
      <c r="Z118" s="39"/>
      <c r="AA118" s="40"/>
      <c r="AB118" s="40"/>
      <c r="AC118" s="43"/>
      <c r="AD118" s="39"/>
      <c r="AE118" s="39"/>
      <c r="AF118" s="39"/>
      <c r="AG118" s="40"/>
      <c r="AH118" s="43"/>
      <c r="AI118" s="39"/>
      <c r="AJ118" s="39"/>
      <c r="AK118" s="39"/>
      <c r="AL118" s="267"/>
      <c r="AM118" s="43"/>
      <c r="AN118" s="39"/>
      <c r="AO118" s="39"/>
      <c r="AP118" s="39"/>
      <c r="AQ118" s="267"/>
      <c r="AR118" s="43"/>
      <c r="AS118" s="39"/>
      <c r="AT118" s="39"/>
      <c r="AU118" s="39"/>
      <c r="AV118" s="40"/>
      <c r="AW118" s="43"/>
      <c r="AX118" s="39"/>
      <c r="AY118" s="39"/>
      <c r="AZ118" s="39"/>
      <c r="BA118" s="40"/>
      <c r="BB118" s="43"/>
      <c r="BC118" s="39"/>
      <c r="BD118" s="39"/>
      <c r="BE118" s="39"/>
      <c r="BF118" s="40"/>
      <c r="BG118" s="43"/>
      <c r="BH118" s="39"/>
      <c r="BI118" s="39"/>
      <c r="BJ118" s="39"/>
      <c r="BK118" s="40"/>
      <c r="BL118" s="43"/>
      <c r="BM118" s="39"/>
      <c r="BN118" s="39"/>
      <c r="BO118" s="39"/>
      <c r="BP118" s="40"/>
      <c r="BQ118" s="43"/>
      <c r="BR118" s="39"/>
      <c r="BS118" s="39"/>
      <c r="BT118" s="39"/>
      <c r="BU118" s="40"/>
      <c r="BV118" s="43"/>
      <c r="BW118" s="39"/>
      <c r="BX118" s="39"/>
      <c r="BY118" s="39"/>
      <c r="BZ118" s="40"/>
      <c r="CA118" s="43"/>
      <c r="CB118" s="443"/>
      <c r="CC118" s="39"/>
      <c r="CD118" s="39"/>
      <c r="CE118" s="40"/>
      <c r="CF118" s="43"/>
      <c r="CG118" s="443"/>
      <c r="CH118" s="39"/>
      <c r="CI118" s="39"/>
      <c r="CJ118" s="40"/>
      <c r="CK118" s="43"/>
      <c r="CL118" s="443"/>
      <c r="CM118" s="39"/>
      <c r="CN118" s="39"/>
      <c r="CO118" s="40"/>
      <c r="CP118" s="43"/>
      <c r="CQ118" s="443"/>
      <c r="CR118" s="39"/>
      <c r="CS118" s="39"/>
      <c r="CT118" s="40"/>
      <c r="CU118" s="43"/>
      <c r="CV118" s="39"/>
      <c r="CW118" s="39"/>
      <c r="CX118" s="39"/>
      <c r="CY118" s="40"/>
      <c r="CZ118" s="39"/>
      <c r="DA118" s="39"/>
      <c r="DB118" s="39"/>
      <c r="DC118" s="39"/>
      <c r="DD118" s="40"/>
      <c r="DE118" s="39"/>
      <c r="DF118" s="39"/>
      <c r="DG118" s="39"/>
      <c r="DH118" s="39"/>
      <c r="DI118" s="40"/>
    </row>
    <row r="119" spans="1:113" s="7" customFormat="1" ht="12" customHeight="1">
      <c r="A119" s="239"/>
      <c r="B119" s="20" t="s">
        <v>133</v>
      </c>
      <c r="C119" s="43">
        <f t="shared" ref="C119:AA119" si="471">SUM(C114:C117)</f>
        <v>-270.09999999999997</v>
      </c>
      <c r="D119" s="36">
        <f t="shared" si="471"/>
        <v>-593.89999999999986</v>
      </c>
      <c r="E119" s="43">
        <f t="shared" si="471"/>
        <v>-60.999999999999993</v>
      </c>
      <c r="F119" s="36">
        <f t="shared" si="471"/>
        <v>214.9</v>
      </c>
      <c r="G119" s="43">
        <f t="shared" si="471"/>
        <v>-79.599999999999994</v>
      </c>
      <c r="H119" s="36">
        <f t="shared" si="471"/>
        <v>-259.5</v>
      </c>
      <c r="I119" s="43">
        <f t="shared" si="471"/>
        <v>112.50000000000003</v>
      </c>
      <c r="J119" s="36">
        <f t="shared" si="471"/>
        <v>-148.10000000000002</v>
      </c>
      <c r="K119" s="43">
        <f t="shared" si="471"/>
        <v>193.2</v>
      </c>
      <c r="L119" s="36">
        <f t="shared" si="471"/>
        <v>-13</v>
      </c>
      <c r="M119" s="43">
        <f t="shared" si="471"/>
        <v>-43.199999999999989</v>
      </c>
      <c r="N119" s="36">
        <f t="shared" si="471"/>
        <v>-64.799999999999983</v>
      </c>
      <c r="O119" s="36">
        <f t="shared" si="471"/>
        <v>-48.400000000000034</v>
      </c>
      <c r="P119" s="43">
        <f t="shared" si="471"/>
        <v>-411.70000000000005</v>
      </c>
      <c r="Q119" s="36">
        <f t="shared" si="471"/>
        <v>694.7</v>
      </c>
      <c r="R119" s="43">
        <f t="shared" si="471"/>
        <v>-430</v>
      </c>
      <c r="S119" s="43">
        <f t="shared" si="471"/>
        <v>-161</v>
      </c>
      <c r="T119" s="43">
        <f t="shared" si="471"/>
        <v>-246</v>
      </c>
      <c r="U119" s="43">
        <f t="shared" si="471"/>
        <v>129</v>
      </c>
      <c r="V119" s="36">
        <f t="shared" si="471"/>
        <v>-708</v>
      </c>
      <c r="W119" s="43">
        <f t="shared" si="471"/>
        <v>-698</v>
      </c>
      <c r="X119" s="43">
        <f t="shared" si="471"/>
        <v>-77</v>
      </c>
      <c r="Y119" s="43">
        <f t="shared" si="471"/>
        <v>-382</v>
      </c>
      <c r="Z119" s="43">
        <f t="shared" si="471"/>
        <v>358</v>
      </c>
      <c r="AA119" s="36">
        <f t="shared" si="471"/>
        <v>-799</v>
      </c>
      <c r="AB119" s="36"/>
      <c r="AC119" s="43">
        <f t="shared" ref="AC119:BH119" si="472">SUM(AC114:AC117)</f>
        <v>-189</v>
      </c>
      <c r="AD119" s="43">
        <f t="shared" si="472"/>
        <v>76</v>
      </c>
      <c r="AE119" s="43">
        <f t="shared" si="472"/>
        <v>-343</v>
      </c>
      <c r="AF119" s="43">
        <f t="shared" si="472"/>
        <v>414</v>
      </c>
      <c r="AG119" s="36">
        <f t="shared" si="472"/>
        <v>-42</v>
      </c>
      <c r="AH119" s="43">
        <f t="shared" si="472"/>
        <v>-402</v>
      </c>
      <c r="AI119" s="43">
        <f t="shared" si="472"/>
        <v>-397</v>
      </c>
      <c r="AJ119" s="43">
        <f t="shared" si="472"/>
        <v>-76</v>
      </c>
      <c r="AK119" s="43">
        <f t="shared" si="472"/>
        <v>387</v>
      </c>
      <c r="AL119" s="15">
        <f t="shared" si="472"/>
        <v>-488</v>
      </c>
      <c r="AM119" s="43">
        <f t="shared" si="472"/>
        <v>-565</v>
      </c>
      <c r="AN119" s="43">
        <f t="shared" si="472"/>
        <v>-205</v>
      </c>
      <c r="AO119" s="43">
        <f t="shared" si="472"/>
        <v>625</v>
      </c>
      <c r="AP119" s="43">
        <f t="shared" si="472"/>
        <v>401</v>
      </c>
      <c r="AQ119" s="15">
        <f t="shared" si="472"/>
        <v>256</v>
      </c>
      <c r="AR119" s="43">
        <f t="shared" si="472"/>
        <v>-908</v>
      </c>
      <c r="AS119" s="43">
        <f t="shared" si="472"/>
        <v>-493</v>
      </c>
      <c r="AT119" s="43">
        <f t="shared" si="472"/>
        <v>-462</v>
      </c>
      <c r="AU119" s="43">
        <f t="shared" si="472"/>
        <v>283</v>
      </c>
      <c r="AV119" s="36">
        <f t="shared" si="472"/>
        <v>-1580</v>
      </c>
      <c r="AW119" s="43">
        <f t="shared" si="472"/>
        <v>-654</v>
      </c>
      <c r="AX119" s="43">
        <f t="shared" si="472"/>
        <v>-118</v>
      </c>
      <c r="AY119" s="43">
        <f t="shared" si="472"/>
        <v>-110</v>
      </c>
      <c r="AZ119" s="43">
        <f t="shared" si="472"/>
        <v>-259</v>
      </c>
      <c r="BA119" s="36">
        <f t="shared" si="472"/>
        <v>-1141</v>
      </c>
      <c r="BB119" s="43">
        <f t="shared" si="472"/>
        <v>-532</v>
      </c>
      <c r="BC119" s="43">
        <f t="shared" si="472"/>
        <v>384</v>
      </c>
      <c r="BD119" s="43">
        <f t="shared" si="472"/>
        <v>871</v>
      </c>
      <c r="BE119" s="43">
        <f t="shared" si="472"/>
        <v>759</v>
      </c>
      <c r="BF119" s="36">
        <f t="shared" si="472"/>
        <v>1482</v>
      </c>
      <c r="BG119" s="43">
        <f t="shared" si="472"/>
        <v>-197</v>
      </c>
      <c r="BH119" s="43">
        <f t="shared" si="472"/>
        <v>370</v>
      </c>
      <c r="BI119" s="43">
        <f t="shared" ref="BI119:CN119" si="473">SUM(BI114:BI117)</f>
        <v>-367</v>
      </c>
      <c r="BJ119" s="43">
        <f t="shared" si="473"/>
        <v>756</v>
      </c>
      <c r="BK119" s="36">
        <f t="shared" si="473"/>
        <v>562</v>
      </c>
      <c r="BL119" s="43">
        <f t="shared" si="473"/>
        <v>-1235</v>
      </c>
      <c r="BM119" s="43">
        <f t="shared" si="473"/>
        <v>-365</v>
      </c>
      <c r="BN119" s="43">
        <f t="shared" si="473"/>
        <v>-21</v>
      </c>
      <c r="BO119" s="43">
        <f t="shared" si="473"/>
        <v>376</v>
      </c>
      <c r="BP119" s="36">
        <f t="shared" si="473"/>
        <v>-1245</v>
      </c>
      <c r="BQ119" s="43">
        <f t="shared" si="473"/>
        <v>-724</v>
      </c>
      <c r="BR119" s="43">
        <f t="shared" si="473"/>
        <v>796</v>
      </c>
      <c r="BS119" s="43">
        <f t="shared" si="473"/>
        <v>-267</v>
      </c>
      <c r="BT119" s="43">
        <f t="shared" si="473"/>
        <v>240</v>
      </c>
      <c r="BU119" s="36">
        <f t="shared" si="473"/>
        <v>45</v>
      </c>
      <c r="BV119" s="43">
        <f t="shared" si="473"/>
        <v>-965</v>
      </c>
      <c r="BW119" s="43">
        <f t="shared" si="473"/>
        <v>1129</v>
      </c>
      <c r="BX119" s="43">
        <f t="shared" si="473"/>
        <v>-1514</v>
      </c>
      <c r="BY119" s="43">
        <f t="shared" si="473"/>
        <v>-310</v>
      </c>
      <c r="BZ119" s="36">
        <f t="shared" si="473"/>
        <v>-1660</v>
      </c>
      <c r="CA119" s="43">
        <f t="shared" si="473"/>
        <v>-1407</v>
      </c>
      <c r="CB119" s="369">
        <f t="shared" si="473"/>
        <v>-602</v>
      </c>
      <c r="CC119" s="43">
        <f t="shared" si="473"/>
        <v>792</v>
      </c>
      <c r="CD119" s="43">
        <f t="shared" si="473"/>
        <v>704</v>
      </c>
      <c r="CE119" s="36">
        <f t="shared" si="473"/>
        <v>-513</v>
      </c>
      <c r="CF119" s="43">
        <f t="shared" si="473"/>
        <v>-1835</v>
      </c>
      <c r="CG119" s="369">
        <f t="shared" si="473"/>
        <v>973</v>
      </c>
      <c r="CH119" s="43">
        <f t="shared" si="473"/>
        <v>576</v>
      </c>
      <c r="CI119" s="43">
        <f t="shared" si="473"/>
        <v>1002</v>
      </c>
      <c r="CJ119" s="36">
        <f t="shared" si="473"/>
        <v>716</v>
      </c>
      <c r="CK119" s="43">
        <f t="shared" si="473"/>
        <v>-964</v>
      </c>
      <c r="CL119" s="369">
        <f t="shared" si="473"/>
        <v>-417</v>
      </c>
      <c r="CM119" s="43">
        <f t="shared" si="473"/>
        <v>733</v>
      </c>
      <c r="CN119" s="43">
        <f t="shared" si="473"/>
        <v>-139</v>
      </c>
      <c r="CO119" s="36">
        <f t="shared" ref="CO119:DD119" si="474">SUM(CO114:CO117)</f>
        <v>-787</v>
      </c>
      <c r="CP119" s="43">
        <f t="shared" si="474"/>
        <v>-897</v>
      </c>
      <c r="CQ119" s="369">
        <f t="shared" si="474"/>
        <v>-546</v>
      </c>
      <c r="CR119" s="43">
        <f t="shared" si="474"/>
        <v>-239</v>
      </c>
      <c r="CS119" s="43">
        <f t="shared" si="474"/>
        <v>148</v>
      </c>
      <c r="CT119" s="36">
        <f t="shared" si="474"/>
        <v>-1534</v>
      </c>
      <c r="CU119" s="374">
        <f t="shared" si="474"/>
        <v>-862</v>
      </c>
      <c r="CV119" s="43">
        <f t="shared" si="474"/>
        <v>383.86941943058628</v>
      </c>
      <c r="CW119" s="43">
        <f t="shared" si="474"/>
        <v>37.514187491949087</v>
      </c>
      <c r="CX119" s="43">
        <f t="shared" si="474"/>
        <v>36.341781016196364</v>
      </c>
      <c r="CY119" s="36">
        <f t="shared" si="474"/>
        <v>-404.27461206126827</v>
      </c>
      <c r="CZ119" s="43">
        <f t="shared" si="474"/>
        <v>202.14827674748631</v>
      </c>
      <c r="DA119" s="43">
        <f t="shared" si="474"/>
        <v>171.40662048601371</v>
      </c>
      <c r="DB119" s="43">
        <f t="shared" si="474"/>
        <v>-112.16604958524931</v>
      </c>
      <c r="DC119" s="43">
        <f t="shared" si="474"/>
        <v>27.365073469912204</v>
      </c>
      <c r="DD119" s="36">
        <f t="shared" si="474"/>
        <v>288.75392111816291</v>
      </c>
      <c r="DE119" s="43">
        <f t="shared" ref="DE119:DI119" si="475">SUM(DE114:DE117)</f>
        <v>24.071302438155726</v>
      </c>
      <c r="DF119" s="43">
        <f t="shared" si="475"/>
        <v>63.200145736259401</v>
      </c>
      <c r="DG119" s="43">
        <f t="shared" si="475"/>
        <v>-179.83254303189551</v>
      </c>
      <c r="DH119" s="43">
        <f t="shared" si="475"/>
        <v>-40.883427861062955</v>
      </c>
      <c r="DI119" s="36">
        <f t="shared" si="475"/>
        <v>-133.44452271854334</v>
      </c>
    </row>
    <row r="120" spans="1:113" s="7" customFormat="1" ht="12" customHeight="1">
      <c r="A120" s="239"/>
      <c r="B120" s="20" t="s">
        <v>22</v>
      </c>
      <c r="C120" s="43">
        <f>-73.3+32.7</f>
        <v>-40.599999999999994</v>
      </c>
      <c r="D120" s="36">
        <f>-47.1+30.3</f>
        <v>-16.8</v>
      </c>
      <c r="E120" s="43">
        <f>59.3-113.9+49</f>
        <v>-5.6000000000000085</v>
      </c>
      <c r="F120" s="36">
        <f>28+37.9+30.6</f>
        <v>96.5</v>
      </c>
      <c r="G120" s="43">
        <f>36.8+35.6</f>
        <v>72.400000000000006</v>
      </c>
      <c r="H120" s="36">
        <f>79.8+16.7</f>
        <v>96.5</v>
      </c>
      <c r="I120" s="43">
        <f>5+15.2+48.1</f>
        <v>68.3</v>
      </c>
      <c r="J120" s="36">
        <f>50.4+23.2+266.1</f>
        <v>339.70000000000005</v>
      </c>
      <c r="K120" s="39">
        <f>19+58.3</f>
        <v>77.3</v>
      </c>
      <c r="L120" s="40">
        <f>21.3+30.5</f>
        <v>51.8</v>
      </c>
      <c r="M120" s="43">
        <f>-26+8.9</f>
        <v>-17.100000000000001</v>
      </c>
      <c r="N120" s="36">
        <f>0.5+34.1</f>
        <v>34.6</v>
      </c>
      <c r="O120" s="36">
        <f>17.9-300.6-60.6</f>
        <v>-343.30000000000007</v>
      </c>
      <c r="P120" s="43">
        <f>-294.1+48.3+401.3</f>
        <v>155.5</v>
      </c>
      <c r="Q120" s="36">
        <f>8.3+71.8</f>
        <v>80.099999999999994</v>
      </c>
      <c r="R120" s="43">
        <f>+R159</f>
        <v>-16</v>
      </c>
      <c r="S120" s="43">
        <f>+S159-R159</f>
        <v>27</v>
      </c>
      <c r="T120" s="43">
        <f>+T159-S159</f>
        <v>-70</v>
      </c>
      <c r="U120" s="43">
        <f>+U159-T159</f>
        <v>6</v>
      </c>
      <c r="V120" s="36">
        <f>-76+23</f>
        <v>-53</v>
      </c>
      <c r="W120" s="43">
        <f>+W159</f>
        <v>29</v>
      </c>
      <c r="X120" s="43">
        <f>+X159-W159</f>
        <v>-10</v>
      </c>
      <c r="Y120" s="43">
        <f>+Y159-X159</f>
        <v>22</v>
      </c>
      <c r="Z120" s="43">
        <f>+Z159-Y159</f>
        <v>-69</v>
      </c>
      <c r="AA120" s="36">
        <f>-60+32</f>
        <v>-28</v>
      </c>
      <c r="AB120" s="36"/>
      <c r="AC120" s="43">
        <f>+AC159</f>
        <v>19</v>
      </c>
      <c r="AD120" s="43">
        <f>+AD159-AC159</f>
        <v>99</v>
      </c>
      <c r="AE120" s="43">
        <f>+AE159-AD159</f>
        <v>-198</v>
      </c>
      <c r="AF120" s="43">
        <f>+AF159-AE159</f>
        <v>44</v>
      </c>
      <c r="AG120" s="36">
        <f>75-124+3+2+2+6</f>
        <v>-36</v>
      </c>
      <c r="AH120" s="43">
        <f>+AH159</f>
        <v>31</v>
      </c>
      <c r="AI120" s="43">
        <f>+AI159-AH159</f>
        <v>23</v>
      </c>
      <c r="AJ120" s="43">
        <f>+AJ159-AI159</f>
        <v>58</v>
      </c>
      <c r="AK120" s="43">
        <f>+AK159-AJ159</f>
        <v>2</v>
      </c>
      <c r="AL120" s="15">
        <v>114</v>
      </c>
      <c r="AM120" s="43">
        <f>+AM159</f>
        <v>-34</v>
      </c>
      <c r="AN120" s="43">
        <f>+AN159-AM159</f>
        <v>34</v>
      </c>
      <c r="AO120" s="43">
        <f>+AO159-AN159</f>
        <v>411</v>
      </c>
      <c r="AP120" s="43">
        <f>+AP159-AO159</f>
        <v>13</v>
      </c>
      <c r="AQ120" s="15">
        <f>424</f>
        <v>424</v>
      </c>
      <c r="AR120" s="43">
        <f>+AR159</f>
        <v>32</v>
      </c>
      <c r="AS120" s="43">
        <f>+AS159-AR159</f>
        <v>42</v>
      </c>
      <c r="AT120" s="43">
        <f>+AT159-AS159</f>
        <v>136</v>
      </c>
      <c r="AU120" s="43">
        <f>+AU159-AT159</f>
        <v>-112</v>
      </c>
      <c r="AV120" s="36">
        <f>98</f>
        <v>98</v>
      </c>
      <c r="AW120" s="43">
        <f>+AW159</f>
        <v>-54</v>
      </c>
      <c r="AX120" s="43">
        <f>+AX159-AW159</f>
        <v>32</v>
      </c>
      <c r="AY120" s="43">
        <f>+AY159-AX159</f>
        <v>-61</v>
      </c>
      <c r="AZ120" s="43">
        <f>+AZ159-AY159</f>
        <v>-24</v>
      </c>
      <c r="BA120" s="36">
        <f>10-117</f>
        <v>-107</v>
      </c>
      <c r="BB120" s="43">
        <f>+BB159</f>
        <v>-13</v>
      </c>
      <c r="BC120" s="43">
        <f>+BC159-BB159</f>
        <v>-44</v>
      </c>
      <c r="BD120" s="43">
        <f>+BD159-BC159</f>
        <v>-50</v>
      </c>
      <c r="BE120" s="43">
        <f>+BE159-BD159</f>
        <v>35</v>
      </c>
      <c r="BF120" s="36">
        <f>27-99</f>
        <v>-72</v>
      </c>
      <c r="BG120" s="43">
        <f>+BG159</f>
        <v>169</v>
      </c>
      <c r="BH120" s="43">
        <f>+BH159-BG159</f>
        <v>51</v>
      </c>
      <c r="BI120" s="43">
        <f>+BI159-BH159</f>
        <v>7</v>
      </c>
      <c r="BJ120" s="43">
        <f>+BJ159-BI159</f>
        <v>21</v>
      </c>
      <c r="BK120" s="36">
        <f>+BG120+BH120+BI120+BJ120</f>
        <v>248</v>
      </c>
      <c r="BL120" s="43">
        <f>+BL159</f>
        <v>55</v>
      </c>
      <c r="BM120" s="43">
        <f>+BM159-BL159</f>
        <v>-30</v>
      </c>
      <c r="BN120" s="43">
        <f>+BN159-BM159</f>
        <v>309</v>
      </c>
      <c r="BO120" s="43">
        <f>+BO159-BN159</f>
        <v>87</v>
      </c>
      <c r="BP120" s="36">
        <f>+BL120+BM120+BN120+BO120</f>
        <v>421</v>
      </c>
      <c r="BQ120" s="43">
        <f>+BQ159</f>
        <v>-4</v>
      </c>
      <c r="BR120" s="43">
        <f>+BR159-BQ159</f>
        <v>9</v>
      </c>
      <c r="BS120" s="43">
        <f>+BS159-BR159</f>
        <v>-102</v>
      </c>
      <c r="BT120" s="43">
        <f>+BT159-BS159</f>
        <v>12</v>
      </c>
      <c r="BU120" s="36">
        <f>+BQ120+BR120+BS120+BT120</f>
        <v>-85</v>
      </c>
      <c r="BV120" s="43">
        <f>+BV159</f>
        <v>34</v>
      </c>
      <c r="BW120" s="43">
        <f>+BW159-BV159</f>
        <v>17</v>
      </c>
      <c r="BX120" s="43">
        <f>+BX159-BW159</f>
        <v>-42</v>
      </c>
      <c r="BY120" s="43">
        <f>+BY159-BX159</f>
        <v>88</v>
      </c>
      <c r="BZ120" s="36">
        <f>+BV120+BW120+BX120+BY120</f>
        <v>97</v>
      </c>
      <c r="CA120" s="43">
        <f>+CA159</f>
        <v>0</v>
      </c>
      <c r="CB120" s="369">
        <f>+CB159-CA159</f>
        <v>12</v>
      </c>
      <c r="CC120" s="43">
        <f>+CC159-CB159</f>
        <v>-102</v>
      </c>
      <c r="CD120" s="43">
        <f>+CD159-CC159</f>
        <v>33</v>
      </c>
      <c r="CE120" s="36">
        <f>+CA120+CB120+CC120+CD120</f>
        <v>-57</v>
      </c>
      <c r="CF120" s="43">
        <f>+CF159</f>
        <v>0</v>
      </c>
      <c r="CG120" s="369">
        <f>+CG159-CF159</f>
        <v>-55</v>
      </c>
      <c r="CH120" s="43">
        <f>+CH159-CG159</f>
        <v>25</v>
      </c>
      <c r="CI120" s="43">
        <f>+CI159-CH159</f>
        <v>-60</v>
      </c>
      <c r="CJ120" s="36">
        <f>+CF120+CG120+CH120+CI120</f>
        <v>-90</v>
      </c>
      <c r="CK120" s="43">
        <f>+CK159</f>
        <v>-11</v>
      </c>
      <c r="CL120" s="369">
        <f>+CL159-CK159</f>
        <v>56</v>
      </c>
      <c r="CM120" s="43">
        <f>+CM159-CL159</f>
        <v>14</v>
      </c>
      <c r="CN120" s="43">
        <f>+CN159-CM159</f>
        <v>11</v>
      </c>
      <c r="CO120" s="36">
        <f>+CK120+CL120+CM120+CN120</f>
        <v>70</v>
      </c>
      <c r="CP120" s="43">
        <f>+CP159</f>
        <v>42</v>
      </c>
      <c r="CQ120" s="369">
        <f>+CQ159-CP159</f>
        <v>21</v>
      </c>
      <c r="CR120" s="43">
        <f>(CR185-CQ185)-CR137-CR136-CR128-CR119-CR112-CR111-CR110-CR109</f>
        <v>-352.0849689413435</v>
      </c>
      <c r="CS120" s="43">
        <f>+CS159-CR159</f>
        <v>31</v>
      </c>
      <c r="CT120" s="36">
        <f>+CP120+CQ120+CR120+CS120</f>
        <v>-258.0849689413435</v>
      </c>
      <c r="CU120" s="374">
        <f>(CU185-CT185)-CU137-CU136-CU128-CU119-CU112-CU111-CU110-CU109</f>
        <v>-138.47101365187723</v>
      </c>
      <c r="CV120" s="410">
        <v>0</v>
      </c>
      <c r="CW120" s="410">
        <v>0</v>
      </c>
      <c r="CX120" s="410">
        <v>0</v>
      </c>
      <c r="CY120" s="36">
        <f>+CU120+CV120+CW120+CX120</f>
        <v>-138.47101365187723</v>
      </c>
      <c r="CZ120" s="410">
        <v>0</v>
      </c>
      <c r="DA120" s="410">
        <v>0</v>
      </c>
      <c r="DB120" s="410">
        <v>0</v>
      </c>
      <c r="DC120" s="410">
        <v>0</v>
      </c>
      <c r="DD120" s="36">
        <f>+CZ120+DA120+DB120+DC120</f>
        <v>0</v>
      </c>
      <c r="DE120" s="410">
        <v>0</v>
      </c>
      <c r="DF120" s="410">
        <v>0</v>
      </c>
      <c r="DG120" s="410">
        <v>0</v>
      </c>
      <c r="DH120" s="410">
        <v>0</v>
      </c>
      <c r="DI120" s="36">
        <f>+DE120+DF120+DG120+DH120</f>
        <v>0</v>
      </c>
    </row>
    <row r="121" spans="1:113" s="7" customFormat="1" ht="12" customHeight="1">
      <c r="A121" s="239"/>
      <c r="B121" s="20"/>
      <c r="C121" s="39"/>
      <c r="D121" s="40"/>
      <c r="E121" s="39"/>
      <c r="F121" s="40"/>
      <c r="G121" s="39"/>
      <c r="H121" s="40"/>
      <c r="I121" s="39"/>
      <c r="J121" s="40"/>
      <c r="K121" s="39"/>
      <c r="L121" s="40"/>
      <c r="M121" s="39"/>
      <c r="N121" s="40"/>
      <c r="O121" s="40"/>
      <c r="P121" s="39"/>
      <c r="Q121" s="40"/>
      <c r="R121" s="39"/>
      <c r="S121" s="39"/>
      <c r="T121" s="39"/>
      <c r="U121" s="39"/>
      <c r="V121" s="40"/>
      <c r="W121" s="39"/>
      <c r="X121" s="39"/>
      <c r="Y121" s="39"/>
      <c r="Z121" s="39"/>
      <c r="AA121" s="40"/>
      <c r="AB121" s="40"/>
      <c r="AC121" s="39"/>
      <c r="AD121" s="39"/>
      <c r="AE121" s="39"/>
      <c r="AF121" s="39"/>
      <c r="AG121" s="40"/>
      <c r="AH121" s="39"/>
      <c r="AI121" s="39"/>
      <c r="AJ121" s="39"/>
      <c r="AK121" s="39"/>
      <c r="AL121" s="267"/>
      <c r="AM121" s="39"/>
      <c r="AN121" s="39"/>
      <c r="AO121" s="39"/>
      <c r="AP121" s="39"/>
      <c r="AQ121" s="267"/>
      <c r="AR121" s="39"/>
      <c r="AS121" s="39"/>
      <c r="AT121" s="39"/>
      <c r="AU121" s="39"/>
      <c r="AV121" s="40"/>
      <c r="AW121" s="39"/>
      <c r="AX121" s="39"/>
      <c r="AY121" s="39"/>
      <c r="AZ121" s="39"/>
      <c r="BA121" s="40"/>
      <c r="BB121" s="39"/>
      <c r="BC121" s="39"/>
      <c r="BD121" s="39"/>
      <c r="BE121" s="39"/>
      <c r="BF121" s="40"/>
      <c r="BG121" s="39"/>
      <c r="BH121" s="39"/>
      <c r="BI121" s="39"/>
      <c r="BJ121" s="39"/>
      <c r="BK121" s="40"/>
      <c r="BL121" s="39"/>
      <c r="BM121" s="39"/>
      <c r="BN121" s="39"/>
      <c r="BO121" s="39"/>
      <c r="BP121" s="40"/>
      <c r="BQ121" s="39"/>
      <c r="BR121" s="39"/>
      <c r="BS121" s="39"/>
      <c r="BT121" s="39"/>
      <c r="BU121" s="40"/>
      <c r="BV121" s="39"/>
      <c r="BW121" s="39"/>
      <c r="BX121" s="39"/>
      <c r="BY121" s="39"/>
      <c r="BZ121" s="40"/>
      <c r="CA121" s="39"/>
      <c r="CB121" s="39"/>
      <c r="CC121" s="39"/>
      <c r="CD121" s="39"/>
      <c r="CE121" s="40"/>
      <c r="CF121" s="39"/>
      <c r="CG121" s="39"/>
      <c r="CH121" s="39"/>
      <c r="CI121" s="39"/>
      <c r="CJ121" s="40"/>
      <c r="CK121" s="39"/>
      <c r="CL121" s="39"/>
      <c r="CM121" s="39"/>
      <c r="CN121" s="39"/>
      <c r="CO121" s="40"/>
      <c r="CP121" s="39"/>
      <c r="CQ121" s="39"/>
      <c r="CR121" s="39"/>
      <c r="CS121" s="39"/>
      <c r="CT121" s="40"/>
      <c r="CU121" s="39"/>
      <c r="CV121" s="39"/>
      <c r="CW121" s="39"/>
      <c r="CX121" s="39"/>
      <c r="CY121" s="40"/>
      <c r="CZ121" s="39"/>
      <c r="DA121" s="39"/>
      <c r="DB121" s="39"/>
      <c r="DC121" s="39"/>
      <c r="DD121" s="40"/>
      <c r="DE121" s="39"/>
      <c r="DF121" s="39"/>
      <c r="DG121" s="39"/>
      <c r="DH121" s="39"/>
      <c r="DI121" s="40"/>
    </row>
    <row r="122" spans="1:113" s="117" customFormat="1" ht="12" customHeight="1">
      <c r="A122" s="239"/>
      <c r="B122" s="268" t="s">
        <v>23</v>
      </c>
      <c r="C122" s="48">
        <f t="shared" ref="C122:Q122" si="476">SUM(C109:C111, C119:C120)</f>
        <v>339.66899999999987</v>
      </c>
      <c r="D122" s="266">
        <f t="shared" si="476"/>
        <v>323.16000000000082</v>
      </c>
      <c r="E122" s="48">
        <f t="shared" si="476"/>
        <v>517.49999999999886</v>
      </c>
      <c r="F122" s="266">
        <f t="shared" si="476"/>
        <v>961.00000000000148</v>
      </c>
      <c r="G122" s="48">
        <f t="shared" si="476"/>
        <v>759.90000000000043</v>
      </c>
      <c r="H122" s="266">
        <f t="shared" si="476"/>
        <v>656.49999999999989</v>
      </c>
      <c r="I122" s="48">
        <f t="shared" si="476"/>
        <v>1081.5</v>
      </c>
      <c r="J122" s="266">
        <f t="shared" si="476"/>
        <v>917.4</v>
      </c>
      <c r="K122" s="48">
        <f t="shared" si="476"/>
        <v>1518.5000000000002</v>
      </c>
      <c r="L122" s="266">
        <f t="shared" si="476"/>
        <v>1570.6999999999987</v>
      </c>
      <c r="M122" s="48">
        <f t="shared" si="476"/>
        <v>1667.9</v>
      </c>
      <c r="N122" s="266">
        <f t="shared" si="476"/>
        <v>1878.7000000000007</v>
      </c>
      <c r="O122" s="266">
        <f t="shared" si="476"/>
        <v>1936.3000000000002</v>
      </c>
      <c r="P122" s="48">
        <f t="shared" si="476"/>
        <v>1736.0999999999983</v>
      </c>
      <c r="Q122" s="266">
        <f t="shared" si="476"/>
        <v>3164.2000000000012</v>
      </c>
      <c r="R122" s="48">
        <f>SUM(R109:R112, R119:R120)</f>
        <v>211.99999999999977</v>
      </c>
      <c r="S122" s="48">
        <f>SUM(S109:S112, S119:S120)</f>
        <v>435.00000000000023</v>
      </c>
      <c r="T122" s="48">
        <f>SUM(T109:T112, T119:T120)</f>
        <v>323</v>
      </c>
      <c r="U122" s="48">
        <f>SUM(U109:U112, U119:U120)</f>
        <v>842</v>
      </c>
      <c r="V122" s="266">
        <f>SUM(V109:V111, V119:V120)</f>
        <v>1812</v>
      </c>
      <c r="W122" s="48">
        <f>SUM(W109:W112, W119:W120)</f>
        <v>87</v>
      </c>
      <c r="X122" s="48">
        <f>SUM(X109:X111, X119:X120)</f>
        <v>510</v>
      </c>
      <c r="Y122" s="48">
        <f>SUM(Y109:Y111, Y119:Y120)</f>
        <v>328</v>
      </c>
      <c r="Z122" s="48">
        <f>SUM(Z109:Z111, Z119:Z120)</f>
        <v>974</v>
      </c>
      <c r="AA122" s="266">
        <f>SUM(AA109:AA111, AA119:AA120)</f>
        <v>1899</v>
      </c>
      <c r="AB122" s="266"/>
      <c r="AC122" s="48">
        <f>SUM(AC109:AC112, AC119:AC120)</f>
        <v>535</v>
      </c>
      <c r="AD122" s="48">
        <f>SUM(AD109:AD112, AD119:AD120)</f>
        <v>710</v>
      </c>
      <c r="AE122" s="48">
        <f>SUM(AE109:AE112, AE119:AE120)</f>
        <v>423</v>
      </c>
      <c r="AF122" s="48">
        <f>SUM(AF109:AF112, AF119:AF120)</f>
        <v>1359</v>
      </c>
      <c r="AG122" s="269">
        <f>SUM(AG109:AG111, AG119,AG120)+AG112</f>
        <v>3027</v>
      </c>
      <c r="AH122" s="48">
        <f>SUM(AH109:AH112, AH119:AH120)</f>
        <v>596</v>
      </c>
      <c r="AI122" s="48">
        <f>SUM(AI109:AI112, AI119:AI120)</f>
        <v>329</v>
      </c>
      <c r="AJ122" s="48">
        <f>SUM(AJ109:AJ112, AJ119:AJ120)</f>
        <v>760</v>
      </c>
      <c r="AK122" s="48">
        <f>SUM(AK109:AK112, AK119:AK120)</f>
        <v>1318</v>
      </c>
      <c r="AL122" s="269">
        <f>SUM(AL109:AL112, AL119,AL120)</f>
        <v>3003</v>
      </c>
      <c r="AM122" s="48">
        <f>SUM(AM109:AM112, AM119:AM120)</f>
        <v>588</v>
      </c>
      <c r="AN122" s="48">
        <f>SUM(AN109:AN112, AN119:AN120)</f>
        <v>647</v>
      </c>
      <c r="AO122" s="48">
        <f>SUM(AO109:AO112, AO119:AO120)</f>
        <v>2103</v>
      </c>
      <c r="AP122" s="48">
        <f>SUM(AP109:AP112, AP119:AP120)</f>
        <v>1342</v>
      </c>
      <c r="AQ122" s="269">
        <f>SUM(AQ109:AQ112, AQ119,AQ120)</f>
        <v>4680</v>
      </c>
      <c r="AR122" s="48">
        <f>SUM(AR109:AR112, AR119:AR120)</f>
        <v>491</v>
      </c>
      <c r="AS122" s="48">
        <f>SUM(AS109:AS112, AS119:AS120)</f>
        <v>545</v>
      </c>
      <c r="AT122" s="48">
        <f>SUM(AT109:AT112, AT119:AT120)</f>
        <v>876</v>
      </c>
      <c r="AU122" s="48">
        <f>SUM(AU109:AU112, AU119:AU120)</f>
        <v>1184</v>
      </c>
      <c r="AV122" s="269">
        <f>SUM(AV109:AV112, AV119,AV120)</f>
        <v>3096</v>
      </c>
      <c r="AW122" s="48">
        <f>SUM(AW109:AW112, AW119:AW120)</f>
        <v>721</v>
      </c>
      <c r="AX122" s="48">
        <f>SUM(AX109:AX112, AX119:AX120)</f>
        <v>963</v>
      </c>
      <c r="AY122" s="48">
        <f>SUM(AY109:AY112, AY119:AY120)</f>
        <v>1067</v>
      </c>
      <c r="AZ122" s="48">
        <f>SUM(AZ109:AZ112, AZ119:AZ120)</f>
        <v>889</v>
      </c>
      <c r="BA122" s="269">
        <f>SUM(BA109:BA112, BA119,BA120)</f>
        <v>3640</v>
      </c>
      <c r="BB122" s="48">
        <f>SUM(BB109:BB112, BB119:BB120)</f>
        <v>575</v>
      </c>
      <c r="BC122" s="48">
        <f>SUM(BC109:BC112, BC119:BC120)</f>
        <v>1323</v>
      </c>
      <c r="BD122" s="48">
        <f>SUM(BD109:BD112, BD119:BD120)</f>
        <v>787</v>
      </c>
      <c r="BE122" s="48">
        <f>SUM(BE109:BE112, BE119:BE120)</f>
        <v>2270</v>
      </c>
      <c r="BF122" s="266">
        <f>SUM(BF109:BF112, BF119,BF120)</f>
        <v>4955</v>
      </c>
      <c r="BG122" s="48">
        <f>SUM(BG109:BG112, BG119:BG120)</f>
        <v>1301</v>
      </c>
      <c r="BH122" s="48">
        <f>SUM(BH109:BH112, BH119:BH120)</f>
        <v>1524</v>
      </c>
      <c r="BI122" s="48">
        <f>SUM(BI109:BI112, BI119:BI120)</f>
        <v>1068</v>
      </c>
      <c r="BJ122" s="48">
        <f>SUM(BJ109:BJ112, BJ119:BJ120)</f>
        <v>2010</v>
      </c>
      <c r="BK122" s="266">
        <f>SUM(BK109:BK112, BK119,BK120)</f>
        <v>5903</v>
      </c>
      <c r="BL122" s="48">
        <f>SUM(BL109:BL112, BL119:BL120)</f>
        <v>394</v>
      </c>
      <c r="BM122" s="48">
        <f>SUM(BM109:BM112, BM119:BM120)</f>
        <v>912</v>
      </c>
      <c r="BN122" s="48">
        <f>SUM(BN109:BN112, BN119:BN120)</f>
        <v>1180</v>
      </c>
      <c r="BO122" s="48">
        <f>SUM(BO109:BO112, BO119:BO120)</f>
        <v>-1</v>
      </c>
      <c r="BP122" s="266">
        <f>SUM(BP109:BP112, BP119,BP120)</f>
        <v>2485</v>
      </c>
      <c r="BQ122" s="48">
        <f>SUM(BQ109:BQ112, BQ119:BQ120)</f>
        <v>882</v>
      </c>
      <c r="BR122" s="48">
        <f>SUM(BR109:BR112, BR119:BR120)</f>
        <v>2473</v>
      </c>
      <c r="BS122" s="48">
        <f>SUM(BS109:BS112, BS119:BS120)</f>
        <v>1290</v>
      </c>
      <c r="BT122" s="48">
        <f>SUM(BT109:BT112, BT119:BT120)</f>
        <v>2012</v>
      </c>
      <c r="BU122" s="266">
        <f>SUM(BU109:BU112, BU119,BU120)</f>
        <v>6657</v>
      </c>
      <c r="BV122" s="48">
        <f>SUM(BV109:BV112, BV119:BV120)</f>
        <v>1111</v>
      </c>
      <c r="BW122" s="48">
        <f>SUM(BW109:BW112, BW119:BW120)</f>
        <v>2757</v>
      </c>
      <c r="BX122" s="48">
        <f>SUM(BX109:BX112, BX119:BX120)</f>
        <v>169</v>
      </c>
      <c r="BY122" s="48">
        <f>SUM(BY109:BY112, BY119:BY120)</f>
        <v>1151</v>
      </c>
      <c r="BZ122" s="266">
        <f>SUM(BZ109:BZ112, BZ119,BZ120)</f>
        <v>5188</v>
      </c>
      <c r="CA122" s="48">
        <f>SUM(CA109:CA112, CA119:CA120)</f>
        <v>357</v>
      </c>
      <c r="CB122" s="48">
        <f>SUM(CB109:CB112, CB119:CB120)</f>
        <v>1001</v>
      </c>
      <c r="CC122" s="48">
        <f>SUM(CC109:CC112, CC119:CC120)</f>
        <v>2230</v>
      </c>
      <c r="CD122" s="48">
        <f>SUM(CD109:CD112, CD119:CD120)</f>
        <v>2253</v>
      </c>
      <c r="CE122" s="266">
        <f>SUM(CE109:CE112, CE119,CE120)</f>
        <v>5841</v>
      </c>
      <c r="CF122" s="48">
        <f>SUM(CF109:CF112, CF119:CF120)</f>
        <v>-66</v>
      </c>
      <c r="CG122" s="48">
        <f>SUM(CG109:CG112, CG119:CG120)</f>
        <v>2817</v>
      </c>
      <c r="CH122" s="48">
        <f>SUM(CH109:CH112, CH119:CH120)</f>
        <v>2059</v>
      </c>
      <c r="CI122" s="48">
        <f>SUM(CI109:CI112, CI119:CI120)</f>
        <v>2619</v>
      </c>
      <c r="CJ122" s="266">
        <f>SUM(CJ109:CJ112, CJ119,CJ120)</f>
        <v>7429</v>
      </c>
      <c r="CK122" s="48">
        <f>SUM(CK109:CK112, CK119:CK120)</f>
        <v>394</v>
      </c>
      <c r="CL122" s="48">
        <f>SUM(CL109:CL112, CL119:CL120)</f>
        <v>1049</v>
      </c>
      <c r="CM122" s="48">
        <f>SUM(CM109:CM112, CM119:CM120)</f>
        <v>1792</v>
      </c>
      <c r="CN122" s="48">
        <f>SUM(CN109:CN112, CN119:CN120)</f>
        <v>463</v>
      </c>
      <c r="CO122" s="266">
        <f>SUM(CO109:CO112, CO119,CO120)</f>
        <v>3698</v>
      </c>
      <c r="CP122" s="48">
        <f>SUM(CP109:CP112, CP119:CP120)</f>
        <v>222</v>
      </c>
      <c r="CQ122" s="48">
        <f>SUM(CQ109:CQ112, CQ119:CQ120)</f>
        <v>579</v>
      </c>
      <c r="CR122" s="48">
        <f>SUM(CR109:CR112, CR119:CR120)</f>
        <v>274.00500000000011</v>
      </c>
      <c r="CS122" s="48">
        <f>SUM(CS109:CS112, CS119:CS120)</f>
        <v>1637</v>
      </c>
      <c r="CT122" s="266">
        <f>SUM(CT109:CT112, CT119,CT120)</f>
        <v>2712.0050000000001</v>
      </c>
      <c r="CU122" s="48">
        <f>SUM(CU109:CU112, CU119:CU120)</f>
        <v>55.27599999999984</v>
      </c>
      <c r="CV122" s="48">
        <f>SUM(CV109:CV112, CV119:CV120)</f>
        <v>1150.3273790187163</v>
      </c>
      <c r="CW122" s="48">
        <f>SUM(CW109:CW112, CW119:CW120)</f>
        <v>709.01242106573341</v>
      </c>
      <c r="CX122" s="48">
        <f>SUM(CX109:CX112, CX119:CX120)</f>
        <v>484.55209107644373</v>
      </c>
      <c r="CY122" s="266">
        <f>SUM(CY109:CY112, CY119,CY120)</f>
        <v>2399.1678911608933</v>
      </c>
      <c r="CZ122" s="48">
        <f>SUM(CZ109:CZ112, CZ119:CZ120)</f>
        <v>1155.6482648266215</v>
      </c>
      <c r="DA122" s="48">
        <f>SUM(DA109:DA112, DA119:DA120)</f>
        <v>918.38882712426016</v>
      </c>
      <c r="DB122" s="48">
        <f>SUM(DB109:DB112, DB119:DB120)</f>
        <v>594.676411889782</v>
      </c>
      <c r="DC122" s="48">
        <f>SUM(DC109:DC112, DC119:DC120)</f>
        <v>510.2779386342346</v>
      </c>
      <c r="DD122" s="266">
        <f>SUM(DD109:DD112, DD119,DD120)</f>
        <v>3178.9914424748986</v>
      </c>
      <c r="DE122" s="48">
        <f>SUM(DE109:DE112, DE119:DE120)</f>
        <v>1035.4207627095534</v>
      </c>
      <c r="DF122" s="48">
        <f>SUM(DF109:DF112, DF119:DF120)</f>
        <v>866.2978498783873</v>
      </c>
      <c r="DG122" s="48">
        <f>SUM(DG109:DG112, DG119:DG120)</f>
        <v>584.25741956609579</v>
      </c>
      <c r="DH122" s="48">
        <f>SUM(DH109:DH112, DH119:DH120)</f>
        <v>493.24394216281644</v>
      </c>
      <c r="DI122" s="266">
        <f>SUM(DI109:DI112, DI119,DI120)</f>
        <v>2979.219974316853</v>
      </c>
    </row>
    <row r="123" spans="1:113" s="7" customFormat="1" ht="12" customHeight="1">
      <c r="A123" s="239"/>
      <c r="B123" s="20"/>
      <c r="C123" s="43"/>
      <c r="D123" s="36"/>
      <c r="E123" s="43"/>
      <c r="F123" s="36"/>
      <c r="G123" s="258"/>
      <c r="H123" s="259"/>
      <c r="I123" s="258"/>
      <c r="J123" s="259"/>
      <c r="K123" s="258"/>
      <c r="L123" s="259"/>
      <c r="M123" s="258"/>
      <c r="N123" s="259"/>
      <c r="O123" s="259"/>
      <c r="P123" s="258"/>
      <c r="Q123" s="259"/>
      <c r="R123" s="258"/>
      <c r="S123" s="258"/>
      <c r="T123" s="258"/>
      <c r="U123" s="258"/>
      <c r="V123" s="259"/>
      <c r="W123" s="258"/>
      <c r="X123" s="258"/>
      <c r="Y123" s="258"/>
      <c r="Z123" s="258"/>
      <c r="AA123" s="259"/>
      <c r="AB123" s="40"/>
      <c r="AC123" s="258"/>
      <c r="AD123" s="258"/>
      <c r="AE123" s="258"/>
      <c r="AF123" s="258"/>
      <c r="AG123" s="259"/>
      <c r="AH123" s="258"/>
      <c r="AI123" s="258"/>
      <c r="AJ123" s="258"/>
      <c r="AK123" s="258"/>
      <c r="AL123" s="259"/>
      <c r="AM123" s="258"/>
      <c r="AN123" s="258"/>
      <c r="AO123" s="258"/>
      <c r="AP123" s="258"/>
      <c r="AQ123" s="270"/>
      <c r="AR123" s="258"/>
      <c r="AS123" s="258"/>
      <c r="AT123" s="258"/>
      <c r="AU123" s="258"/>
      <c r="AV123" s="270"/>
      <c r="AW123" s="258"/>
      <c r="AX123" s="258"/>
      <c r="AY123" s="258"/>
      <c r="AZ123" s="258"/>
      <c r="BA123" s="270"/>
      <c r="BB123" s="258"/>
      <c r="BC123" s="258"/>
      <c r="BD123" s="258"/>
      <c r="BE123" s="258"/>
      <c r="BF123" s="270"/>
      <c r="BG123" s="258"/>
      <c r="BH123" s="258"/>
      <c r="BI123" s="258"/>
      <c r="BJ123" s="258"/>
      <c r="BK123" s="270"/>
      <c r="BL123" s="258"/>
      <c r="BM123" s="258"/>
      <c r="BN123" s="258"/>
      <c r="BO123" s="258"/>
      <c r="BP123" s="270"/>
      <c r="BQ123" s="258"/>
      <c r="BR123" s="258"/>
      <c r="BS123" s="258"/>
      <c r="BT123" s="258"/>
      <c r="BU123" s="270"/>
      <c r="BV123" s="258"/>
      <c r="BW123" s="258"/>
      <c r="BX123" s="258"/>
      <c r="BY123" s="258"/>
      <c r="BZ123" s="270"/>
      <c r="CA123" s="258"/>
      <c r="CB123" s="257"/>
      <c r="CC123" s="258"/>
      <c r="CD123" s="258"/>
      <c r="CE123" s="270"/>
      <c r="CF123" s="258"/>
      <c r="CG123" s="257"/>
      <c r="CH123" s="258"/>
      <c r="CI123" s="258"/>
      <c r="CJ123" s="270"/>
      <c r="CK123" s="258"/>
      <c r="CL123" s="257"/>
      <c r="CM123" s="258"/>
      <c r="CN123" s="258"/>
      <c r="CO123" s="270"/>
      <c r="CP123" s="258"/>
      <c r="CQ123" s="257"/>
      <c r="CR123" s="258"/>
      <c r="CS123" s="258"/>
      <c r="CT123" s="270"/>
      <c r="CU123" s="258"/>
      <c r="CV123" s="257"/>
      <c r="CW123" s="257"/>
      <c r="CX123" s="257"/>
      <c r="CY123" s="270"/>
      <c r="CZ123" s="258"/>
      <c r="DA123" s="257"/>
      <c r="DB123" s="257"/>
      <c r="DC123" s="257"/>
      <c r="DD123" s="270"/>
      <c r="DE123" s="258"/>
      <c r="DF123" s="257"/>
      <c r="DG123" s="257"/>
      <c r="DH123" s="257"/>
      <c r="DI123" s="270"/>
    </row>
    <row r="124" spans="1:113" s="7" customFormat="1" ht="12" customHeight="1">
      <c r="A124" s="239"/>
      <c r="B124" s="20" t="s">
        <v>24</v>
      </c>
      <c r="C124" s="43">
        <v>-216.4</v>
      </c>
      <c r="D124" s="36">
        <v>-465.9</v>
      </c>
      <c r="E124" s="43">
        <v>-505.9</v>
      </c>
      <c r="F124" s="36">
        <v>-384.1</v>
      </c>
      <c r="G124" s="43">
        <v>-419.9</v>
      </c>
      <c r="H124" s="36">
        <v>-317.60000000000002</v>
      </c>
      <c r="I124" s="43">
        <v>-282.8</v>
      </c>
      <c r="J124" s="36">
        <v>-185.9</v>
      </c>
      <c r="K124" s="43">
        <v>-214.8</v>
      </c>
      <c r="L124" s="36">
        <v>-257.10000000000002</v>
      </c>
      <c r="M124" s="43">
        <v>-333.7</v>
      </c>
      <c r="N124" s="36">
        <v>-313.5</v>
      </c>
      <c r="O124" s="36">
        <v>-449.2</v>
      </c>
      <c r="P124" s="43">
        <v>-455.7</v>
      </c>
      <c r="Q124" s="36">
        <v>-335.1</v>
      </c>
      <c r="R124" s="43">
        <f>+R163</f>
        <v>-89</v>
      </c>
      <c r="S124" s="43">
        <f t="shared" ref="S124:U126" si="477">+S163-R163</f>
        <v>-102</v>
      </c>
      <c r="T124" s="43">
        <f t="shared" si="477"/>
        <v>-111</v>
      </c>
      <c r="U124" s="43">
        <f t="shared" si="477"/>
        <v>-129</v>
      </c>
      <c r="V124" s="36">
        <f>-432+1</f>
        <v>-431</v>
      </c>
      <c r="W124" s="43">
        <f>+W163</f>
        <v>-113</v>
      </c>
      <c r="X124" s="43">
        <f t="shared" ref="X124:Z126" si="478">+X163-W163</f>
        <v>-145</v>
      </c>
      <c r="Y124" s="43">
        <f t="shared" si="478"/>
        <v>-120</v>
      </c>
      <c r="Z124" s="43">
        <f t="shared" si="478"/>
        <v>-217</v>
      </c>
      <c r="AA124" s="36">
        <f>-597+2</f>
        <v>-595</v>
      </c>
      <c r="AB124" s="36"/>
      <c r="AC124" s="43">
        <f>+AC163</f>
        <v>-107</v>
      </c>
      <c r="AD124" s="43">
        <f t="shared" ref="AD124:AF126" si="479">+AD163-AC163</f>
        <v>-143</v>
      </c>
      <c r="AE124" s="43">
        <f t="shared" si="479"/>
        <v>-151</v>
      </c>
      <c r="AF124" s="43">
        <f t="shared" si="479"/>
        <v>-235</v>
      </c>
      <c r="AG124" s="15">
        <f>SUM(AC124:AF124)</f>
        <v>-636</v>
      </c>
      <c r="AH124" s="43">
        <f>+AH163</f>
        <v>-215</v>
      </c>
      <c r="AI124" s="43">
        <f t="shared" ref="AI124:AK126" si="480">+AI163-AH163</f>
        <v>-213</v>
      </c>
      <c r="AJ124" s="43">
        <f t="shared" si="480"/>
        <v>-242</v>
      </c>
      <c r="AK124" s="43">
        <f t="shared" si="480"/>
        <v>-207</v>
      </c>
      <c r="AL124" s="15">
        <f>-880+3</f>
        <v>-877</v>
      </c>
      <c r="AM124" s="43">
        <f>+AM163</f>
        <v>-262</v>
      </c>
      <c r="AN124" s="43">
        <f t="shared" ref="AN124:AP126" si="481">+AN163-AM163</f>
        <v>-225</v>
      </c>
      <c r="AO124" s="43">
        <f t="shared" si="481"/>
        <v>-233</v>
      </c>
      <c r="AP124" s="43">
        <f t="shared" si="481"/>
        <v>-240</v>
      </c>
      <c r="AQ124" s="15">
        <f>-963+3</f>
        <v>-960</v>
      </c>
      <c r="AR124" s="43">
        <f>+AR163</f>
        <v>-327</v>
      </c>
      <c r="AS124" s="43">
        <f t="shared" ref="AS124:AU126" si="482">+AS163-AR163</f>
        <v>-288</v>
      </c>
      <c r="AT124" s="43">
        <f t="shared" si="482"/>
        <v>-286</v>
      </c>
      <c r="AU124" s="43">
        <f t="shared" si="482"/>
        <v>-232</v>
      </c>
      <c r="AV124" s="36">
        <f>-1143+10</f>
        <v>-1133</v>
      </c>
      <c r="AW124" s="43">
        <f>+AW163</f>
        <v>-277</v>
      </c>
      <c r="AX124" s="43">
        <f t="shared" ref="AX124:AZ126" si="483">+AX163-AW163</f>
        <v>-223</v>
      </c>
      <c r="AY124" s="43">
        <f t="shared" si="483"/>
        <v>-263</v>
      </c>
      <c r="AZ124" s="43">
        <f t="shared" si="483"/>
        <v>-342</v>
      </c>
      <c r="BA124" s="36">
        <v>-1105</v>
      </c>
      <c r="BB124" s="43">
        <f>+BB163</f>
        <v>-270</v>
      </c>
      <c r="BC124" s="43">
        <f t="shared" ref="BC124:BE126" si="484">+BC163-BB163</f>
        <v>-227</v>
      </c>
      <c r="BD124" s="43">
        <f t="shared" si="484"/>
        <v>-231</v>
      </c>
      <c r="BE124" s="43">
        <f t="shared" si="484"/>
        <v>-300</v>
      </c>
      <c r="BF124" s="15">
        <v>-1028</v>
      </c>
      <c r="BG124" s="43">
        <f>+BG163</f>
        <v>-343</v>
      </c>
      <c r="BH124" s="43">
        <f t="shared" ref="BH124:BJ126" si="485">+BH163-BG163</f>
        <v>-283</v>
      </c>
      <c r="BI124" s="43">
        <f t="shared" si="485"/>
        <v>-220</v>
      </c>
      <c r="BJ124" s="43">
        <f t="shared" si="485"/>
        <v>-273</v>
      </c>
      <c r="BK124" s="15">
        <f>+BG124+BH124+BI124+BJ124</f>
        <v>-1119</v>
      </c>
      <c r="BL124" s="43">
        <f>+BL163</f>
        <v>-284</v>
      </c>
      <c r="BM124" s="43">
        <f t="shared" ref="BM124:BO126" si="486">+BM163-BL163</f>
        <v>-238</v>
      </c>
      <c r="BN124" s="43">
        <f t="shared" si="486"/>
        <v>-275</v>
      </c>
      <c r="BO124" s="43">
        <f t="shared" si="486"/>
        <v>-289</v>
      </c>
      <c r="BP124" s="15">
        <f>+BL124+BM124+BN124+BO124</f>
        <v>-1086</v>
      </c>
      <c r="BQ124" s="43">
        <f>+BQ163</f>
        <v>-176</v>
      </c>
      <c r="BR124" s="43">
        <f t="shared" ref="BR124:BT126" si="487">+BR163-BQ163</f>
        <v>-168</v>
      </c>
      <c r="BS124" s="43">
        <f t="shared" si="487"/>
        <v>-177</v>
      </c>
      <c r="BT124" s="43">
        <f t="shared" si="487"/>
        <v>-174</v>
      </c>
      <c r="BU124" s="15">
        <f>+BQ124+BR124+BS124+BT124</f>
        <v>-695</v>
      </c>
      <c r="BV124" s="43">
        <f>+BV163</f>
        <v>-184</v>
      </c>
      <c r="BW124" s="43">
        <f t="shared" ref="BW124:BY126" si="488">+BW163-BV163</f>
        <v>-178</v>
      </c>
      <c r="BX124" s="43">
        <f t="shared" si="488"/>
        <v>-154</v>
      </c>
      <c r="BY124" s="43">
        <f t="shared" si="488"/>
        <v>-242</v>
      </c>
      <c r="BZ124" s="15">
        <f>+BV124+BW124+BX124+BY124</f>
        <v>-758</v>
      </c>
      <c r="CA124" s="43">
        <f>+CA163</f>
        <v>-264</v>
      </c>
      <c r="CB124" s="369">
        <f t="shared" ref="CB124:CD126" si="489">+CB163-CA163</f>
        <v>-236</v>
      </c>
      <c r="CC124" s="43">
        <f t="shared" si="489"/>
        <v>-200</v>
      </c>
      <c r="CD124" s="43">
        <f t="shared" si="489"/>
        <v>-269</v>
      </c>
      <c r="CE124" s="15">
        <f>+CA124+CB124+CC124+CD124</f>
        <v>-969</v>
      </c>
      <c r="CF124" s="43">
        <f>+CF163</f>
        <v>-253</v>
      </c>
      <c r="CG124" s="369">
        <f t="shared" ref="CG124:CI126" si="490">+CG163-CF163</f>
        <v>-205</v>
      </c>
      <c r="CH124" s="43">
        <f t="shared" si="490"/>
        <v>-141</v>
      </c>
      <c r="CI124" s="43">
        <f t="shared" si="490"/>
        <v>-213</v>
      </c>
      <c r="CJ124" s="15">
        <f>+CF124+CG124+CH124+CI124</f>
        <v>-812</v>
      </c>
      <c r="CK124" s="43">
        <f>+CK163</f>
        <v>-120</v>
      </c>
      <c r="CL124" s="369">
        <f t="shared" ref="CL124:CM126" si="491">+CL163-CK163</f>
        <v>-129</v>
      </c>
      <c r="CM124" s="43">
        <f t="shared" si="491"/>
        <v>-81</v>
      </c>
      <c r="CN124" s="43">
        <f t="shared" ref="CN124:CN126" si="492">+CN163-CM163</f>
        <v>-100</v>
      </c>
      <c r="CO124" s="15">
        <f>+CK124+CL124+CM124+CN124</f>
        <v>-430</v>
      </c>
      <c r="CP124" s="43">
        <f>+CP163</f>
        <v>-207</v>
      </c>
      <c r="CQ124" s="369">
        <f t="shared" ref="CQ124:CQ126" si="493">+CQ163-CP163</f>
        <v>-193</v>
      </c>
      <c r="CR124" s="43">
        <f>CM124</f>
        <v>-81</v>
      </c>
      <c r="CS124" s="43">
        <f t="shared" ref="CS124:CS126" si="494">+CS163-CR163</f>
        <v>-138</v>
      </c>
      <c r="CT124" s="15">
        <f>+CP124+CQ124+CR124+CS124</f>
        <v>-619</v>
      </c>
      <c r="CU124" s="374">
        <f>CP124</f>
        <v>-207</v>
      </c>
      <c r="CV124" s="410">
        <v>-325</v>
      </c>
      <c r="CW124" s="410">
        <f>CR124</f>
        <v>-81</v>
      </c>
      <c r="CX124" s="410">
        <f>CS124</f>
        <v>-138</v>
      </c>
      <c r="CY124" s="15">
        <f>+CU124+CV124+CW124+CX124</f>
        <v>-751</v>
      </c>
      <c r="CZ124" s="410">
        <f>CU124</f>
        <v>-207</v>
      </c>
      <c r="DA124" s="410">
        <v>-325</v>
      </c>
      <c r="DB124" s="410">
        <f>CW124</f>
        <v>-81</v>
      </c>
      <c r="DC124" s="410">
        <f>CX124</f>
        <v>-138</v>
      </c>
      <c r="DD124" s="15">
        <f>+CZ124+DA124+DB124+DC124</f>
        <v>-751</v>
      </c>
      <c r="DE124" s="410">
        <f>CZ124</f>
        <v>-207</v>
      </c>
      <c r="DF124" s="410">
        <v>-325</v>
      </c>
      <c r="DG124" s="410">
        <f>DB124</f>
        <v>-81</v>
      </c>
      <c r="DH124" s="410">
        <f>DC124</f>
        <v>-138</v>
      </c>
      <c r="DI124" s="15">
        <f>+DE124+DF124+DG124+DH124</f>
        <v>-751</v>
      </c>
    </row>
    <row r="125" spans="1:113" s="7" customFormat="1" ht="12" customHeight="1">
      <c r="A125" s="239"/>
      <c r="B125" s="20" t="s">
        <v>25</v>
      </c>
      <c r="C125" s="43">
        <v>0</v>
      </c>
      <c r="D125" s="36">
        <v>0</v>
      </c>
      <c r="E125" s="43">
        <v>0</v>
      </c>
      <c r="F125" s="36">
        <v>0</v>
      </c>
      <c r="G125" s="43">
        <v>0</v>
      </c>
      <c r="H125" s="36">
        <v>0</v>
      </c>
      <c r="I125" s="43">
        <v>0</v>
      </c>
      <c r="J125" s="36">
        <v>0</v>
      </c>
      <c r="K125" s="43">
        <v>-289.10000000000002</v>
      </c>
      <c r="L125" s="36">
        <v>-47.2</v>
      </c>
      <c r="M125" s="43">
        <v>0</v>
      </c>
      <c r="N125" s="36">
        <v>0</v>
      </c>
      <c r="O125" s="36">
        <v>0</v>
      </c>
      <c r="P125" s="43">
        <v>0</v>
      </c>
      <c r="Q125" s="36">
        <v>0</v>
      </c>
      <c r="R125" s="43">
        <f>+R164</f>
        <v>0</v>
      </c>
      <c r="S125" s="43">
        <f t="shared" si="477"/>
        <v>0</v>
      </c>
      <c r="T125" s="43">
        <f t="shared" si="477"/>
        <v>0</v>
      </c>
      <c r="U125" s="43">
        <f t="shared" si="477"/>
        <v>0</v>
      </c>
      <c r="V125" s="36">
        <v>0</v>
      </c>
      <c r="W125" s="43">
        <f>+W164</f>
        <v>0</v>
      </c>
      <c r="X125" s="43">
        <f t="shared" si="478"/>
        <v>0</v>
      </c>
      <c r="Y125" s="43">
        <f t="shared" si="478"/>
        <v>0</v>
      </c>
      <c r="Z125" s="43">
        <f t="shared" si="478"/>
        <v>0</v>
      </c>
      <c r="AA125" s="36">
        <v>0</v>
      </c>
      <c r="AB125" s="36"/>
      <c r="AC125" s="43">
        <f>+AC164</f>
        <v>0</v>
      </c>
      <c r="AD125" s="43">
        <f t="shared" si="479"/>
        <v>0</v>
      </c>
      <c r="AE125" s="43">
        <f t="shared" si="479"/>
        <v>786</v>
      </c>
      <c r="AF125" s="43">
        <f t="shared" si="479"/>
        <v>0</v>
      </c>
      <c r="AG125" s="15">
        <f>SUM(AC125:AF125)</f>
        <v>786</v>
      </c>
      <c r="AH125" s="43">
        <f>+AH164</f>
        <v>0</v>
      </c>
      <c r="AI125" s="43">
        <f t="shared" si="480"/>
        <v>0</v>
      </c>
      <c r="AJ125" s="43">
        <f t="shared" si="480"/>
        <v>0</v>
      </c>
      <c r="AK125" s="43">
        <f t="shared" si="480"/>
        <v>0</v>
      </c>
      <c r="AL125" s="15">
        <v>0</v>
      </c>
      <c r="AM125" s="43">
        <f>+AM164</f>
        <v>0</v>
      </c>
      <c r="AN125" s="43">
        <f t="shared" si="481"/>
        <v>0</v>
      </c>
      <c r="AO125" s="43">
        <f t="shared" si="481"/>
        <v>0</v>
      </c>
      <c r="AP125" s="43">
        <f t="shared" si="481"/>
        <v>0</v>
      </c>
      <c r="AQ125" s="15">
        <v>0</v>
      </c>
      <c r="AR125" s="43">
        <f>+AR164</f>
        <v>0</v>
      </c>
      <c r="AS125" s="43">
        <f t="shared" si="482"/>
        <v>0</v>
      </c>
      <c r="AT125" s="43">
        <f t="shared" si="482"/>
        <v>0</v>
      </c>
      <c r="AU125" s="43">
        <f t="shared" si="482"/>
        <v>0</v>
      </c>
      <c r="AV125" s="36">
        <v>0</v>
      </c>
      <c r="AW125" s="43">
        <f>+AW164</f>
        <v>0</v>
      </c>
      <c r="AX125" s="43">
        <f t="shared" si="483"/>
        <v>0</v>
      </c>
      <c r="AY125" s="43">
        <f t="shared" si="483"/>
        <v>0</v>
      </c>
      <c r="AZ125" s="43">
        <f t="shared" si="483"/>
        <v>0</v>
      </c>
      <c r="BA125" s="36">
        <v>0</v>
      </c>
      <c r="BB125" s="43">
        <f>+BB164</f>
        <v>0</v>
      </c>
      <c r="BC125" s="43">
        <f t="shared" si="484"/>
        <v>0</v>
      </c>
      <c r="BD125" s="43">
        <f t="shared" si="484"/>
        <v>0</v>
      </c>
      <c r="BE125" s="43">
        <f t="shared" si="484"/>
        <v>0</v>
      </c>
      <c r="BF125" s="36">
        <v>0</v>
      </c>
      <c r="BG125" s="43">
        <f>+BG164</f>
        <v>0</v>
      </c>
      <c r="BH125" s="43">
        <f t="shared" si="485"/>
        <v>0</v>
      </c>
      <c r="BI125" s="43">
        <f t="shared" si="485"/>
        <v>5</v>
      </c>
      <c r="BJ125" s="43">
        <f t="shared" si="485"/>
        <v>0</v>
      </c>
      <c r="BK125" s="36">
        <f>+BG125+BH125+BI125+BJ125</f>
        <v>5</v>
      </c>
      <c r="BL125" s="43">
        <f>+BL164</f>
        <v>0</v>
      </c>
      <c r="BM125" s="43">
        <f t="shared" si="486"/>
        <v>0</v>
      </c>
      <c r="BN125" s="43">
        <f t="shared" si="486"/>
        <v>30</v>
      </c>
      <c r="BO125" s="43">
        <f t="shared" si="486"/>
        <v>1</v>
      </c>
      <c r="BP125" s="36">
        <f>+BL125+BM125+BN125+BO125</f>
        <v>31</v>
      </c>
      <c r="BQ125" s="43">
        <f>+BQ164</f>
        <v>0</v>
      </c>
      <c r="BR125" s="43">
        <f t="shared" si="487"/>
        <v>0</v>
      </c>
      <c r="BS125" s="43">
        <f t="shared" si="487"/>
        <v>184</v>
      </c>
      <c r="BT125" s="43">
        <f t="shared" si="487"/>
        <v>-13</v>
      </c>
      <c r="BU125" s="36">
        <f>+BQ125+BR125+BS125+BT125</f>
        <v>171</v>
      </c>
      <c r="BV125" s="43">
        <f>+BV164</f>
        <v>0</v>
      </c>
      <c r="BW125" s="43">
        <f t="shared" si="488"/>
        <v>0</v>
      </c>
      <c r="BX125" s="43">
        <f t="shared" si="488"/>
        <v>-39</v>
      </c>
      <c r="BY125" s="43">
        <f t="shared" si="488"/>
        <v>39</v>
      </c>
      <c r="BZ125" s="36">
        <f>+BV125+BW125+BX125+BY125</f>
        <v>0</v>
      </c>
      <c r="CA125" s="43">
        <f>+CA164</f>
        <v>0</v>
      </c>
      <c r="CB125" s="369">
        <f t="shared" si="489"/>
        <v>0</v>
      </c>
      <c r="CC125" s="43">
        <f t="shared" si="489"/>
        <v>0</v>
      </c>
      <c r="CD125" s="43">
        <f t="shared" si="489"/>
        <v>0</v>
      </c>
      <c r="CE125" s="36">
        <f>+CA125+CB125+CC125+CD125</f>
        <v>0</v>
      </c>
      <c r="CF125" s="43">
        <f>+CF164</f>
        <v>0</v>
      </c>
      <c r="CG125" s="369">
        <f t="shared" si="490"/>
        <v>0</v>
      </c>
      <c r="CH125" s="43">
        <f t="shared" si="490"/>
        <v>0</v>
      </c>
      <c r="CI125" s="43">
        <f t="shared" si="490"/>
        <v>0</v>
      </c>
      <c r="CJ125" s="36">
        <f>+CF125+CG125+CH125+CI125</f>
        <v>0</v>
      </c>
      <c r="CK125" s="43">
        <f>+CK164</f>
        <v>0</v>
      </c>
      <c r="CL125" s="369">
        <f t="shared" si="491"/>
        <v>0</v>
      </c>
      <c r="CM125" s="43">
        <f t="shared" si="491"/>
        <v>0</v>
      </c>
      <c r="CN125" s="43">
        <f t="shared" si="492"/>
        <v>0</v>
      </c>
      <c r="CO125" s="36">
        <f>+CK125+CL125+CM125+CN125</f>
        <v>0</v>
      </c>
      <c r="CP125" s="43">
        <f>+CP164</f>
        <v>0</v>
      </c>
      <c r="CQ125" s="369">
        <f t="shared" si="493"/>
        <v>0</v>
      </c>
      <c r="CR125" s="43">
        <v>0</v>
      </c>
      <c r="CS125" s="43">
        <f t="shared" si="494"/>
        <v>0</v>
      </c>
      <c r="CT125" s="36">
        <f>+CP125+CQ125+CR125+CS125</f>
        <v>0</v>
      </c>
      <c r="CU125" s="374">
        <v>0</v>
      </c>
      <c r="CV125" s="410">
        <v>0</v>
      </c>
      <c r="CW125" s="410">
        <v>0</v>
      </c>
      <c r="CX125" s="410">
        <v>0</v>
      </c>
      <c r="CY125" s="36">
        <f>+CU125+CV125+CW125+CX125</f>
        <v>0</v>
      </c>
      <c r="CZ125" s="410">
        <v>0</v>
      </c>
      <c r="DA125" s="410">
        <v>0</v>
      </c>
      <c r="DB125" s="410">
        <v>0</v>
      </c>
      <c r="DC125" s="410">
        <v>0</v>
      </c>
      <c r="DD125" s="36">
        <f>+CZ125+DA125+DB125+DC125</f>
        <v>0</v>
      </c>
      <c r="DE125" s="410">
        <v>0</v>
      </c>
      <c r="DF125" s="410">
        <v>0</v>
      </c>
      <c r="DG125" s="410">
        <v>0</v>
      </c>
      <c r="DH125" s="410">
        <v>0</v>
      </c>
      <c r="DI125" s="36">
        <f>+DE125+DF125+DG125+DH125</f>
        <v>0</v>
      </c>
    </row>
    <row r="126" spans="1:113" s="7" customFormat="1" ht="12" customHeight="1">
      <c r="A126" s="239"/>
      <c r="B126" s="20" t="s">
        <v>26</v>
      </c>
      <c r="C126" s="43">
        <f>12.8-26.4-9.7</f>
        <v>-23.299999999999997</v>
      </c>
      <c r="D126" s="36">
        <f>24.3-43.8-10.8</f>
        <v>-30.299999999999997</v>
      </c>
      <c r="E126" s="43">
        <f>16.8-87.4-18.5</f>
        <v>-89.100000000000009</v>
      </c>
      <c r="F126" s="36">
        <f>27.2-60.8+1.2</f>
        <v>-32.399999999999991</v>
      </c>
      <c r="G126" s="43">
        <f>25.3-51.3+5.9</f>
        <v>-20.099999999999994</v>
      </c>
      <c r="H126" s="36">
        <f>12.7-38.5+1.1</f>
        <v>-24.7</v>
      </c>
      <c r="I126" s="43">
        <f>15.6-28.7-6.9</f>
        <v>-20</v>
      </c>
      <c r="J126" s="36">
        <f>14.8-46.3+1.8</f>
        <v>-29.699999999999996</v>
      </c>
      <c r="K126" s="39">
        <f>-400.8+11.6-53.4-4.1</f>
        <v>-446.7</v>
      </c>
      <c r="L126" s="40">
        <f>-1527.2+1491.9+7.2-39.1+11.1</f>
        <v>-56.099999999999959</v>
      </c>
      <c r="M126" s="39">
        <f>-2619.7+1709.8+1.6-30.3-4.3</f>
        <v>-942.89999999999975</v>
      </c>
      <c r="N126" s="40">
        <f>-2133.8+2516.2+28.3-4.3</f>
        <v>406.39999999999964</v>
      </c>
      <c r="O126" s="40">
        <f>-1865.6+2246+1.9-21.8-76-571.1+246</f>
        <v>-40.599999999999966</v>
      </c>
      <c r="P126" s="43">
        <f>-2908.7+2390+32-47+191.3</f>
        <v>-342.39999999999981</v>
      </c>
      <c r="Q126" s="36">
        <f>-3724.4+2787.6+10.1-11.2+5.5</f>
        <v>-932.4000000000002</v>
      </c>
      <c r="R126" s="43">
        <f>+R165</f>
        <v>-595</v>
      </c>
      <c r="S126" s="43">
        <f t="shared" si="477"/>
        <v>-385</v>
      </c>
      <c r="T126" s="43">
        <f t="shared" si="477"/>
        <v>680</v>
      </c>
      <c r="U126" s="43">
        <f t="shared" si="477"/>
        <v>-290</v>
      </c>
      <c r="V126" s="36">
        <f>-7616+4313+2766-30-23</f>
        <v>-590</v>
      </c>
      <c r="W126" s="43">
        <f>+W165</f>
        <v>430</v>
      </c>
      <c r="X126" s="43">
        <f t="shared" si="478"/>
        <v>660</v>
      </c>
      <c r="Y126" s="43">
        <f t="shared" si="478"/>
        <v>286</v>
      </c>
      <c r="Z126" s="43">
        <f t="shared" si="478"/>
        <v>-267</v>
      </c>
      <c r="AA126" s="36">
        <f>-2705+2585+1244-37+22</f>
        <v>1109</v>
      </c>
      <c r="AB126" s="36"/>
      <c r="AC126" s="43">
        <f>+AC165</f>
        <v>328</v>
      </c>
      <c r="AD126" s="43">
        <f t="shared" si="479"/>
        <v>82</v>
      </c>
      <c r="AE126" s="43">
        <f t="shared" si="479"/>
        <v>-485</v>
      </c>
      <c r="AF126" s="43">
        <f t="shared" si="479"/>
        <v>-1142</v>
      </c>
      <c r="AG126" s="15">
        <f>SUM(AC126:AF126)</f>
        <v>-1217</v>
      </c>
      <c r="AH126" s="43">
        <f>+AH165</f>
        <v>-177</v>
      </c>
      <c r="AI126" s="43">
        <f t="shared" si="480"/>
        <v>-572</v>
      </c>
      <c r="AJ126" s="43">
        <f t="shared" si="480"/>
        <v>188</v>
      </c>
      <c r="AK126" s="43">
        <f t="shared" si="480"/>
        <v>231</v>
      </c>
      <c r="AL126" s="15">
        <f>-5386+3932+1126-2</f>
        <v>-330</v>
      </c>
      <c r="AM126" s="43">
        <f>+AM165</f>
        <v>542</v>
      </c>
      <c r="AN126" s="43">
        <f t="shared" si="481"/>
        <v>-221</v>
      </c>
      <c r="AO126" s="43">
        <f t="shared" si="481"/>
        <v>17</v>
      </c>
      <c r="AP126" s="43">
        <f t="shared" si="481"/>
        <v>447</v>
      </c>
      <c r="AQ126" s="15">
        <f>-4936+3655+2216-150</f>
        <v>785</v>
      </c>
      <c r="AR126" s="43">
        <f>+AR165</f>
        <v>-58</v>
      </c>
      <c r="AS126" s="43">
        <f t="shared" si="482"/>
        <v>-24</v>
      </c>
      <c r="AT126" s="43">
        <f t="shared" si="482"/>
        <v>439</v>
      </c>
      <c r="AU126" s="43">
        <f t="shared" si="482"/>
        <v>-258</v>
      </c>
      <c r="AV126" s="36">
        <f>-5367+2924+2386+150+6</f>
        <v>99</v>
      </c>
      <c r="AW126" s="43">
        <f>+AW165</f>
        <v>201</v>
      </c>
      <c r="AX126" s="43">
        <f t="shared" si="483"/>
        <v>535</v>
      </c>
      <c r="AY126" s="43">
        <f t="shared" si="483"/>
        <v>-461</v>
      </c>
      <c r="AZ126" s="43">
        <f t="shared" si="483"/>
        <v>-178</v>
      </c>
      <c r="BA126" s="36">
        <f>-5928+3623+2423+13-34</f>
        <v>97</v>
      </c>
      <c r="BB126" s="43">
        <f>+BB165</f>
        <v>258</v>
      </c>
      <c r="BC126" s="43">
        <f t="shared" si="484"/>
        <v>13</v>
      </c>
      <c r="BD126" s="43">
        <f t="shared" si="484"/>
        <v>983</v>
      </c>
      <c r="BE126" s="43">
        <f t="shared" si="484"/>
        <v>50</v>
      </c>
      <c r="BF126" s="36">
        <f>-4783+3613+2496+3-25</f>
        <v>1304</v>
      </c>
      <c r="BG126" s="43">
        <f>+BG165</f>
        <v>10</v>
      </c>
      <c r="BH126" s="43">
        <f t="shared" si="485"/>
        <v>371</v>
      </c>
      <c r="BI126" s="43">
        <f t="shared" si="485"/>
        <v>339</v>
      </c>
      <c r="BJ126" s="43">
        <f t="shared" si="485"/>
        <v>130</v>
      </c>
      <c r="BK126" s="36">
        <f>+BG126+BH126+BI126+BJ126</f>
        <v>850</v>
      </c>
      <c r="BL126" s="43">
        <f>+BL165</f>
        <v>-64</v>
      </c>
      <c r="BM126" s="43">
        <f t="shared" si="486"/>
        <v>-202</v>
      </c>
      <c r="BN126" s="43">
        <f t="shared" si="486"/>
        <v>275</v>
      </c>
      <c r="BO126" s="43">
        <f t="shared" si="486"/>
        <v>18</v>
      </c>
      <c r="BP126" s="36">
        <f>+BL126+BM126+BN126+BO126</f>
        <v>27</v>
      </c>
      <c r="BQ126" s="43">
        <f>+BQ165</f>
        <v>-713</v>
      </c>
      <c r="BR126" s="43">
        <f t="shared" si="487"/>
        <v>-1820</v>
      </c>
      <c r="BS126" s="43">
        <f t="shared" si="487"/>
        <v>-1117</v>
      </c>
      <c r="BT126" s="43">
        <f t="shared" si="487"/>
        <v>374</v>
      </c>
      <c r="BU126" s="36">
        <f>+BQ126+BR126+BS126+BT126</f>
        <v>-3276</v>
      </c>
      <c r="BV126" s="43">
        <f>+BV165</f>
        <v>685</v>
      </c>
      <c r="BW126" s="43">
        <f t="shared" si="488"/>
        <v>-1428</v>
      </c>
      <c r="BX126" s="43">
        <f t="shared" si="488"/>
        <v>-413</v>
      </c>
      <c r="BY126" s="43">
        <f t="shared" si="488"/>
        <v>390</v>
      </c>
      <c r="BZ126" s="36">
        <f>+BV126+BW126+BX126+BY126</f>
        <v>-766</v>
      </c>
      <c r="CA126" s="43">
        <f>+CA165</f>
        <v>50</v>
      </c>
      <c r="CB126" s="369">
        <f t="shared" si="489"/>
        <v>427</v>
      </c>
      <c r="CC126" s="43">
        <f t="shared" si="489"/>
        <v>360</v>
      </c>
      <c r="CD126" s="43">
        <f t="shared" si="489"/>
        <v>696</v>
      </c>
      <c r="CE126" s="36">
        <f>+CA126+CB126+CC126+CD126</f>
        <v>1533</v>
      </c>
      <c r="CF126" s="43">
        <f>+CF165</f>
        <v>671</v>
      </c>
      <c r="CG126" s="369">
        <f t="shared" si="490"/>
        <v>662</v>
      </c>
      <c r="CH126" s="43">
        <f t="shared" si="490"/>
        <v>450</v>
      </c>
      <c r="CI126" s="43">
        <f t="shared" si="490"/>
        <v>-77</v>
      </c>
      <c r="CJ126" s="36">
        <f>+CF126+CG126+CH126+CI126</f>
        <v>1706</v>
      </c>
      <c r="CK126" s="43">
        <f>+CK165</f>
        <v>-46</v>
      </c>
      <c r="CL126" s="369">
        <f t="shared" si="491"/>
        <v>55</v>
      </c>
      <c r="CM126" s="43">
        <f t="shared" si="491"/>
        <v>32</v>
      </c>
      <c r="CN126" s="43">
        <f t="shared" si="492"/>
        <v>114</v>
      </c>
      <c r="CO126" s="36">
        <f>+CK126+CL126+CM126+CN126</f>
        <v>155</v>
      </c>
      <c r="CP126" s="43">
        <f>+CP165</f>
        <v>148</v>
      </c>
      <c r="CQ126" s="369">
        <f t="shared" si="493"/>
        <v>144</v>
      </c>
      <c r="CR126" s="43">
        <v>0</v>
      </c>
      <c r="CS126" s="43">
        <f t="shared" si="494"/>
        <v>-74</v>
      </c>
      <c r="CT126" s="36">
        <f>+CP126+CQ126+CR126+CS126</f>
        <v>218</v>
      </c>
      <c r="CU126" s="374">
        <v>0</v>
      </c>
      <c r="CV126" s="410">
        <v>0</v>
      </c>
      <c r="CW126" s="410">
        <v>0</v>
      </c>
      <c r="CX126" s="410">
        <v>0</v>
      </c>
      <c r="CY126" s="36">
        <f>+CU126+CV126+CW126+CX126</f>
        <v>0</v>
      </c>
      <c r="CZ126" s="410">
        <v>0</v>
      </c>
      <c r="DA126" s="410">
        <v>0</v>
      </c>
      <c r="DB126" s="410">
        <v>0</v>
      </c>
      <c r="DC126" s="410">
        <v>0</v>
      </c>
      <c r="DD126" s="36">
        <f>+CZ126+DA126+DB126+DC126</f>
        <v>0</v>
      </c>
      <c r="DE126" s="410">
        <v>0</v>
      </c>
      <c r="DF126" s="410">
        <v>0</v>
      </c>
      <c r="DG126" s="410">
        <v>0</v>
      </c>
      <c r="DH126" s="410">
        <v>0</v>
      </c>
      <c r="DI126" s="36">
        <f>+DE126+DF126+DG126+DH126</f>
        <v>0</v>
      </c>
    </row>
    <row r="127" spans="1:113" s="7" customFormat="1" ht="12" customHeight="1">
      <c r="A127" s="239"/>
      <c r="B127" s="20"/>
      <c r="C127" s="39"/>
      <c r="D127" s="40"/>
      <c r="E127" s="39"/>
      <c r="F127" s="40"/>
      <c r="G127" s="39"/>
      <c r="H127" s="40"/>
      <c r="I127" s="39"/>
      <c r="J127" s="40"/>
      <c r="K127" s="39"/>
      <c r="L127" s="40"/>
      <c r="M127" s="39"/>
      <c r="N127" s="40"/>
      <c r="O127" s="40"/>
      <c r="P127" s="39"/>
      <c r="Q127" s="40"/>
      <c r="R127" s="39"/>
      <c r="S127" s="39"/>
      <c r="T127" s="39"/>
      <c r="U127" s="39"/>
      <c r="V127" s="40"/>
      <c r="W127" s="39"/>
      <c r="X127" s="39"/>
      <c r="Y127" s="39"/>
      <c r="Z127" s="39"/>
      <c r="AA127" s="40"/>
      <c r="AB127" s="40"/>
      <c r="AC127" s="39"/>
      <c r="AD127" s="39"/>
      <c r="AE127" s="39"/>
      <c r="AF127" s="39"/>
      <c r="AG127" s="40"/>
      <c r="AH127" s="39"/>
      <c r="AI127" s="39"/>
      <c r="AJ127" s="39"/>
      <c r="AK127" s="39"/>
      <c r="AL127" s="267"/>
      <c r="AM127" s="39"/>
      <c r="AN127" s="39"/>
      <c r="AO127" s="39"/>
      <c r="AP127" s="39"/>
      <c r="AQ127" s="267"/>
      <c r="AR127" s="39"/>
      <c r="AS127" s="39"/>
      <c r="AT127" s="39"/>
      <c r="AU127" s="39"/>
      <c r="AV127" s="40"/>
      <c r="AW127" s="39"/>
      <c r="AX127" s="39"/>
      <c r="AY127" s="39"/>
      <c r="AZ127" s="39"/>
      <c r="BA127" s="40"/>
      <c r="BB127" s="39"/>
      <c r="BC127" s="39"/>
      <c r="BD127" s="39"/>
      <c r="BE127" s="39"/>
      <c r="BF127" s="40"/>
      <c r="BG127" s="39"/>
      <c r="BH127" s="39"/>
      <c r="BI127" s="39"/>
      <c r="BJ127" s="39"/>
      <c r="BK127" s="40"/>
      <c r="BL127" s="39"/>
      <c r="BM127" s="39"/>
      <c r="BN127" s="39"/>
      <c r="BO127" s="39"/>
      <c r="BP127" s="40"/>
      <c r="BQ127" s="39"/>
      <c r="BR127" s="39"/>
      <c r="BS127" s="39"/>
      <c r="BT127" s="39"/>
      <c r="BU127" s="40"/>
      <c r="BV127" s="39"/>
      <c r="BW127" s="39"/>
      <c r="BX127" s="39"/>
      <c r="BY127" s="39"/>
      <c r="BZ127" s="40"/>
      <c r="CA127" s="39"/>
      <c r="CB127" s="39"/>
      <c r="CC127" s="39"/>
      <c r="CD127" s="39"/>
      <c r="CE127" s="40"/>
      <c r="CF127" s="39"/>
      <c r="CG127" s="39"/>
      <c r="CH127" s="39"/>
      <c r="CI127" s="39"/>
      <c r="CJ127" s="40"/>
      <c r="CK127" s="39"/>
      <c r="CL127" s="39"/>
      <c r="CM127" s="39"/>
      <c r="CN127" s="39"/>
      <c r="CO127" s="40"/>
      <c r="CP127" s="39"/>
      <c r="CQ127" s="39"/>
      <c r="CR127" s="39"/>
      <c r="CS127" s="39"/>
      <c r="CT127" s="40"/>
      <c r="CU127" s="39"/>
      <c r="CV127" s="39"/>
      <c r="CW127" s="39"/>
      <c r="CX127" s="39"/>
      <c r="CY127" s="40"/>
      <c r="CZ127" s="39"/>
      <c r="DA127" s="39"/>
      <c r="DB127" s="39"/>
      <c r="DC127" s="39"/>
      <c r="DD127" s="40"/>
      <c r="DE127" s="39"/>
      <c r="DF127" s="39"/>
      <c r="DG127" s="39"/>
      <c r="DH127" s="39"/>
      <c r="DI127" s="40"/>
    </row>
    <row r="128" spans="1:113" s="117" customFormat="1" ht="12" customHeight="1">
      <c r="A128" s="239"/>
      <c r="B128" s="268" t="s">
        <v>27</v>
      </c>
      <c r="C128" s="48">
        <f t="shared" ref="C128:AA128" si="495">SUM(C124:C126)</f>
        <v>-239.7</v>
      </c>
      <c r="D128" s="266">
        <f t="shared" si="495"/>
        <v>-496.2</v>
      </c>
      <c r="E128" s="48">
        <f t="shared" si="495"/>
        <v>-595</v>
      </c>
      <c r="F128" s="266">
        <f t="shared" si="495"/>
        <v>-416.5</v>
      </c>
      <c r="G128" s="48">
        <f t="shared" si="495"/>
        <v>-440</v>
      </c>
      <c r="H128" s="266">
        <f t="shared" si="495"/>
        <v>-342.3</v>
      </c>
      <c r="I128" s="48">
        <f t="shared" si="495"/>
        <v>-302.8</v>
      </c>
      <c r="J128" s="266">
        <f t="shared" si="495"/>
        <v>-215.6</v>
      </c>
      <c r="K128" s="48">
        <f t="shared" si="495"/>
        <v>-950.6</v>
      </c>
      <c r="L128" s="266">
        <f t="shared" si="495"/>
        <v>-360.4</v>
      </c>
      <c r="M128" s="48">
        <f t="shared" si="495"/>
        <v>-1276.5999999999997</v>
      </c>
      <c r="N128" s="266">
        <f t="shared" si="495"/>
        <v>92.899999999999636</v>
      </c>
      <c r="O128" s="266">
        <f t="shared" si="495"/>
        <v>-489.79999999999995</v>
      </c>
      <c r="P128" s="48">
        <f t="shared" si="495"/>
        <v>-798.0999999999998</v>
      </c>
      <c r="Q128" s="266">
        <f t="shared" si="495"/>
        <v>-1267.5000000000002</v>
      </c>
      <c r="R128" s="48">
        <f t="shared" si="495"/>
        <v>-684</v>
      </c>
      <c r="S128" s="48">
        <f t="shared" si="495"/>
        <v>-487</v>
      </c>
      <c r="T128" s="48">
        <f t="shared" si="495"/>
        <v>569</v>
      </c>
      <c r="U128" s="48">
        <f t="shared" si="495"/>
        <v>-419</v>
      </c>
      <c r="V128" s="266">
        <f t="shared" si="495"/>
        <v>-1021</v>
      </c>
      <c r="W128" s="48">
        <f t="shared" si="495"/>
        <v>317</v>
      </c>
      <c r="X128" s="48">
        <f t="shared" si="495"/>
        <v>515</v>
      </c>
      <c r="Y128" s="48">
        <f t="shared" si="495"/>
        <v>166</v>
      </c>
      <c r="Z128" s="48">
        <f t="shared" si="495"/>
        <v>-484</v>
      </c>
      <c r="AA128" s="266">
        <f t="shared" si="495"/>
        <v>514</v>
      </c>
      <c r="AB128" s="266"/>
      <c r="AC128" s="48">
        <f t="shared" ref="AC128:AP128" si="496">SUM(AC124:AC126)</f>
        <v>221</v>
      </c>
      <c r="AD128" s="48">
        <f t="shared" si="496"/>
        <v>-61</v>
      </c>
      <c r="AE128" s="48">
        <f t="shared" si="496"/>
        <v>150</v>
      </c>
      <c r="AF128" s="48">
        <f t="shared" si="496"/>
        <v>-1377</v>
      </c>
      <c r="AG128" s="269">
        <f t="shared" si="496"/>
        <v>-1067</v>
      </c>
      <c r="AH128" s="48">
        <f t="shared" si="496"/>
        <v>-392</v>
      </c>
      <c r="AI128" s="48">
        <f t="shared" si="496"/>
        <v>-785</v>
      </c>
      <c r="AJ128" s="48">
        <f t="shared" si="496"/>
        <v>-54</v>
      </c>
      <c r="AK128" s="48">
        <f t="shared" si="496"/>
        <v>24</v>
      </c>
      <c r="AL128" s="269">
        <f t="shared" si="496"/>
        <v>-1207</v>
      </c>
      <c r="AM128" s="48">
        <f t="shared" si="496"/>
        <v>280</v>
      </c>
      <c r="AN128" s="48">
        <f t="shared" si="496"/>
        <v>-446</v>
      </c>
      <c r="AO128" s="48">
        <f t="shared" si="496"/>
        <v>-216</v>
      </c>
      <c r="AP128" s="48">
        <f t="shared" si="496"/>
        <v>207</v>
      </c>
      <c r="AQ128" s="269">
        <f>SUM(AQ124:AQ127)</f>
        <v>-175</v>
      </c>
      <c r="AR128" s="48">
        <f>SUM(AR124:AR126)</f>
        <v>-385</v>
      </c>
      <c r="AS128" s="48">
        <f>SUM(AS124:AS126)</f>
        <v>-312</v>
      </c>
      <c r="AT128" s="48">
        <f>SUM(AT124:AT126)</f>
        <v>153</v>
      </c>
      <c r="AU128" s="48">
        <f>SUM(AU124:AU126)</f>
        <v>-490</v>
      </c>
      <c r="AV128" s="269">
        <f>SUM(AV124:AV127)</f>
        <v>-1034</v>
      </c>
      <c r="AW128" s="48">
        <f>SUM(AW124:AW126)</f>
        <v>-76</v>
      </c>
      <c r="AX128" s="48">
        <f>SUM(AX124:AX126)</f>
        <v>312</v>
      </c>
      <c r="AY128" s="48">
        <f>SUM(AY124:AY126)</f>
        <v>-724</v>
      </c>
      <c r="AZ128" s="48">
        <f>SUM(AZ124:AZ126)</f>
        <v>-520</v>
      </c>
      <c r="BA128" s="269">
        <f>SUM(BA124:BA127)</f>
        <v>-1008</v>
      </c>
      <c r="BB128" s="48">
        <f>SUM(BB124:BB126)</f>
        <v>-12</v>
      </c>
      <c r="BC128" s="48">
        <f>SUM(BC124:BC126)</f>
        <v>-214</v>
      </c>
      <c r="BD128" s="48">
        <f>SUM(BD124:BD126)</f>
        <v>752</v>
      </c>
      <c r="BE128" s="48">
        <f>SUM(BE124:BE126)</f>
        <v>-250</v>
      </c>
      <c r="BF128" s="266">
        <f>SUM(BF124:BF127)</f>
        <v>276</v>
      </c>
      <c r="BG128" s="48">
        <f>SUM(BG124:BG126)</f>
        <v>-333</v>
      </c>
      <c r="BH128" s="48">
        <f>SUM(BH124:BH126)</f>
        <v>88</v>
      </c>
      <c r="BI128" s="48">
        <f>SUM(BI124:BI126)</f>
        <v>124</v>
      </c>
      <c r="BJ128" s="48">
        <f>SUM(BJ124:BJ126)</f>
        <v>-143</v>
      </c>
      <c r="BK128" s="266">
        <f>SUM(BK124:BK127)</f>
        <v>-264</v>
      </c>
      <c r="BL128" s="48">
        <f>SUM(BL124:BL126)</f>
        <v>-348</v>
      </c>
      <c r="BM128" s="48">
        <f>SUM(BM124:BM126)</f>
        <v>-440</v>
      </c>
      <c r="BN128" s="48">
        <f>SUM(BN124:BN126)</f>
        <v>30</v>
      </c>
      <c r="BO128" s="48">
        <f>SUM(BO124:BO126)</f>
        <v>-270</v>
      </c>
      <c r="BP128" s="266">
        <f>SUM(BP124:BP127)</f>
        <v>-1028</v>
      </c>
      <c r="BQ128" s="48">
        <f>SUM(BQ124:BQ126)</f>
        <v>-889</v>
      </c>
      <c r="BR128" s="48">
        <f>SUM(BR124:BR126)</f>
        <v>-1988</v>
      </c>
      <c r="BS128" s="48">
        <f>SUM(BS124:BS126)</f>
        <v>-1110</v>
      </c>
      <c r="BT128" s="48">
        <f>SUM(BT124:BT126)</f>
        <v>187</v>
      </c>
      <c r="BU128" s="266">
        <f>SUM(BU124:BU127)</f>
        <v>-3800</v>
      </c>
      <c r="BV128" s="48">
        <f>SUM(BV124:BV126)</f>
        <v>501</v>
      </c>
      <c r="BW128" s="48">
        <f>SUM(BW124:BW126)</f>
        <v>-1606</v>
      </c>
      <c r="BX128" s="48">
        <f>SUM(BX124:BX126)</f>
        <v>-606</v>
      </c>
      <c r="BY128" s="48">
        <f>SUM(BY124:BY126)</f>
        <v>187</v>
      </c>
      <c r="BZ128" s="266">
        <f>SUM(BZ124:BZ127)</f>
        <v>-1524</v>
      </c>
      <c r="CA128" s="48">
        <f>SUM(CA124:CA126)</f>
        <v>-214</v>
      </c>
      <c r="CB128" s="48">
        <f>SUM(CB124:CB126)</f>
        <v>191</v>
      </c>
      <c r="CC128" s="48">
        <f>SUM(CC124:CC126)</f>
        <v>160</v>
      </c>
      <c r="CD128" s="48">
        <f>SUM(CD124:CD126)</f>
        <v>427</v>
      </c>
      <c r="CE128" s="266">
        <f>SUM(CE124:CE127)</f>
        <v>564</v>
      </c>
      <c r="CF128" s="48">
        <f>SUM(CF124:CF126)</f>
        <v>418</v>
      </c>
      <c r="CG128" s="48">
        <f>SUM(CG124:CG126)</f>
        <v>457</v>
      </c>
      <c r="CH128" s="48">
        <f>SUM(CH124:CH126)</f>
        <v>309</v>
      </c>
      <c r="CI128" s="48">
        <f>SUM(CI124:CI126)</f>
        <v>-290</v>
      </c>
      <c r="CJ128" s="266">
        <f>SUM(CJ124:CJ127)</f>
        <v>894</v>
      </c>
      <c r="CK128" s="48">
        <f>SUM(CK124:CK126)</f>
        <v>-166</v>
      </c>
      <c r="CL128" s="48">
        <f>SUM(CL124:CL126)</f>
        <v>-74</v>
      </c>
      <c r="CM128" s="48">
        <f>SUM(CM124:CM126)</f>
        <v>-49</v>
      </c>
      <c r="CN128" s="48">
        <f>SUM(CN124:CN126)</f>
        <v>14</v>
      </c>
      <c r="CO128" s="266">
        <f>SUM(CO124:CO127)</f>
        <v>-275</v>
      </c>
      <c r="CP128" s="48">
        <f>SUM(CP124:CP126)</f>
        <v>-59</v>
      </c>
      <c r="CQ128" s="48">
        <f>SUM(CQ124:CQ126)</f>
        <v>-49</v>
      </c>
      <c r="CR128" s="48">
        <f>SUM(CR124:CR126)</f>
        <v>-81</v>
      </c>
      <c r="CS128" s="48">
        <f>SUM(CS124:CS126)</f>
        <v>-212</v>
      </c>
      <c r="CT128" s="266">
        <f>SUM(CT124:CT127)</f>
        <v>-401</v>
      </c>
      <c r="CU128" s="48">
        <f>SUM(CU124:CU126)</f>
        <v>-207</v>
      </c>
      <c r="CV128" s="48">
        <f>SUM(CV124:CV126)</f>
        <v>-325</v>
      </c>
      <c r="CW128" s="48">
        <f>SUM(CW124:CW126)</f>
        <v>-81</v>
      </c>
      <c r="CX128" s="48">
        <f>SUM(CX124:CX126)</f>
        <v>-138</v>
      </c>
      <c r="CY128" s="266">
        <f>SUM(CY124:CY127)</f>
        <v>-751</v>
      </c>
      <c r="CZ128" s="48">
        <f>SUM(CZ124:CZ126)</f>
        <v>-207</v>
      </c>
      <c r="DA128" s="48">
        <f>SUM(DA124:DA126)</f>
        <v>-325</v>
      </c>
      <c r="DB128" s="48">
        <f>SUM(DB124:DB126)</f>
        <v>-81</v>
      </c>
      <c r="DC128" s="48">
        <f>SUM(DC124:DC126)</f>
        <v>-138</v>
      </c>
      <c r="DD128" s="266">
        <f>SUM(DD124:DD127)</f>
        <v>-751</v>
      </c>
      <c r="DE128" s="48">
        <f>SUM(DE124:DE126)</f>
        <v>-207</v>
      </c>
      <c r="DF128" s="48">
        <f>SUM(DF124:DF126)</f>
        <v>-325</v>
      </c>
      <c r="DG128" s="48">
        <f>SUM(DG124:DG126)</f>
        <v>-81</v>
      </c>
      <c r="DH128" s="48">
        <f>SUM(DH124:DH126)</f>
        <v>-138</v>
      </c>
      <c r="DI128" s="266">
        <f>SUM(DI124:DI127)</f>
        <v>-751</v>
      </c>
    </row>
    <row r="129" spans="1:113" s="7" customFormat="1" ht="12" customHeight="1">
      <c r="A129" s="239"/>
      <c r="B129" s="20"/>
      <c r="C129" s="43"/>
      <c r="D129" s="36"/>
      <c r="E129" s="43"/>
      <c r="F129" s="36"/>
      <c r="G129" s="43"/>
      <c r="H129" s="36"/>
      <c r="I129" s="43"/>
      <c r="J129" s="36"/>
      <c r="K129" s="43"/>
      <c r="L129" s="36"/>
      <c r="M129" s="43"/>
      <c r="N129" s="36"/>
      <c r="O129" s="36"/>
      <c r="P129" s="43"/>
      <c r="Q129" s="36"/>
      <c r="R129" s="43"/>
      <c r="S129" s="43"/>
      <c r="T129" s="43"/>
      <c r="U129" s="43"/>
      <c r="V129" s="36"/>
      <c r="W129" s="43"/>
      <c r="X129" s="43"/>
      <c r="Y129" s="43"/>
      <c r="Z129" s="43"/>
      <c r="AA129" s="36"/>
      <c r="AB129" s="36"/>
      <c r="AC129" s="43"/>
      <c r="AD129" s="43"/>
      <c r="AE129" s="43"/>
      <c r="AF129" s="43"/>
      <c r="AG129" s="36"/>
      <c r="AH129" s="43"/>
      <c r="AI129" s="43"/>
      <c r="AJ129" s="43"/>
      <c r="AK129" s="43"/>
      <c r="AL129" s="15"/>
      <c r="AM129" s="43"/>
      <c r="AN129" s="43"/>
      <c r="AO129" s="43"/>
      <c r="AP129" s="43"/>
      <c r="AQ129" s="15"/>
      <c r="AR129" s="43"/>
      <c r="AS129" s="43"/>
      <c r="AT129" s="43"/>
      <c r="AU129" s="43"/>
      <c r="AV129" s="36"/>
      <c r="AW129" s="43"/>
      <c r="AX129" s="43"/>
      <c r="AY129" s="43"/>
      <c r="AZ129" s="43"/>
      <c r="BA129" s="36"/>
      <c r="BB129" s="43"/>
      <c r="BC129" s="43"/>
      <c r="BD129" s="43"/>
      <c r="BE129" s="43"/>
      <c r="BF129" s="36"/>
      <c r="BG129" s="43"/>
      <c r="BH129" s="43"/>
      <c r="BI129" s="43"/>
      <c r="BJ129" s="43"/>
      <c r="BK129" s="36"/>
      <c r="BL129" s="43"/>
      <c r="BM129" s="43"/>
      <c r="BN129" s="43"/>
      <c r="BO129" s="43"/>
      <c r="BP129" s="36"/>
      <c r="BQ129" s="43"/>
      <c r="BR129" s="43"/>
      <c r="BS129" s="43"/>
      <c r="BT129" s="43"/>
      <c r="BU129" s="36"/>
      <c r="BV129" s="43"/>
      <c r="BW129" s="43"/>
      <c r="BX129" s="43"/>
      <c r="BY129" s="43"/>
      <c r="BZ129" s="36"/>
      <c r="CA129" s="43"/>
      <c r="CB129" s="43"/>
      <c r="CC129" s="43"/>
      <c r="CD129" s="43"/>
      <c r="CE129" s="36"/>
      <c r="CF129" s="43"/>
      <c r="CG129" s="43"/>
      <c r="CH129" s="43"/>
      <c r="CI129" s="43"/>
      <c r="CJ129" s="36"/>
      <c r="CK129" s="43"/>
      <c r="CL129" s="43"/>
      <c r="CM129" s="43"/>
      <c r="CN129" s="43"/>
      <c r="CO129" s="36"/>
      <c r="CP129" s="43"/>
      <c r="CQ129" s="43"/>
      <c r="CR129" s="43"/>
      <c r="CS129" s="43"/>
      <c r="CT129" s="36"/>
      <c r="CU129" s="43"/>
      <c r="CV129" s="43"/>
      <c r="CW129" s="43"/>
      <c r="CX129" s="43"/>
      <c r="CY129" s="36"/>
      <c r="CZ129" s="43"/>
      <c r="DA129" s="43"/>
      <c r="DB129" s="43"/>
      <c r="DC129" s="43"/>
      <c r="DD129" s="36"/>
      <c r="DE129" s="43"/>
      <c r="DF129" s="43"/>
      <c r="DG129" s="43"/>
      <c r="DH129" s="43"/>
      <c r="DI129" s="36"/>
    </row>
    <row r="130" spans="1:113" s="7" customFormat="1" ht="12" customHeight="1">
      <c r="A130" s="239"/>
      <c r="B130" s="20" t="s">
        <v>29</v>
      </c>
      <c r="C130" s="43">
        <f>5-30.4+48</f>
        <v>22.6</v>
      </c>
      <c r="D130" s="36">
        <f>300.5-5.2+92.9</f>
        <v>388.20000000000005</v>
      </c>
      <c r="E130" s="43">
        <f>101.5-2.5-73</f>
        <v>26</v>
      </c>
      <c r="F130" s="36">
        <f>-1.5-61</f>
        <v>-62.5</v>
      </c>
      <c r="G130" s="43">
        <f>0.1-1.8+505.1</f>
        <v>503.40000000000003</v>
      </c>
      <c r="H130" s="36">
        <f>-50.3-68.9</f>
        <v>-119.2</v>
      </c>
      <c r="I130" s="43">
        <f>329.9-80.3-431.5</f>
        <v>-181.90000000000003</v>
      </c>
      <c r="J130" s="36">
        <f>90.4-55.9-349.8</f>
        <v>-315.3</v>
      </c>
      <c r="K130" s="43">
        <f>153.8-206.6-0.3</f>
        <v>-53.09999999999998</v>
      </c>
      <c r="L130" s="36">
        <f>-9.2-81.7</f>
        <v>-90.9</v>
      </c>
      <c r="M130" s="43">
        <f>-6-18.2</f>
        <v>-24.2</v>
      </c>
      <c r="N130" s="36">
        <f>41.8-255.7+52.6</f>
        <v>-161.29999999999998</v>
      </c>
      <c r="O130" s="36">
        <f>-35.2+63.7</f>
        <v>28.5</v>
      </c>
      <c r="P130" s="43">
        <f>-6.8+177.1</f>
        <v>170.29999999999998</v>
      </c>
      <c r="Q130" s="36">
        <f>-32.2-205.4</f>
        <v>-237.60000000000002</v>
      </c>
      <c r="R130" s="43">
        <f>+R170</f>
        <v>-34</v>
      </c>
      <c r="S130" s="43">
        <f t="shared" ref="S130:U134" si="497">+S170-R170</f>
        <v>15</v>
      </c>
      <c r="T130" s="43">
        <f t="shared" si="497"/>
        <v>8</v>
      </c>
      <c r="U130" s="43">
        <f t="shared" si="497"/>
        <v>44</v>
      </c>
      <c r="V130" s="36">
        <f>-8+41</f>
        <v>33</v>
      </c>
      <c r="W130" s="43">
        <f>+W170</f>
        <v>-150</v>
      </c>
      <c r="X130" s="43">
        <f t="shared" ref="X130:Z134" si="498">+X170-W170</f>
        <v>-33</v>
      </c>
      <c r="Y130" s="43">
        <f t="shared" si="498"/>
        <v>-105</v>
      </c>
      <c r="Z130" s="43">
        <f t="shared" si="498"/>
        <v>20</v>
      </c>
      <c r="AA130" s="36">
        <f>-203-65</f>
        <v>-268</v>
      </c>
      <c r="AB130" s="36"/>
      <c r="AC130" s="43">
        <f>+AC170</f>
        <v>-23</v>
      </c>
      <c r="AD130" s="43">
        <f t="shared" ref="AD130:AF134" si="499">+AD170-AC170</f>
        <v>-32</v>
      </c>
      <c r="AE130" s="43">
        <f t="shared" si="499"/>
        <v>8</v>
      </c>
      <c r="AF130" s="43">
        <f t="shared" si="499"/>
        <v>984</v>
      </c>
      <c r="AG130" s="36">
        <f>-49+986</f>
        <v>937</v>
      </c>
      <c r="AH130" s="43">
        <f>+AH170</f>
        <v>-5</v>
      </c>
      <c r="AI130" s="43">
        <f t="shared" ref="AI130:AK134" si="500">+AI170-AH170</f>
        <v>14</v>
      </c>
      <c r="AJ130" s="43">
        <f t="shared" si="500"/>
        <v>-30</v>
      </c>
      <c r="AK130" s="43">
        <f t="shared" si="500"/>
        <v>36</v>
      </c>
      <c r="AL130" s="15">
        <f>-60+75</f>
        <v>15</v>
      </c>
      <c r="AM130" s="43">
        <f>+AM170</f>
        <v>-19</v>
      </c>
      <c r="AN130" s="43">
        <f t="shared" ref="AN130:AP134" si="501">+AN170-AM170</f>
        <v>-43</v>
      </c>
      <c r="AO130" s="43">
        <f t="shared" si="501"/>
        <v>-26</v>
      </c>
      <c r="AP130" s="43">
        <f t="shared" si="501"/>
        <v>18</v>
      </c>
      <c r="AQ130" s="15">
        <f>-7-63</f>
        <v>-70</v>
      </c>
      <c r="AR130" s="43">
        <f>+AR170</f>
        <v>-49</v>
      </c>
      <c r="AS130" s="43">
        <f t="shared" ref="AS130:AU134" si="502">+AS170-AR170</f>
        <v>960</v>
      </c>
      <c r="AT130" s="43">
        <f t="shared" si="502"/>
        <v>-102</v>
      </c>
      <c r="AU130" s="43">
        <f t="shared" si="502"/>
        <v>-1</v>
      </c>
      <c r="AV130" s="36">
        <f>981-106-67</f>
        <v>808</v>
      </c>
      <c r="AW130" s="43">
        <f>+AW170</f>
        <v>19</v>
      </c>
      <c r="AX130" s="43">
        <f t="shared" ref="AX130:AZ134" si="503">+AX170-AW170</f>
        <v>1481</v>
      </c>
      <c r="AY130" s="43">
        <f t="shared" si="503"/>
        <v>-37</v>
      </c>
      <c r="AZ130" s="43">
        <f t="shared" si="503"/>
        <v>285</v>
      </c>
      <c r="BA130" s="36">
        <f>1482-44+327-17</f>
        <v>1748</v>
      </c>
      <c r="BB130" s="43">
        <f>+BB170</f>
        <v>2</v>
      </c>
      <c r="BC130" s="43">
        <f t="shared" ref="BC130:BE134" si="504">+BC170-BB170</f>
        <v>888</v>
      </c>
      <c r="BD130" s="43">
        <f t="shared" si="504"/>
        <v>-1208</v>
      </c>
      <c r="BE130" s="43">
        <f t="shared" si="504"/>
        <v>302</v>
      </c>
      <c r="BF130" s="36">
        <f>-6+13-23</f>
        <v>-16</v>
      </c>
      <c r="BG130" s="43">
        <f>+BG170</f>
        <v>-328</v>
      </c>
      <c r="BH130" s="43">
        <f t="shared" ref="BH130:BJ134" si="505">+BH170-BG170</f>
        <v>-16</v>
      </c>
      <c r="BI130" s="43">
        <f t="shared" si="505"/>
        <v>19</v>
      </c>
      <c r="BJ130" s="43">
        <f t="shared" si="505"/>
        <v>-6</v>
      </c>
      <c r="BK130" s="36">
        <f>+BG130+BH130+BI130+BJ130</f>
        <v>-331</v>
      </c>
      <c r="BL130" s="43">
        <f>+BL170</f>
        <v>241</v>
      </c>
      <c r="BM130" s="43">
        <f t="shared" ref="BM130:BO134" si="506">+BM170-BL170</f>
        <v>50</v>
      </c>
      <c r="BN130" s="43">
        <f t="shared" si="506"/>
        <v>-291</v>
      </c>
      <c r="BO130" s="43">
        <f t="shared" si="506"/>
        <v>6183</v>
      </c>
      <c r="BP130" s="36">
        <f>+BL130+BM130+BN130+BO130</f>
        <v>6183</v>
      </c>
      <c r="BQ130" s="43">
        <f>+BQ170</f>
        <v>-113</v>
      </c>
      <c r="BR130" s="43">
        <f t="shared" ref="BR130:BT134" si="507">+BR170-BQ170</f>
        <v>-97</v>
      </c>
      <c r="BS130" s="43">
        <f t="shared" si="507"/>
        <v>-37</v>
      </c>
      <c r="BT130" s="43">
        <f t="shared" si="507"/>
        <v>195</v>
      </c>
      <c r="BU130" s="36">
        <f>+BQ130+BR130+BS130+BT130</f>
        <v>-52</v>
      </c>
      <c r="BV130" s="43">
        <f>+BV170</f>
        <v>13</v>
      </c>
      <c r="BW130" s="43">
        <f t="shared" ref="BW130:BY134" si="508">+BW170-BV170</f>
        <v>0</v>
      </c>
      <c r="BX130" s="43">
        <f t="shared" si="508"/>
        <v>-9</v>
      </c>
      <c r="BY130" s="43">
        <f t="shared" si="508"/>
        <v>11</v>
      </c>
      <c r="BZ130" s="36">
        <f>+BV130+BW130+BX130+BY130</f>
        <v>15</v>
      </c>
      <c r="CA130" s="43">
        <f>+CA170</f>
        <v>-1</v>
      </c>
      <c r="CB130" s="369">
        <f t="shared" ref="CB130:CD134" si="509">+CB170-CA170</f>
        <v>-2</v>
      </c>
      <c r="CC130" s="43">
        <f t="shared" si="509"/>
        <v>7</v>
      </c>
      <c r="CD130" s="43">
        <f t="shared" si="509"/>
        <v>-508</v>
      </c>
      <c r="CE130" s="36">
        <f>+CA130+CB130+CC130+CD130</f>
        <v>-504</v>
      </c>
      <c r="CF130" s="43">
        <f>+CF170</f>
        <v>0</v>
      </c>
      <c r="CG130" s="369">
        <f t="shared" ref="CG130:CI134" si="510">+CG170-CF170</f>
        <v>0</v>
      </c>
      <c r="CH130" s="43">
        <f t="shared" si="510"/>
        <v>0</v>
      </c>
      <c r="CI130" s="43">
        <f t="shared" si="510"/>
        <v>0</v>
      </c>
      <c r="CJ130" s="36">
        <f>+CF130+CG130+CH130+CI130</f>
        <v>0</v>
      </c>
      <c r="CK130" s="43">
        <f>+CK170</f>
        <v>6</v>
      </c>
      <c r="CL130" s="369">
        <f t="shared" ref="CL130:CM134" si="511">+CL170-CK170</f>
        <v>37</v>
      </c>
      <c r="CM130" s="43">
        <f t="shared" si="511"/>
        <v>-45</v>
      </c>
      <c r="CN130" s="43">
        <f t="shared" ref="CN130:CN134" si="512">+CN170-CM170</f>
        <v>-999</v>
      </c>
      <c r="CO130" s="36">
        <f>+CK130+CL130+CM130+CN130</f>
        <v>-1001</v>
      </c>
      <c r="CP130" s="43">
        <f>+CP170</f>
        <v>-1</v>
      </c>
      <c r="CQ130" s="369">
        <f t="shared" ref="CQ130:CQ134" si="513">+CQ170-CP170</f>
        <v>-3</v>
      </c>
      <c r="CR130" s="43">
        <v>0</v>
      </c>
      <c r="CS130" s="43">
        <f t="shared" ref="CS130:CS134" si="514">+CS170-CR170</f>
        <v>4</v>
      </c>
      <c r="CT130" s="36">
        <f>+CP130+CQ130+CR130+CS130</f>
        <v>0</v>
      </c>
      <c r="CU130" s="374">
        <v>0</v>
      </c>
      <c r="CV130" s="410">
        <v>0</v>
      </c>
      <c r="CW130" s="410">
        <v>0</v>
      </c>
      <c r="CX130" s="410">
        <v>0</v>
      </c>
      <c r="CY130" s="36">
        <f>+CU130+CV130+CW130+CX130</f>
        <v>0</v>
      </c>
      <c r="CZ130" s="410">
        <v>0</v>
      </c>
      <c r="DA130" s="410">
        <v>0</v>
      </c>
      <c r="DB130" s="410">
        <v>0</v>
      </c>
      <c r="DC130" s="410">
        <v>0</v>
      </c>
      <c r="DD130" s="36">
        <f>+CZ130+DA130+DB130+DC130</f>
        <v>0</v>
      </c>
      <c r="DE130" s="410">
        <v>0</v>
      </c>
      <c r="DF130" s="410">
        <v>0</v>
      </c>
      <c r="DG130" s="410">
        <v>0</v>
      </c>
      <c r="DH130" s="410">
        <v>0</v>
      </c>
      <c r="DI130" s="36">
        <f>+DE130+DF130+DG130+DH130</f>
        <v>0</v>
      </c>
    </row>
    <row r="131" spans="1:113" s="7" customFormat="1" ht="12" customHeight="1">
      <c r="A131" s="239"/>
      <c r="B131" s="20" t="s">
        <v>30</v>
      </c>
      <c r="C131" s="43">
        <v>-18.7</v>
      </c>
      <c r="D131" s="36">
        <v>0</v>
      </c>
      <c r="E131" s="43">
        <v>-202.3</v>
      </c>
      <c r="F131" s="36">
        <v>-299.8</v>
      </c>
      <c r="G131" s="43">
        <v>-646.29999999999995</v>
      </c>
      <c r="H131" s="36">
        <v>-157</v>
      </c>
      <c r="I131" s="43">
        <v>-226.9</v>
      </c>
      <c r="J131" s="36">
        <v>-196.3</v>
      </c>
      <c r="K131" s="43">
        <v>-419.8</v>
      </c>
      <c r="L131" s="36">
        <v>-556.20000000000005</v>
      </c>
      <c r="M131" s="43">
        <v>-761.1</v>
      </c>
      <c r="N131" s="36">
        <f>-985.2</f>
        <v>-985.2</v>
      </c>
      <c r="O131" s="36">
        <v>-1248</v>
      </c>
      <c r="P131" s="43">
        <v>-649.20000000000005</v>
      </c>
      <c r="Q131" s="36">
        <v>-741.2</v>
      </c>
      <c r="R131" s="43">
        <f>+R171</f>
        <v>-488</v>
      </c>
      <c r="S131" s="43">
        <f t="shared" si="497"/>
        <v>-297</v>
      </c>
      <c r="T131" s="43">
        <f t="shared" si="497"/>
        <v>-467</v>
      </c>
      <c r="U131" s="43">
        <f t="shared" si="497"/>
        <v>-607</v>
      </c>
      <c r="V131" s="36">
        <v>-1859</v>
      </c>
      <c r="W131" s="43">
        <f>+W171</f>
        <v>-626</v>
      </c>
      <c r="X131" s="43">
        <f t="shared" si="498"/>
        <v>-699</v>
      </c>
      <c r="Y131" s="43">
        <f t="shared" si="498"/>
        <v>-260</v>
      </c>
      <c r="Z131" s="43">
        <f t="shared" si="498"/>
        <v>-229</v>
      </c>
      <c r="AA131" s="36">
        <v>-1814</v>
      </c>
      <c r="AB131" s="36"/>
      <c r="AC131" s="43">
        <f>+AC171</f>
        <v>-766</v>
      </c>
      <c r="AD131" s="43">
        <f t="shared" si="499"/>
        <v>-413</v>
      </c>
      <c r="AE131" s="43">
        <f t="shared" si="499"/>
        <v>-253</v>
      </c>
      <c r="AF131" s="43">
        <f t="shared" si="499"/>
        <v>-242</v>
      </c>
      <c r="AG131" s="36">
        <v>-1674</v>
      </c>
      <c r="AH131" s="43">
        <f>+AH171</f>
        <v>-526</v>
      </c>
      <c r="AI131" s="43">
        <f t="shared" si="500"/>
        <v>-402</v>
      </c>
      <c r="AJ131" s="43">
        <f t="shared" si="500"/>
        <v>-788</v>
      </c>
      <c r="AK131" s="43">
        <f t="shared" si="500"/>
        <v>-912</v>
      </c>
      <c r="AL131" s="15">
        <v>-2628</v>
      </c>
      <c r="AM131" s="43">
        <f>+AM171</f>
        <v>-819</v>
      </c>
      <c r="AN131" s="43">
        <f t="shared" si="501"/>
        <v>-424</v>
      </c>
      <c r="AO131" s="43">
        <f t="shared" si="501"/>
        <v>-612</v>
      </c>
      <c r="AP131" s="43">
        <f t="shared" si="501"/>
        <v>-679</v>
      </c>
      <c r="AQ131" s="15">
        <v>-2534</v>
      </c>
      <c r="AR131" s="43">
        <f>+AR171</f>
        <v>-588</v>
      </c>
      <c r="AS131" s="43">
        <f t="shared" si="502"/>
        <v>-652</v>
      </c>
      <c r="AT131" s="43">
        <f t="shared" si="502"/>
        <v>-1458</v>
      </c>
      <c r="AU131" s="43">
        <f t="shared" si="502"/>
        <v>-540</v>
      </c>
      <c r="AV131" s="36">
        <v>-3238</v>
      </c>
      <c r="AW131" s="43">
        <f>+AW171</f>
        <v>-1054</v>
      </c>
      <c r="AX131" s="43">
        <f t="shared" si="503"/>
        <v>-900</v>
      </c>
      <c r="AY131" s="43">
        <f t="shared" si="503"/>
        <v>-475</v>
      </c>
      <c r="AZ131" s="43">
        <f t="shared" si="503"/>
        <v>-794</v>
      </c>
      <c r="BA131" s="36">
        <v>-3223</v>
      </c>
      <c r="BB131" s="43">
        <f>+BB171</f>
        <v>-804</v>
      </c>
      <c r="BC131" s="43">
        <f t="shared" si="504"/>
        <v>-972</v>
      </c>
      <c r="BD131" s="43">
        <f t="shared" si="504"/>
        <v>-918</v>
      </c>
      <c r="BE131" s="43">
        <f t="shared" si="504"/>
        <v>-1560</v>
      </c>
      <c r="BF131" s="36">
        <v>-4254</v>
      </c>
      <c r="BG131" s="43">
        <f>+BG171</f>
        <v>-1360</v>
      </c>
      <c r="BH131" s="43">
        <f t="shared" si="505"/>
        <v>-1277</v>
      </c>
      <c r="BI131" s="43">
        <f t="shared" si="505"/>
        <v>-768</v>
      </c>
      <c r="BJ131" s="43">
        <f t="shared" si="505"/>
        <v>-881</v>
      </c>
      <c r="BK131" s="36">
        <f>+BG131+BH131+BI131+BJ131</f>
        <v>-4286</v>
      </c>
      <c r="BL131" s="43">
        <f>+BL171</f>
        <v>-999</v>
      </c>
      <c r="BM131" s="43">
        <f t="shared" si="506"/>
        <v>-922</v>
      </c>
      <c r="BN131" s="43">
        <f t="shared" si="506"/>
        <v>-944</v>
      </c>
      <c r="BO131" s="43">
        <f t="shared" si="506"/>
        <v>-202</v>
      </c>
      <c r="BP131" s="36">
        <f>+BL131+BM131+BN131+BO131</f>
        <v>-3067</v>
      </c>
      <c r="BQ131" s="43">
        <f>+BQ171</f>
        <v>0</v>
      </c>
      <c r="BR131" s="43">
        <f t="shared" si="507"/>
        <v>0</v>
      </c>
      <c r="BS131" s="43">
        <f t="shared" si="507"/>
        <v>0</v>
      </c>
      <c r="BT131" s="43">
        <f t="shared" si="507"/>
        <v>-608</v>
      </c>
      <c r="BU131" s="36">
        <f>+BQ131+BR131+BS131+BT131</f>
        <v>-608</v>
      </c>
      <c r="BV131" s="43">
        <f>+BV171</f>
        <v>-752</v>
      </c>
      <c r="BW131" s="43">
        <f t="shared" si="508"/>
        <v>-971</v>
      </c>
      <c r="BX131" s="43">
        <f t="shared" si="508"/>
        <v>-1200</v>
      </c>
      <c r="BY131" s="43">
        <f t="shared" si="508"/>
        <v>-1091</v>
      </c>
      <c r="BZ131" s="36">
        <f>+BV131+BW131+BX131+BY131</f>
        <v>-4014</v>
      </c>
      <c r="CA131" s="43">
        <f>+CA171</f>
        <v>-983</v>
      </c>
      <c r="CB131" s="369">
        <f t="shared" si="509"/>
        <v>-1567</v>
      </c>
      <c r="CC131" s="43">
        <f t="shared" si="509"/>
        <v>-1551</v>
      </c>
      <c r="CD131" s="43">
        <f t="shared" si="509"/>
        <v>-1379</v>
      </c>
      <c r="CE131" s="36">
        <f>+CA131+CB131+CC131+CD131</f>
        <v>-5480</v>
      </c>
      <c r="CF131" s="43">
        <f>+CF171</f>
        <v>-1133</v>
      </c>
      <c r="CG131" s="369">
        <f t="shared" si="510"/>
        <v>-1198</v>
      </c>
      <c r="CH131" s="43">
        <f t="shared" si="510"/>
        <v>-883</v>
      </c>
      <c r="CI131" s="43">
        <f t="shared" si="510"/>
        <v>-1036</v>
      </c>
      <c r="CJ131" s="36">
        <f>+CF131+CG131+CH131+CI131</f>
        <v>-4250</v>
      </c>
      <c r="CK131" s="43">
        <f>+CK171</f>
        <v>-1184</v>
      </c>
      <c r="CL131" s="369">
        <f t="shared" si="511"/>
        <v>-1096</v>
      </c>
      <c r="CM131" s="43">
        <f t="shared" si="511"/>
        <v>-506</v>
      </c>
      <c r="CN131" s="43">
        <f t="shared" si="512"/>
        <v>-199</v>
      </c>
      <c r="CO131" s="36">
        <f>+CK131+CL131+CM131+CN131</f>
        <v>-2985</v>
      </c>
      <c r="CP131" s="43">
        <f>+CP171</f>
        <v>-126</v>
      </c>
      <c r="CQ131" s="369">
        <f t="shared" si="513"/>
        <v>-20</v>
      </c>
      <c r="CR131" s="43">
        <v>0</v>
      </c>
      <c r="CS131" s="43">
        <f t="shared" si="514"/>
        <v>0</v>
      </c>
      <c r="CT131" s="36">
        <f>+CP131+CQ131+CR131+CS131</f>
        <v>-146</v>
      </c>
      <c r="CU131" s="374">
        <v>0</v>
      </c>
      <c r="CV131" s="410">
        <v>0</v>
      </c>
      <c r="CW131" s="410">
        <v>0</v>
      </c>
      <c r="CX131" s="410">
        <v>0</v>
      </c>
      <c r="CY131" s="36">
        <f>+CU131+CV131+CW131+CX131</f>
        <v>0</v>
      </c>
      <c r="CZ131" s="410">
        <v>0</v>
      </c>
      <c r="DA131" s="410">
        <v>0</v>
      </c>
      <c r="DB131" s="410">
        <v>0</v>
      </c>
      <c r="DC131" s="410">
        <v>0</v>
      </c>
      <c r="DD131" s="36">
        <f>+CZ131+DA131+DB131+DC131</f>
        <v>0</v>
      </c>
      <c r="DE131" s="410">
        <v>-250</v>
      </c>
      <c r="DF131" s="410">
        <v>-250</v>
      </c>
      <c r="DG131" s="410">
        <v>-250</v>
      </c>
      <c r="DH131" s="410">
        <v>-250</v>
      </c>
      <c r="DI131" s="36">
        <f>+DE131+DF131+DG131+DH131</f>
        <v>-1000</v>
      </c>
    </row>
    <row r="132" spans="1:113" s="7" customFormat="1" ht="12" customHeight="1">
      <c r="A132" s="239"/>
      <c r="B132" s="20" t="s">
        <v>31</v>
      </c>
      <c r="C132" s="43">
        <v>21.2</v>
      </c>
      <c r="D132" s="36">
        <v>26.3</v>
      </c>
      <c r="E132" s="43">
        <v>32.200000000000003</v>
      </c>
      <c r="F132" s="36">
        <v>54.4</v>
      </c>
      <c r="G132" s="43">
        <v>23.9</v>
      </c>
      <c r="H132" s="36">
        <v>56</v>
      </c>
      <c r="I132" s="43">
        <v>59.5</v>
      </c>
      <c r="J132" s="36">
        <v>44.2</v>
      </c>
      <c r="K132" s="39">
        <v>253.6</v>
      </c>
      <c r="L132" s="40">
        <v>226.8</v>
      </c>
      <c r="M132" s="39">
        <v>225.3</v>
      </c>
      <c r="N132" s="40">
        <v>322.89999999999998</v>
      </c>
      <c r="O132" s="40">
        <v>343.3</v>
      </c>
      <c r="P132" s="43">
        <v>186.6</v>
      </c>
      <c r="Q132" s="36">
        <v>364.5</v>
      </c>
      <c r="R132" s="43">
        <f>+R172</f>
        <v>47</v>
      </c>
      <c r="S132" s="43">
        <f t="shared" si="497"/>
        <v>181</v>
      </c>
      <c r="T132" s="43">
        <f t="shared" si="497"/>
        <v>51</v>
      </c>
      <c r="U132" s="43">
        <f t="shared" si="497"/>
        <v>66</v>
      </c>
      <c r="V132" s="36">
        <v>345</v>
      </c>
      <c r="W132" s="43">
        <f>+W172</f>
        <v>147</v>
      </c>
      <c r="X132" s="43">
        <f t="shared" si="498"/>
        <v>137</v>
      </c>
      <c r="Y132" s="43">
        <f t="shared" si="498"/>
        <v>88</v>
      </c>
      <c r="Z132" s="43">
        <f t="shared" si="498"/>
        <v>96</v>
      </c>
      <c r="AA132" s="36">
        <v>468</v>
      </c>
      <c r="AB132" s="36"/>
      <c r="AC132" s="43">
        <f>+AC172</f>
        <v>39</v>
      </c>
      <c r="AD132" s="43">
        <f t="shared" si="499"/>
        <v>77</v>
      </c>
      <c r="AE132" s="43">
        <f t="shared" si="499"/>
        <v>95</v>
      </c>
      <c r="AF132" s="43">
        <f t="shared" si="499"/>
        <v>189</v>
      </c>
      <c r="AG132" s="36">
        <f>15+313+72</f>
        <v>400</v>
      </c>
      <c r="AH132" s="43">
        <f>+AH172</f>
        <v>121</v>
      </c>
      <c r="AI132" s="43">
        <f t="shared" si="500"/>
        <v>183</v>
      </c>
      <c r="AJ132" s="43">
        <f t="shared" si="500"/>
        <v>103</v>
      </c>
      <c r="AK132" s="43">
        <f t="shared" si="500"/>
        <v>108</v>
      </c>
      <c r="AL132" s="15">
        <f>132+383</f>
        <v>515</v>
      </c>
      <c r="AM132" s="43">
        <f>+AM172</f>
        <v>165</v>
      </c>
      <c r="AN132" s="43">
        <f t="shared" si="501"/>
        <v>252</v>
      </c>
      <c r="AO132" s="43">
        <f t="shared" si="501"/>
        <v>89</v>
      </c>
      <c r="AP132" s="43">
        <f t="shared" si="501"/>
        <v>226</v>
      </c>
      <c r="AQ132" s="15">
        <f>514+218</f>
        <v>732</v>
      </c>
      <c r="AR132" s="43">
        <f>+AR172</f>
        <v>0</v>
      </c>
      <c r="AS132" s="43">
        <f t="shared" si="502"/>
        <v>526</v>
      </c>
      <c r="AT132" s="43">
        <f t="shared" si="502"/>
        <v>75</v>
      </c>
      <c r="AU132" s="43">
        <f t="shared" si="502"/>
        <v>187</v>
      </c>
      <c r="AV132" s="36">
        <f>507+281</f>
        <v>788</v>
      </c>
      <c r="AW132" s="43">
        <f>+AW172</f>
        <v>171</v>
      </c>
      <c r="AX132" s="43">
        <f t="shared" si="503"/>
        <v>145</v>
      </c>
      <c r="AY132" s="43">
        <f t="shared" si="503"/>
        <v>148</v>
      </c>
      <c r="AZ132" s="43">
        <f t="shared" si="503"/>
        <v>202</v>
      </c>
      <c r="BA132" s="36">
        <f>489+177</f>
        <v>666</v>
      </c>
      <c r="BB132" s="43">
        <f>+BB172</f>
        <v>158</v>
      </c>
      <c r="BC132" s="43">
        <f t="shared" si="504"/>
        <v>162</v>
      </c>
      <c r="BD132" s="43">
        <f t="shared" si="504"/>
        <v>180</v>
      </c>
      <c r="BE132" s="43">
        <f t="shared" si="504"/>
        <v>233</v>
      </c>
      <c r="BF132" s="36">
        <v>733</v>
      </c>
      <c r="BG132" s="43">
        <f>+BG172</f>
        <v>187</v>
      </c>
      <c r="BH132" s="43">
        <f t="shared" si="505"/>
        <v>153</v>
      </c>
      <c r="BI132" s="43">
        <f t="shared" si="505"/>
        <v>126</v>
      </c>
      <c r="BJ132" s="43">
        <f t="shared" si="505"/>
        <v>234</v>
      </c>
      <c r="BK132" s="36">
        <f>+BG132+BH132+BI132+BJ132</f>
        <v>700</v>
      </c>
      <c r="BL132" s="43">
        <f>+BL172</f>
        <v>111</v>
      </c>
      <c r="BM132" s="43">
        <f t="shared" si="506"/>
        <v>372</v>
      </c>
      <c r="BN132" s="43">
        <f t="shared" si="506"/>
        <v>195</v>
      </c>
      <c r="BO132" s="43">
        <f t="shared" si="506"/>
        <v>207</v>
      </c>
      <c r="BP132" s="36">
        <f>+BL132+BM132+BN132+BO132</f>
        <v>885</v>
      </c>
      <c r="BQ132" s="43">
        <f>+BQ172</f>
        <v>302</v>
      </c>
      <c r="BR132" s="43">
        <f t="shared" si="507"/>
        <v>479</v>
      </c>
      <c r="BS132" s="43">
        <f t="shared" si="507"/>
        <v>188</v>
      </c>
      <c r="BT132" s="43">
        <f t="shared" si="507"/>
        <v>203</v>
      </c>
      <c r="BU132" s="36">
        <f>+BQ132+BR132+BS132+BT132</f>
        <v>1172</v>
      </c>
      <c r="BV132" s="43">
        <f>+BV172</f>
        <v>473</v>
      </c>
      <c r="BW132" s="43">
        <f t="shared" si="508"/>
        <v>373</v>
      </c>
      <c r="BX132" s="43">
        <f t="shared" si="508"/>
        <v>113</v>
      </c>
      <c r="BY132" s="43">
        <f t="shared" si="508"/>
        <v>192</v>
      </c>
      <c r="BZ132" s="36">
        <f>+BV132+BW132+BX132+BY132</f>
        <v>1151</v>
      </c>
      <c r="CA132" s="43">
        <f>+CA172</f>
        <v>82</v>
      </c>
      <c r="CB132" s="369">
        <f t="shared" si="509"/>
        <v>178</v>
      </c>
      <c r="CC132" s="43">
        <f t="shared" si="509"/>
        <v>153</v>
      </c>
      <c r="CD132" s="43">
        <f t="shared" si="509"/>
        <v>238</v>
      </c>
      <c r="CE132" s="36">
        <f>+CA132+CB132+CC132+CD132</f>
        <v>651</v>
      </c>
      <c r="CF132" s="43">
        <f>+CF172</f>
        <v>99</v>
      </c>
      <c r="CG132" s="369">
        <f t="shared" si="510"/>
        <v>228</v>
      </c>
      <c r="CH132" s="43">
        <f t="shared" si="510"/>
        <v>150</v>
      </c>
      <c r="CI132" s="43">
        <f t="shared" si="510"/>
        <v>190</v>
      </c>
      <c r="CJ132" s="36">
        <f>+CF132+CG132+CH132+CI132</f>
        <v>667</v>
      </c>
      <c r="CK132" s="43">
        <f>+CK172</f>
        <v>131</v>
      </c>
      <c r="CL132" s="369">
        <f t="shared" si="511"/>
        <v>214</v>
      </c>
      <c r="CM132" s="43">
        <f t="shared" si="511"/>
        <v>55</v>
      </c>
      <c r="CN132" s="43">
        <f t="shared" si="512"/>
        <v>151</v>
      </c>
      <c r="CO132" s="36">
        <f>+CK132+CL132+CM132+CN132</f>
        <v>551</v>
      </c>
      <c r="CP132" s="43">
        <f>+CP172</f>
        <v>127</v>
      </c>
      <c r="CQ132" s="369">
        <f t="shared" si="513"/>
        <v>107</v>
      </c>
      <c r="CR132" s="43">
        <v>100</v>
      </c>
      <c r="CS132" s="43">
        <f t="shared" si="514"/>
        <v>103</v>
      </c>
      <c r="CT132" s="36">
        <f>+CP132+CQ132+CR132+CS132</f>
        <v>437</v>
      </c>
      <c r="CU132" s="374">
        <v>100</v>
      </c>
      <c r="CV132" s="410">
        <v>100</v>
      </c>
      <c r="CW132" s="410">
        <v>100</v>
      </c>
      <c r="CX132" s="410">
        <v>100</v>
      </c>
      <c r="CY132" s="36">
        <f>+CU132+CV132+CW132+CX132</f>
        <v>400</v>
      </c>
      <c r="CZ132" s="410">
        <v>100</v>
      </c>
      <c r="DA132" s="410">
        <v>100</v>
      </c>
      <c r="DB132" s="410">
        <v>100</v>
      </c>
      <c r="DC132" s="410">
        <v>100</v>
      </c>
      <c r="DD132" s="36">
        <f>+CZ132+DA132+DB132+DC132</f>
        <v>400</v>
      </c>
      <c r="DE132" s="410">
        <v>100</v>
      </c>
      <c r="DF132" s="410">
        <v>100</v>
      </c>
      <c r="DG132" s="410">
        <v>100</v>
      </c>
      <c r="DH132" s="410">
        <v>100</v>
      </c>
      <c r="DI132" s="36">
        <f>+DE132+DF132+DG132+DH132</f>
        <v>400</v>
      </c>
    </row>
    <row r="133" spans="1:113" s="7" customFormat="1" ht="12" customHeight="1">
      <c r="A133" s="239"/>
      <c r="B133" s="20" t="s">
        <v>32</v>
      </c>
      <c r="C133" s="43">
        <v>-78.900000000000006</v>
      </c>
      <c r="D133" s="36">
        <v>-100.9</v>
      </c>
      <c r="E133" s="43">
        <v>-127.3</v>
      </c>
      <c r="F133" s="36">
        <v>-136.19999999999999</v>
      </c>
      <c r="G133" s="43">
        <v>-133.1</v>
      </c>
      <c r="H133" s="36">
        <v>-129.69999999999999</v>
      </c>
      <c r="I133" s="43">
        <v>-128.9</v>
      </c>
      <c r="J133" s="36">
        <v>-137.80000000000001</v>
      </c>
      <c r="K133" s="43">
        <v>-179.2</v>
      </c>
      <c r="L133" s="36">
        <v>-236.7</v>
      </c>
      <c r="M133" s="43">
        <v>-290.89999999999998</v>
      </c>
      <c r="N133" s="36">
        <v>-343.7</v>
      </c>
      <c r="O133" s="36">
        <v>-412.9</v>
      </c>
      <c r="P133" s="43">
        <v>-466.7</v>
      </c>
      <c r="Q133" s="36">
        <v>-505.4</v>
      </c>
      <c r="R133" s="43">
        <f>+R173</f>
        <v>-131</v>
      </c>
      <c r="S133" s="43">
        <f t="shared" si="497"/>
        <v>-129</v>
      </c>
      <c r="T133" s="43">
        <f t="shared" si="497"/>
        <v>-148</v>
      </c>
      <c r="U133" s="43">
        <f t="shared" si="497"/>
        <v>-147</v>
      </c>
      <c r="V133" s="36">
        <v>-555</v>
      </c>
      <c r="W133" s="43">
        <f>+W173</f>
        <v>-145</v>
      </c>
      <c r="X133" s="43">
        <f t="shared" si="498"/>
        <v>-144</v>
      </c>
      <c r="Y133" s="43">
        <f t="shared" si="498"/>
        <v>-165</v>
      </c>
      <c r="Z133" s="43">
        <f t="shared" si="498"/>
        <v>-165</v>
      </c>
      <c r="AA133" s="36">
        <v>-619</v>
      </c>
      <c r="AB133" s="36"/>
      <c r="AC133" s="43">
        <f>+AC173</f>
        <v>-165</v>
      </c>
      <c r="AD133" s="43">
        <f t="shared" si="499"/>
        <v>-162</v>
      </c>
      <c r="AE133" s="43">
        <f t="shared" si="499"/>
        <v>-188</v>
      </c>
      <c r="AF133" s="43">
        <f t="shared" si="499"/>
        <v>-188</v>
      </c>
      <c r="AG133" s="36">
        <v>-703</v>
      </c>
      <c r="AH133" s="43">
        <f>+AH173</f>
        <v>-188</v>
      </c>
      <c r="AI133" s="43">
        <f t="shared" si="500"/>
        <v>-187</v>
      </c>
      <c r="AJ133" s="43">
        <f t="shared" si="500"/>
        <v>-212</v>
      </c>
      <c r="AK133" s="43">
        <f t="shared" si="500"/>
        <v>-212</v>
      </c>
      <c r="AL133" s="15">
        <v>-799</v>
      </c>
      <c r="AM133" s="43">
        <f>+AM173</f>
        <v>-209</v>
      </c>
      <c r="AN133" s="43">
        <f t="shared" si="501"/>
        <v>-207</v>
      </c>
      <c r="AO133" s="43">
        <f t="shared" si="501"/>
        <v>-242</v>
      </c>
      <c r="AP133" s="43">
        <f t="shared" si="501"/>
        <v>-241</v>
      </c>
      <c r="AQ133" s="15">
        <v>-899</v>
      </c>
      <c r="AR133" s="43">
        <f>+AR173</f>
        <v>-240</v>
      </c>
      <c r="AS133" s="43">
        <f t="shared" si="502"/>
        <v>-239</v>
      </c>
      <c r="AT133" s="43">
        <f t="shared" si="502"/>
        <v>-273</v>
      </c>
      <c r="AU133" s="43">
        <f t="shared" si="502"/>
        <v>-270</v>
      </c>
      <c r="AV133" s="36">
        <v>-1022</v>
      </c>
      <c r="AW133" s="43">
        <f>+AW173</f>
        <v>-269</v>
      </c>
      <c r="AX133" s="43">
        <f t="shared" si="503"/>
        <v>-267</v>
      </c>
      <c r="AY133" s="43">
        <f t="shared" si="503"/>
        <v>-298</v>
      </c>
      <c r="AZ133" s="43">
        <f t="shared" si="503"/>
        <v>-299</v>
      </c>
      <c r="BA133" s="36">
        <v>-1133</v>
      </c>
      <c r="BB133" s="43">
        <f>+BB173</f>
        <v>-300</v>
      </c>
      <c r="BC133" s="43">
        <f t="shared" si="504"/>
        <v>-295</v>
      </c>
      <c r="BD133" s="43">
        <f t="shared" si="504"/>
        <v>-325</v>
      </c>
      <c r="BE133" s="43">
        <f t="shared" si="504"/>
        <v>-323</v>
      </c>
      <c r="BF133" s="15">
        <v>-1243</v>
      </c>
      <c r="BG133" s="43">
        <f>+BG173</f>
        <v>-320</v>
      </c>
      <c r="BH133" s="43">
        <f t="shared" si="505"/>
        <v>-318</v>
      </c>
      <c r="BI133" s="43">
        <f t="shared" si="505"/>
        <v>-348</v>
      </c>
      <c r="BJ133" s="43">
        <f t="shared" si="505"/>
        <v>-346</v>
      </c>
      <c r="BK133" s="15">
        <f>+BG133+BH133+BI133+BJ133</f>
        <v>-1332</v>
      </c>
      <c r="BL133" s="43">
        <f>+BL173</f>
        <v>-345</v>
      </c>
      <c r="BM133" s="43">
        <f t="shared" si="506"/>
        <v>-344</v>
      </c>
      <c r="BN133" s="43">
        <f t="shared" si="506"/>
        <v>-382</v>
      </c>
      <c r="BO133" s="43">
        <f t="shared" si="506"/>
        <v>-381</v>
      </c>
      <c r="BP133" s="15">
        <f>+BL133+BM133+BN133+BO133</f>
        <v>-1452</v>
      </c>
      <c r="BQ133" s="43">
        <f>+BQ173</f>
        <v>-384</v>
      </c>
      <c r="BR133" s="43">
        <f t="shared" si="507"/>
        <v>-385</v>
      </c>
      <c r="BS133" s="43">
        <f t="shared" si="507"/>
        <v>-434</v>
      </c>
      <c r="BT133" s="43">
        <f t="shared" si="507"/>
        <v>-435</v>
      </c>
      <c r="BU133" s="15">
        <f>+BQ133+BR133+BS133+BT133</f>
        <v>-1638</v>
      </c>
      <c r="BV133" s="43">
        <f>+BV173</f>
        <v>-435</v>
      </c>
      <c r="BW133" s="43">
        <f t="shared" si="508"/>
        <v>-438</v>
      </c>
      <c r="BX133" s="43">
        <f t="shared" si="508"/>
        <v>-483</v>
      </c>
      <c r="BY133" s="43">
        <f t="shared" si="508"/>
        <v>-481</v>
      </c>
      <c r="BZ133" s="15">
        <f>+BV133+BW133+BX133+BY133</f>
        <v>-1837</v>
      </c>
      <c r="CA133" s="43">
        <f>+CA173</f>
        <v>-480</v>
      </c>
      <c r="CB133" s="369">
        <f t="shared" si="509"/>
        <v>-480</v>
      </c>
      <c r="CC133" s="43">
        <f t="shared" si="509"/>
        <v>-528</v>
      </c>
      <c r="CD133" s="43">
        <f t="shared" si="509"/>
        <v>-524</v>
      </c>
      <c r="CE133" s="15">
        <f>+CA133+CB133+CC133+CD133</f>
        <v>-2012</v>
      </c>
      <c r="CF133" s="43">
        <f>+CF173</f>
        <v>-524</v>
      </c>
      <c r="CG133" s="369">
        <f t="shared" si="510"/>
        <v>-523</v>
      </c>
      <c r="CH133" s="43">
        <f t="shared" si="510"/>
        <v>-562</v>
      </c>
      <c r="CI133" s="43">
        <f t="shared" si="510"/>
        <v>-560</v>
      </c>
      <c r="CJ133" s="15">
        <f>+CF133+CG133+CH133+CI133</f>
        <v>-2169</v>
      </c>
      <c r="CK133" s="43">
        <f>+CK173</f>
        <v>-558</v>
      </c>
      <c r="CL133" s="369">
        <f t="shared" si="511"/>
        <v>-557</v>
      </c>
      <c r="CM133" s="43">
        <f t="shared" si="511"/>
        <v>-594</v>
      </c>
      <c r="CN133" s="43">
        <f t="shared" si="512"/>
        <v>-591</v>
      </c>
      <c r="CO133" s="15">
        <f>+CK133+CL133+CM133+CN133</f>
        <v>-2300</v>
      </c>
      <c r="CP133" s="43">
        <f>+CP173</f>
        <v>-591</v>
      </c>
      <c r="CQ133" s="369">
        <f t="shared" si="513"/>
        <v>-598</v>
      </c>
      <c r="CR133" s="43">
        <f>-'2. Consolidated'!CR89*'2. Consolidated'!CR343</f>
        <v>-607.005</v>
      </c>
      <c r="CS133" s="43">
        <f t="shared" si="514"/>
        <v>-609</v>
      </c>
      <c r="CT133" s="15">
        <f>+CP133+CQ133+CR133+CS133</f>
        <v>-2405.0050000000001</v>
      </c>
      <c r="CU133" s="374">
        <f>-'2. Consolidated'!CU89*'2. Consolidated'!CU343</f>
        <v>-608.27599999999995</v>
      </c>
      <c r="CV133" s="369">
        <f>-'2. Consolidated'!CV89*'2. Consolidated'!CV343</f>
        <v>-605.16</v>
      </c>
      <c r="CW133" s="369">
        <f>-'2. Consolidated'!CW89*'2. Consolidated'!CW343</f>
        <v>-617.26319999999998</v>
      </c>
      <c r="CX133" s="369">
        <f>-'2. Consolidated'!CX89*'2. Consolidated'!CX343</f>
        <v>-617.26319999999998</v>
      </c>
      <c r="CY133" s="15">
        <f>+CU133+CV133+CW133+CX133</f>
        <v>-2447.9623999999999</v>
      </c>
      <c r="CZ133" s="369">
        <f>-'2. Consolidated'!CZ89*'2. Consolidated'!CZ343</f>
        <v>-617.26319999999998</v>
      </c>
      <c r="DA133" s="369">
        <f>-'2. Consolidated'!DA89*'2. Consolidated'!DA343</f>
        <v>-653.57280000000003</v>
      </c>
      <c r="DB133" s="369">
        <f>-'2. Consolidated'!DB89*'2. Consolidated'!DB343</f>
        <v>-666.64425600000004</v>
      </c>
      <c r="DC133" s="369">
        <f>-'2. Consolidated'!DC89*'2. Consolidated'!DC343</f>
        <v>-666.64425600000004</v>
      </c>
      <c r="DD133" s="15">
        <f>+CZ133+DA133+DB133+DC133</f>
        <v>-2604.1245120000003</v>
      </c>
      <c r="DE133" s="369">
        <f>-'2. Consolidated'!DE89*'2. Consolidated'!DE343</f>
        <v>-665.5088765022083</v>
      </c>
      <c r="DF133" s="369">
        <f>-'2. Consolidated'!DF89*'2. Consolidated'!DF343</f>
        <v>-702.27569631146696</v>
      </c>
      <c r="DG133" s="369">
        <f>-'2. Consolidated'!DG89*'2. Consolidated'!DG343</f>
        <v>-713.94044907623686</v>
      </c>
      <c r="DH133" s="369">
        <f>-'2. Consolidated'!DH89*'2. Consolidated'!DH343</f>
        <v>-711.60636950617857</v>
      </c>
      <c r="DI133" s="15">
        <f>+DE133+DF133+DG133+DH133</f>
        <v>-2793.3313913960906</v>
      </c>
    </row>
    <row r="134" spans="1:113" s="7" customFormat="1" ht="12" customHeight="1">
      <c r="A134" s="239"/>
      <c r="B134" s="20" t="s">
        <v>26</v>
      </c>
      <c r="C134" s="43">
        <v>0</v>
      </c>
      <c r="D134" s="36">
        <v>43</v>
      </c>
      <c r="E134" s="43">
        <v>0</v>
      </c>
      <c r="F134" s="36">
        <v>0</v>
      </c>
      <c r="G134" s="43">
        <v>0</v>
      </c>
      <c r="H134" s="36">
        <v>0</v>
      </c>
      <c r="I134" s="43">
        <v>0</v>
      </c>
      <c r="J134" s="36">
        <v>0</v>
      </c>
      <c r="K134" s="39">
        <v>0</v>
      </c>
      <c r="L134" s="40">
        <v>0</v>
      </c>
      <c r="M134" s="39">
        <v>0</v>
      </c>
      <c r="N134" s="40">
        <v>55.8</v>
      </c>
      <c r="O134" s="40">
        <v>63</v>
      </c>
      <c r="P134" s="43">
        <v>25.1</v>
      </c>
      <c r="Q134" s="36">
        <v>58.5</v>
      </c>
      <c r="R134" s="43">
        <f>+R174</f>
        <v>6</v>
      </c>
      <c r="S134" s="43">
        <f t="shared" si="497"/>
        <v>34</v>
      </c>
      <c r="T134" s="43">
        <f t="shared" si="497"/>
        <v>14</v>
      </c>
      <c r="U134" s="43">
        <f t="shared" si="497"/>
        <v>10</v>
      </c>
      <c r="V134" s="36">
        <v>64</v>
      </c>
      <c r="W134" s="43">
        <f>+W174</f>
        <v>30</v>
      </c>
      <c r="X134" s="43">
        <f t="shared" si="498"/>
        <v>29</v>
      </c>
      <c r="Y134" s="43">
        <f t="shared" si="498"/>
        <v>26</v>
      </c>
      <c r="Z134" s="43">
        <f t="shared" si="498"/>
        <v>30</v>
      </c>
      <c r="AA134" s="36">
        <v>115</v>
      </c>
      <c r="AB134" s="36"/>
      <c r="AC134" s="43">
        <f>+AC174</f>
        <v>8</v>
      </c>
      <c r="AD134" s="43">
        <f t="shared" si="499"/>
        <v>6</v>
      </c>
      <c r="AE134" s="43">
        <f t="shared" si="499"/>
        <v>-14</v>
      </c>
      <c r="AF134" s="43">
        <f t="shared" si="499"/>
        <v>0</v>
      </c>
      <c r="AG134" s="36">
        <v>0</v>
      </c>
      <c r="AH134" s="43">
        <f>+AH174</f>
        <v>2</v>
      </c>
      <c r="AI134" s="43">
        <f t="shared" si="500"/>
        <v>3</v>
      </c>
      <c r="AJ134" s="43">
        <f t="shared" si="500"/>
        <v>-5</v>
      </c>
      <c r="AK134" s="43">
        <f t="shared" si="500"/>
        <v>-17</v>
      </c>
      <c r="AL134" s="15">
        <f>-17</f>
        <v>-17</v>
      </c>
      <c r="AM134" s="43">
        <f>+AM174</f>
        <v>0</v>
      </c>
      <c r="AN134" s="43">
        <f t="shared" si="501"/>
        <v>0</v>
      </c>
      <c r="AO134" s="43">
        <f t="shared" si="501"/>
        <v>0</v>
      </c>
      <c r="AP134" s="43">
        <f t="shared" si="501"/>
        <v>-19</v>
      </c>
      <c r="AQ134" s="15">
        <f>-19</f>
        <v>-19</v>
      </c>
      <c r="AR134" s="43">
        <f>+AR174</f>
        <v>203</v>
      </c>
      <c r="AS134" s="43">
        <f t="shared" si="502"/>
        <v>-203</v>
      </c>
      <c r="AT134" s="43">
        <f t="shared" si="502"/>
        <v>-5</v>
      </c>
      <c r="AU134" s="43">
        <f t="shared" si="502"/>
        <v>-2</v>
      </c>
      <c r="AV134" s="36">
        <v>-7</v>
      </c>
      <c r="AW134" s="43">
        <f>+AW174</f>
        <v>-2</v>
      </c>
      <c r="AX134" s="43">
        <f t="shared" si="503"/>
        <v>-4</v>
      </c>
      <c r="AY134" s="43">
        <f t="shared" si="503"/>
        <v>-8</v>
      </c>
      <c r="AZ134" s="43">
        <f t="shared" si="503"/>
        <v>14</v>
      </c>
      <c r="BA134" s="36">
        <v>0</v>
      </c>
      <c r="BB134" s="43">
        <f>+BB174</f>
        <v>-54</v>
      </c>
      <c r="BC134" s="43">
        <f t="shared" si="504"/>
        <v>1</v>
      </c>
      <c r="BD134" s="43">
        <f t="shared" si="504"/>
        <v>37</v>
      </c>
      <c r="BE134" s="43">
        <f t="shared" si="504"/>
        <v>-39</v>
      </c>
      <c r="BF134" s="36">
        <v>-55</v>
      </c>
      <c r="BG134" s="43">
        <f>+BG174</f>
        <v>-11</v>
      </c>
      <c r="BH134" s="43">
        <f t="shared" si="505"/>
        <v>0</v>
      </c>
      <c r="BI134" s="43">
        <f t="shared" si="505"/>
        <v>-6</v>
      </c>
      <c r="BJ134" s="43">
        <f t="shared" si="505"/>
        <v>-27</v>
      </c>
      <c r="BK134" s="36">
        <f>+BG134+BH134+BI134+BJ134</f>
        <v>-44</v>
      </c>
      <c r="BL134" s="43">
        <f>+BL174</f>
        <v>-18</v>
      </c>
      <c r="BM134" s="43">
        <f t="shared" si="506"/>
        <v>-14</v>
      </c>
      <c r="BN134" s="43">
        <f t="shared" si="506"/>
        <v>-20</v>
      </c>
      <c r="BO134" s="43">
        <f t="shared" si="506"/>
        <v>-6</v>
      </c>
      <c r="BP134" s="36">
        <f>+BL134+BM134+BN134+BO134</f>
        <v>-58</v>
      </c>
      <c r="BQ134" s="43">
        <f>+BQ174</f>
        <v>-53</v>
      </c>
      <c r="BR134" s="43">
        <f t="shared" si="507"/>
        <v>-41</v>
      </c>
      <c r="BS134" s="43">
        <f t="shared" si="507"/>
        <v>-37</v>
      </c>
      <c r="BT134" s="43">
        <f t="shared" si="507"/>
        <v>-202</v>
      </c>
      <c r="BU134" s="36">
        <f>+BQ134+BR134+BS134+BT134</f>
        <v>-333</v>
      </c>
      <c r="BV134" s="43">
        <f>+BV174</f>
        <v>-42</v>
      </c>
      <c r="BW134" s="43">
        <f t="shared" si="508"/>
        <v>-67</v>
      </c>
      <c r="BX134" s="43">
        <f t="shared" si="508"/>
        <v>-31</v>
      </c>
      <c r="BY134" s="43">
        <f t="shared" si="508"/>
        <v>-11</v>
      </c>
      <c r="BZ134" s="36">
        <f>+BV134+BW134+BX134+BY134</f>
        <v>-151</v>
      </c>
      <c r="CA134" s="43">
        <f>+CA174</f>
        <v>-22</v>
      </c>
      <c r="CB134" s="369">
        <f t="shared" si="509"/>
        <v>-46</v>
      </c>
      <c r="CC134" s="43">
        <f t="shared" si="509"/>
        <v>-26</v>
      </c>
      <c r="CD134" s="43">
        <f t="shared" si="509"/>
        <v>-8</v>
      </c>
      <c r="CE134" s="36">
        <f>+CA134+CB134+CC134+CD134</f>
        <v>-102</v>
      </c>
      <c r="CF134" s="43">
        <f>+CF174</f>
        <v>-41</v>
      </c>
      <c r="CG134" s="369">
        <f t="shared" si="510"/>
        <v>-59</v>
      </c>
      <c r="CH134" s="43">
        <f t="shared" si="510"/>
        <v>-22</v>
      </c>
      <c r="CI134" s="43">
        <f t="shared" si="510"/>
        <v>-14</v>
      </c>
      <c r="CJ134" s="36">
        <f>+CF134+CG134+CH134+CI134</f>
        <v>-136</v>
      </c>
      <c r="CK134" s="43">
        <f>+CK174</f>
        <v>-17</v>
      </c>
      <c r="CL134" s="369">
        <f t="shared" si="511"/>
        <v>-46</v>
      </c>
      <c r="CM134" s="43">
        <f t="shared" si="511"/>
        <v>-16</v>
      </c>
      <c r="CN134" s="43">
        <f t="shared" si="512"/>
        <v>-6</v>
      </c>
      <c r="CO134" s="36">
        <f>+CK134+CL134+CM134+CN134</f>
        <v>-85</v>
      </c>
      <c r="CP134" s="43">
        <f>+CP174</f>
        <v>-7</v>
      </c>
      <c r="CQ134" s="369">
        <f t="shared" si="513"/>
        <v>-65</v>
      </c>
      <c r="CR134" s="43">
        <v>0</v>
      </c>
      <c r="CS134" s="43">
        <f t="shared" si="514"/>
        <v>-12</v>
      </c>
      <c r="CT134" s="36">
        <f>+CP134+CQ134+CR134+CS134</f>
        <v>-84</v>
      </c>
      <c r="CU134" s="374">
        <v>0</v>
      </c>
      <c r="CV134" s="410">
        <v>0</v>
      </c>
      <c r="CW134" s="410">
        <v>0</v>
      </c>
      <c r="CX134" s="410">
        <v>0</v>
      </c>
      <c r="CY134" s="36">
        <f>+CU134+CV134+CW134+CX134</f>
        <v>0</v>
      </c>
      <c r="CZ134" s="410">
        <v>0</v>
      </c>
      <c r="DA134" s="410">
        <v>0</v>
      </c>
      <c r="DB134" s="410">
        <v>0</v>
      </c>
      <c r="DC134" s="410">
        <v>0</v>
      </c>
      <c r="DD134" s="36">
        <f>+CZ134+DA134+DB134+DC134</f>
        <v>0</v>
      </c>
      <c r="DE134" s="410">
        <v>0</v>
      </c>
      <c r="DF134" s="410">
        <v>0</v>
      </c>
      <c r="DG134" s="410">
        <v>0</v>
      </c>
      <c r="DH134" s="410">
        <v>0</v>
      </c>
      <c r="DI134" s="36">
        <f>+DE134+DF134+DG134+DH134</f>
        <v>0</v>
      </c>
    </row>
    <row r="135" spans="1:113" s="7" customFormat="1" ht="12" customHeight="1">
      <c r="A135" s="239"/>
      <c r="B135" s="20"/>
      <c r="C135" s="39"/>
      <c r="D135" s="40"/>
      <c r="E135" s="39"/>
      <c r="F135" s="40"/>
      <c r="G135" s="39"/>
      <c r="H135" s="40"/>
      <c r="I135" s="39"/>
      <c r="J135" s="40"/>
      <c r="K135" s="39"/>
      <c r="L135" s="40"/>
      <c r="M135" s="39"/>
      <c r="N135" s="40"/>
      <c r="O135" s="40"/>
      <c r="P135" s="39"/>
      <c r="Q135" s="40"/>
      <c r="R135" s="39"/>
      <c r="S135" s="39"/>
      <c r="T135" s="39"/>
      <c r="U135" s="39"/>
      <c r="V135" s="40"/>
      <c r="W135" s="39"/>
      <c r="X135" s="39"/>
      <c r="Y135" s="39"/>
      <c r="Z135" s="39"/>
      <c r="AA135" s="40"/>
      <c r="AB135" s="40"/>
      <c r="AC135" s="39"/>
      <c r="AD135" s="39"/>
      <c r="AE135" s="39"/>
      <c r="AF135" s="39"/>
      <c r="AG135" s="40"/>
      <c r="AH135" s="39"/>
      <c r="AI135" s="39"/>
      <c r="AJ135" s="39"/>
      <c r="AK135" s="39"/>
      <c r="AL135" s="267"/>
      <c r="AM135" s="39"/>
      <c r="AN135" s="39"/>
      <c r="AO135" s="39"/>
      <c r="AP135" s="39"/>
      <c r="AQ135" s="267"/>
      <c r="AR135" s="39"/>
      <c r="AS135" s="39"/>
      <c r="AT135" s="39"/>
      <c r="AU135" s="39"/>
      <c r="AV135" s="40"/>
      <c r="AW135" s="39"/>
      <c r="AX135" s="39"/>
      <c r="AY135" s="39"/>
      <c r="AZ135" s="39"/>
      <c r="BA135" s="40"/>
      <c r="BB135" s="39"/>
      <c r="BC135" s="39"/>
      <c r="BD135" s="39"/>
      <c r="BE135" s="39"/>
      <c r="BF135" s="40"/>
      <c r="BG135" s="39"/>
      <c r="BH135" s="39"/>
      <c r="BI135" s="39"/>
      <c r="BJ135" s="39"/>
      <c r="BK135" s="40"/>
      <c r="BL135" s="39"/>
      <c r="BM135" s="39"/>
      <c r="BN135" s="39"/>
      <c r="BO135" s="39"/>
      <c r="BP135" s="40"/>
      <c r="BQ135" s="39"/>
      <c r="BR135" s="39"/>
      <c r="BS135" s="39"/>
      <c r="BT135" s="39"/>
      <c r="BU135" s="40"/>
      <c r="BV135" s="39"/>
      <c r="BW135" s="39"/>
      <c r="BX135" s="39"/>
      <c r="BY135" s="39"/>
      <c r="BZ135" s="40"/>
      <c r="CA135" s="39"/>
      <c r="CB135" s="39"/>
      <c r="CC135" s="39"/>
      <c r="CD135" s="39"/>
      <c r="CE135" s="40"/>
      <c r="CF135" s="39"/>
      <c r="CG135" s="39"/>
      <c r="CH135" s="39"/>
      <c r="CI135" s="39"/>
      <c r="CJ135" s="40"/>
      <c r="CK135" s="39"/>
      <c r="CL135" s="39"/>
      <c r="CM135" s="39"/>
      <c r="CN135" s="39"/>
      <c r="CO135" s="40"/>
      <c r="CP135" s="39"/>
      <c r="CQ135" s="39"/>
      <c r="CR135" s="39"/>
      <c r="CS135" s="39"/>
      <c r="CT135" s="40"/>
      <c r="CU135" s="39"/>
      <c r="CV135" s="39"/>
      <c r="CW135" s="39"/>
      <c r="CX135" s="39"/>
      <c r="CY135" s="40"/>
      <c r="CZ135" s="39"/>
      <c r="DA135" s="39"/>
      <c r="DB135" s="39"/>
      <c r="DC135" s="39"/>
      <c r="DD135" s="40"/>
      <c r="DE135" s="39"/>
      <c r="DF135" s="39"/>
      <c r="DG135" s="39"/>
      <c r="DH135" s="39"/>
      <c r="DI135" s="40"/>
    </row>
    <row r="136" spans="1:113" s="117" customFormat="1" ht="12" customHeight="1">
      <c r="A136" s="239"/>
      <c r="B136" s="268" t="s">
        <v>33</v>
      </c>
      <c r="C136" s="48">
        <f t="shared" ref="C136:AA136" si="515">SUM(C130:C134)</f>
        <v>-53.800000000000004</v>
      </c>
      <c r="D136" s="266">
        <f t="shared" si="515"/>
        <v>356.6</v>
      </c>
      <c r="E136" s="48">
        <f t="shared" si="515"/>
        <v>-271.40000000000003</v>
      </c>
      <c r="F136" s="266">
        <f t="shared" si="515"/>
        <v>-444.1</v>
      </c>
      <c r="G136" s="48">
        <f t="shared" si="515"/>
        <v>-252.09999999999991</v>
      </c>
      <c r="H136" s="266">
        <f t="shared" si="515"/>
        <v>-349.9</v>
      </c>
      <c r="I136" s="48">
        <f t="shared" si="515"/>
        <v>-478.20000000000005</v>
      </c>
      <c r="J136" s="266">
        <f t="shared" si="515"/>
        <v>-605.20000000000005</v>
      </c>
      <c r="K136" s="48">
        <f t="shared" si="515"/>
        <v>-398.5</v>
      </c>
      <c r="L136" s="266">
        <f t="shared" si="515"/>
        <v>-657</v>
      </c>
      <c r="M136" s="48">
        <f t="shared" si="515"/>
        <v>-850.9</v>
      </c>
      <c r="N136" s="266">
        <f t="shared" si="515"/>
        <v>-1111.5</v>
      </c>
      <c r="O136" s="266">
        <f t="shared" si="515"/>
        <v>-1226.0999999999999</v>
      </c>
      <c r="P136" s="48">
        <f t="shared" si="515"/>
        <v>-733.9</v>
      </c>
      <c r="Q136" s="266">
        <f t="shared" si="515"/>
        <v>-1061.2</v>
      </c>
      <c r="R136" s="48">
        <f t="shared" si="515"/>
        <v>-600</v>
      </c>
      <c r="S136" s="48">
        <f t="shared" si="515"/>
        <v>-196</v>
      </c>
      <c r="T136" s="48">
        <f t="shared" si="515"/>
        <v>-542</v>
      </c>
      <c r="U136" s="48">
        <f t="shared" si="515"/>
        <v>-634</v>
      </c>
      <c r="V136" s="266">
        <f t="shared" si="515"/>
        <v>-1972</v>
      </c>
      <c r="W136" s="48">
        <f t="shared" si="515"/>
        <v>-744</v>
      </c>
      <c r="X136" s="48">
        <f t="shared" si="515"/>
        <v>-710</v>
      </c>
      <c r="Y136" s="48">
        <f t="shared" si="515"/>
        <v>-416</v>
      </c>
      <c r="Z136" s="48">
        <f t="shared" si="515"/>
        <v>-248</v>
      </c>
      <c r="AA136" s="266">
        <f t="shared" si="515"/>
        <v>-2118</v>
      </c>
      <c r="AB136" s="266"/>
      <c r="AC136" s="48">
        <f t="shared" ref="AC136:AP136" si="516">SUM(AC130:AC134)</f>
        <v>-907</v>
      </c>
      <c r="AD136" s="48">
        <f t="shared" si="516"/>
        <v>-524</v>
      </c>
      <c r="AE136" s="48">
        <f t="shared" si="516"/>
        <v>-352</v>
      </c>
      <c r="AF136" s="48">
        <f t="shared" si="516"/>
        <v>743</v>
      </c>
      <c r="AG136" s="269">
        <f t="shared" si="516"/>
        <v>-1040</v>
      </c>
      <c r="AH136" s="48">
        <f t="shared" si="516"/>
        <v>-596</v>
      </c>
      <c r="AI136" s="48">
        <f t="shared" si="516"/>
        <v>-389</v>
      </c>
      <c r="AJ136" s="48">
        <f t="shared" si="516"/>
        <v>-932</v>
      </c>
      <c r="AK136" s="48">
        <f t="shared" si="516"/>
        <v>-997</v>
      </c>
      <c r="AL136" s="269">
        <f t="shared" si="516"/>
        <v>-2914</v>
      </c>
      <c r="AM136" s="48">
        <f t="shared" si="516"/>
        <v>-882</v>
      </c>
      <c r="AN136" s="48">
        <f t="shared" si="516"/>
        <v>-422</v>
      </c>
      <c r="AO136" s="48">
        <f t="shared" si="516"/>
        <v>-791</v>
      </c>
      <c r="AP136" s="48">
        <f t="shared" si="516"/>
        <v>-695</v>
      </c>
      <c r="AQ136" s="269">
        <f>+SUM(AQ130:AQ135)</f>
        <v>-2790</v>
      </c>
      <c r="AR136" s="48">
        <f>SUM(AR130:AR134)</f>
        <v>-674</v>
      </c>
      <c r="AS136" s="48">
        <f>SUM(AS130:AS134)</f>
        <v>392</v>
      </c>
      <c r="AT136" s="48">
        <f>SUM(AT130:AT134)</f>
        <v>-1763</v>
      </c>
      <c r="AU136" s="48">
        <f>SUM(AU130:AU134)</f>
        <v>-626</v>
      </c>
      <c r="AV136" s="269">
        <f>+SUM(AV130:AV135)</f>
        <v>-2671</v>
      </c>
      <c r="AW136" s="48">
        <f>SUM(AW130:AW134)</f>
        <v>-1135</v>
      </c>
      <c r="AX136" s="48">
        <f>SUM(AX130:AX134)</f>
        <v>455</v>
      </c>
      <c r="AY136" s="48">
        <f>SUM(AY130:AY134)</f>
        <v>-670</v>
      </c>
      <c r="AZ136" s="48">
        <f>SUM(AZ130:AZ134)</f>
        <v>-592</v>
      </c>
      <c r="BA136" s="269">
        <f>+SUM(BA130:BA135)</f>
        <v>-1942</v>
      </c>
      <c r="BB136" s="48">
        <f>SUM(BB130:BB134)</f>
        <v>-998</v>
      </c>
      <c r="BC136" s="48">
        <f>SUM(BC130:BC134)</f>
        <v>-216</v>
      </c>
      <c r="BD136" s="48">
        <f>SUM(BD130:BD134)</f>
        <v>-2234</v>
      </c>
      <c r="BE136" s="48">
        <f>SUM(BE130:BE134)</f>
        <v>-1387</v>
      </c>
      <c r="BF136" s="266">
        <f>+SUM(BF130:BF135)</f>
        <v>-4835</v>
      </c>
      <c r="BG136" s="48">
        <f>SUM(BG130:BG134)</f>
        <v>-1832</v>
      </c>
      <c r="BH136" s="48">
        <f>SUM(BH130:BH134)</f>
        <v>-1458</v>
      </c>
      <c r="BI136" s="48">
        <f>SUM(BI130:BI134)</f>
        <v>-977</v>
      </c>
      <c r="BJ136" s="48">
        <f>SUM(BJ130:BJ134)</f>
        <v>-1026</v>
      </c>
      <c r="BK136" s="266">
        <f>+SUM(BK130:BK135)</f>
        <v>-5293</v>
      </c>
      <c r="BL136" s="48">
        <f>SUM(BL130:BL134)</f>
        <v>-1010</v>
      </c>
      <c r="BM136" s="48">
        <f>SUM(BM130:BM134)</f>
        <v>-858</v>
      </c>
      <c r="BN136" s="48">
        <f>SUM(BN130:BN134)</f>
        <v>-1442</v>
      </c>
      <c r="BO136" s="48">
        <f>SUM(BO130:BO134)</f>
        <v>5801</v>
      </c>
      <c r="BP136" s="266">
        <f>+SUM(BP130:BP135)</f>
        <v>2491</v>
      </c>
      <c r="BQ136" s="48">
        <f>SUM(BQ130:BQ134)</f>
        <v>-248</v>
      </c>
      <c r="BR136" s="48">
        <f>SUM(BR130:BR134)</f>
        <v>-44</v>
      </c>
      <c r="BS136" s="48">
        <f>SUM(BS130:BS134)</f>
        <v>-320</v>
      </c>
      <c r="BT136" s="48">
        <f>SUM(BT130:BT134)</f>
        <v>-847</v>
      </c>
      <c r="BU136" s="266">
        <f>+SUM(BU130:BU135)</f>
        <v>-1459</v>
      </c>
      <c r="BV136" s="48">
        <f>SUM(BV130:BV134)</f>
        <v>-743</v>
      </c>
      <c r="BW136" s="48">
        <f>SUM(BW130:BW134)</f>
        <v>-1103</v>
      </c>
      <c r="BX136" s="48">
        <f>SUM(BX130:BX134)</f>
        <v>-1610</v>
      </c>
      <c r="BY136" s="48">
        <f>SUM(BY130:BY134)</f>
        <v>-1380</v>
      </c>
      <c r="BZ136" s="266">
        <f>+SUM(BZ130:BZ135)</f>
        <v>-4836</v>
      </c>
      <c r="CA136" s="48">
        <f>SUM(CA130:CA134)</f>
        <v>-1404</v>
      </c>
      <c r="CB136" s="48">
        <f>SUM(CB130:CB134)</f>
        <v>-1917</v>
      </c>
      <c r="CC136" s="48">
        <f>SUM(CC130:CC134)</f>
        <v>-1945</v>
      </c>
      <c r="CD136" s="48">
        <f>SUM(CD130:CD134)</f>
        <v>-2181</v>
      </c>
      <c r="CE136" s="266">
        <f>+SUM(CE130:CE135)</f>
        <v>-7447</v>
      </c>
      <c r="CF136" s="48">
        <f>SUM(CF130:CF134)</f>
        <v>-1599</v>
      </c>
      <c r="CG136" s="48">
        <f>SUM(CG130:CG134)</f>
        <v>-1552</v>
      </c>
      <c r="CH136" s="48">
        <f>SUM(CH130:CH134)</f>
        <v>-1317</v>
      </c>
      <c r="CI136" s="48">
        <f>SUM(CI130:CI134)</f>
        <v>-1420</v>
      </c>
      <c r="CJ136" s="266">
        <f>+SUM(CJ130:CJ135)</f>
        <v>-5888</v>
      </c>
      <c r="CK136" s="48">
        <f>SUM(CK130:CK134)</f>
        <v>-1622</v>
      </c>
      <c r="CL136" s="48">
        <f>SUM(CL130:CL134)</f>
        <v>-1448</v>
      </c>
      <c r="CM136" s="48">
        <f>SUM(CM130:CM134)</f>
        <v>-1106</v>
      </c>
      <c r="CN136" s="48">
        <f>SUM(CN130:CN134)</f>
        <v>-1644</v>
      </c>
      <c r="CO136" s="266">
        <f>+SUM(CO130:CO135)</f>
        <v>-5820</v>
      </c>
      <c r="CP136" s="48">
        <f>SUM(CP130:CP134)</f>
        <v>-598</v>
      </c>
      <c r="CQ136" s="48">
        <f>SUM(CQ130:CQ134)</f>
        <v>-579</v>
      </c>
      <c r="CR136" s="48">
        <f>SUM(CR130:CR134)</f>
        <v>-507.005</v>
      </c>
      <c r="CS136" s="48">
        <f>SUM(CS130:CS134)</f>
        <v>-514</v>
      </c>
      <c r="CT136" s="266">
        <f>+SUM(CT130:CT135)</f>
        <v>-2198.0050000000001</v>
      </c>
      <c r="CU136" s="48">
        <f>SUM(CU130:CU134)</f>
        <v>-508.27599999999995</v>
      </c>
      <c r="CV136" s="48">
        <f>SUM(CV130:CV134)</f>
        <v>-505.15999999999997</v>
      </c>
      <c r="CW136" s="48">
        <f>SUM(CW130:CW134)</f>
        <v>-517.26319999999998</v>
      </c>
      <c r="CX136" s="48">
        <f>SUM(CX130:CX134)</f>
        <v>-517.26319999999998</v>
      </c>
      <c r="CY136" s="266">
        <f>+SUM(CY130:CY135)</f>
        <v>-2047.9623999999999</v>
      </c>
      <c r="CZ136" s="48">
        <f>SUM(CZ130:CZ134)</f>
        <v>-517.26319999999998</v>
      </c>
      <c r="DA136" s="48">
        <f>SUM(DA130:DA134)</f>
        <v>-553.57280000000003</v>
      </c>
      <c r="DB136" s="48">
        <f>SUM(DB130:DB134)</f>
        <v>-566.64425600000004</v>
      </c>
      <c r="DC136" s="48">
        <f>SUM(DC130:DC134)</f>
        <v>-566.64425600000004</v>
      </c>
      <c r="DD136" s="266">
        <f>+SUM(DD130:DD135)</f>
        <v>-2204.1245120000003</v>
      </c>
      <c r="DE136" s="48">
        <f>SUM(DE130:DE134)</f>
        <v>-815.5088765022083</v>
      </c>
      <c r="DF136" s="48">
        <f>SUM(DF130:DF134)</f>
        <v>-852.27569631146696</v>
      </c>
      <c r="DG136" s="48">
        <f>SUM(DG130:DG134)</f>
        <v>-863.94044907623686</v>
      </c>
      <c r="DH136" s="48">
        <f>SUM(DH130:DH134)</f>
        <v>-861.60636950617857</v>
      </c>
      <c r="DI136" s="266">
        <f>+SUM(DI130:DI135)</f>
        <v>-3393.3313913960906</v>
      </c>
    </row>
    <row r="137" spans="1:113" s="7" customFormat="1" ht="12" customHeight="1">
      <c r="A137" s="239"/>
      <c r="B137" s="20" t="s">
        <v>34</v>
      </c>
      <c r="C137" s="43">
        <v>-0.15199999999982772</v>
      </c>
      <c r="D137" s="36">
        <v>-0.25600000000089262</v>
      </c>
      <c r="E137" s="43">
        <v>12.121000000002686</v>
      </c>
      <c r="F137" s="36">
        <f>-10.9-0.0210000000029709</f>
        <v>-10.921000000002971</v>
      </c>
      <c r="G137" s="43">
        <v>-11.600000000000511</v>
      </c>
      <c r="H137" s="36">
        <v>85.4</v>
      </c>
      <c r="I137" s="43">
        <v>-29</v>
      </c>
      <c r="J137" s="36">
        <v>-38.1</v>
      </c>
      <c r="K137" s="39">
        <v>24.6</v>
      </c>
      <c r="L137" s="40">
        <v>6.8</v>
      </c>
      <c r="M137" s="39">
        <v>25.7</v>
      </c>
      <c r="N137" s="40">
        <v>42.4</v>
      </c>
      <c r="O137" s="40">
        <v>56.8</v>
      </c>
      <c r="P137" s="39">
        <v>-46.9</v>
      </c>
      <c r="Q137" s="40">
        <v>-47.6</v>
      </c>
      <c r="R137" s="43">
        <f>+R177</f>
        <v>3</v>
      </c>
      <c r="S137" s="43">
        <f>+S177-R177</f>
        <v>6</v>
      </c>
      <c r="T137" s="43">
        <f>+T177-S177</f>
        <v>14</v>
      </c>
      <c r="U137" s="43">
        <f>+U177-T177</f>
        <v>34</v>
      </c>
      <c r="V137" s="40">
        <v>57</v>
      </c>
      <c r="W137" s="43">
        <f>+W177</f>
        <v>-7</v>
      </c>
      <c r="X137" s="43">
        <f>+X177-W177</f>
        <v>6</v>
      </c>
      <c r="Y137" s="43">
        <f>+Y177-X177</f>
        <v>14</v>
      </c>
      <c r="Z137" s="43">
        <f>+Z177-Y177</f>
        <v>54</v>
      </c>
      <c r="AA137" s="40">
        <v>67</v>
      </c>
      <c r="AB137" s="40"/>
      <c r="AC137" s="43">
        <f>+AC177</f>
        <v>-1</v>
      </c>
      <c r="AD137" s="43">
        <f>+AD177-AC177</f>
        <v>1</v>
      </c>
      <c r="AE137" s="43">
        <f>+AE177-AD177</f>
        <v>45</v>
      </c>
      <c r="AF137" s="43">
        <f>+AF177-AE177</f>
        <v>55</v>
      </c>
      <c r="AG137" s="36">
        <v>100</v>
      </c>
      <c r="AH137" s="43">
        <f>+AH177</f>
        <v>-9</v>
      </c>
      <c r="AI137" s="43">
        <f>+AI177-AH177</f>
        <v>-5</v>
      </c>
      <c r="AJ137" s="43">
        <f>+AJ177-AI177</f>
        <v>4</v>
      </c>
      <c r="AK137" s="43">
        <f>+AK177-AJ177</f>
        <v>11</v>
      </c>
      <c r="AL137" s="15">
        <v>1</v>
      </c>
      <c r="AM137" s="43">
        <f>+AM177</f>
        <v>97</v>
      </c>
      <c r="AN137" s="43">
        <f>+AN177-AM177</f>
        <v>191</v>
      </c>
      <c r="AO137" s="43">
        <f>+AO177-AN177</f>
        <v>-354</v>
      </c>
      <c r="AP137" s="43">
        <f>+AP177-AO177</f>
        <v>-17</v>
      </c>
      <c r="AQ137" s="267">
        <v>-83</v>
      </c>
      <c r="AR137" s="43">
        <f>+AR177</f>
        <v>-38</v>
      </c>
      <c r="AS137" s="43">
        <f>+AS177-AR177</f>
        <v>-20</v>
      </c>
      <c r="AT137" s="43">
        <f>+AT177-AS177</f>
        <v>-73</v>
      </c>
      <c r="AU137" s="43">
        <f>+AU177-AT177</f>
        <v>26</v>
      </c>
      <c r="AV137" s="40">
        <v>-105</v>
      </c>
      <c r="AW137" s="43">
        <f>+AW177</f>
        <v>11</v>
      </c>
      <c r="AX137" s="43">
        <f>+AX177-AW177</f>
        <v>-50</v>
      </c>
      <c r="AY137" s="43">
        <f>+AY177-AX177</f>
        <v>9</v>
      </c>
      <c r="AZ137" s="43">
        <f>+AZ177-AY177</f>
        <v>10</v>
      </c>
      <c r="BA137" s="40">
        <v>-20</v>
      </c>
      <c r="BB137" s="43">
        <f>+BB177</f>
        <v>40</v>
      </c>
      <c r="BC137" s="43">
        <f>+BC177-BB177</f>
        <v>-2</v>
      </c>
      <c r="BD137" s="43">
        <f>+BD177-BC177</f>
        <v>53</v>
      </c>
      <c r="BE137" s="43">
        <f>+BE177-BD177</f>
        <v>-46</v>
      </c>
      <c r="BF137" s="36">
        <v>45</v>
      </c>
      <c r="BG137" s="43">
        <f>+BG177</f>
        <v>-103</v>
      </c>
      <c r="BH137" s="43">
        <f>+BH177-BG177</f>
        <v>-13</v>
      </c>
      <c r="BI137" s="43">
        <f>+BI177-BH177</f>
        <v>57</v>
      </c>
      <c r="BJ137" s="43">
        <f>+BJ177-BI177</f>
        <v>-70</v>
      </c>
      <c r="BK137" s="36">
        <f>+BG137+BH137+BI137+BJ137</f>
        <v>-129</v>
      </c>
      <c r="BL137" s="43">
        <f>+BL177</f>
        <v>-56</v>
      </c>
      <c r="BM137" s="43">
        <f>+BM177-BL177</f>
        <v>10</v>
      </c>
      <c r="BN137" s="43">
        <f>+BN177-BM177</f>
        <v>25</v>
      </c>
      <c r="BO137" s="43">
        <f>+BO177-BN177</f>
        <v>-45</v>
      </c>
      <c r="BP137" s="36">
        <f>+BL137+BM137+BN137+BO137</f>
        <v>-66</v>
      </c>
      <c r="BQ137" s="43">
        <f>+BQ177</f>
        <v>55</v>
      </c>
      <c r="BR137" s="43">
        <f>+BR177-BQ177</f>
        <v>46</v>
      </c>
      <c r="BS137" s="43">
        <f>+BS177-BR177</f>
        <v>21</v>
      </c>
      <c r="BT137" s="43">
        <f>+BT177-BS177</f>
        <v>21</v>
      </c>
      <c r="BU137" s="36">
        <f>+BQ137+BR137+BS137+BT137</f>
        <v>143</v>
      </c>
      <c r="BV137" s="43">
        <f>+BV177</f>
        <v>-38</v>
      </c>
      <c r="BW137" s="43">
        <f>+BW177-BV177</f>
        <v>-17</v>
      </c>
      <c r="BX137" s="43">
        <f>+BX177-BW177</f>
        <v>0</v>
      </c>
      <c r="BY137" s="43">
        <f>+BY177-BX177</f>
        <v>-88</v>
      </c>
      <c r="BZ137" s="36">
        <f>+BV137+BW137+BX137+BY137</f>
        <v>-143</v>
      </c>
      <c r="CA137" s="43">
        <f>+CA177</f>
        <v>-87</v>
      </c>
      <c r="CB137" s="369">
        <f>+CB177-CA177</f>
        <v>-11</v>
      </c>
      <c r="CC137" s="43">
        <f>+CC177-CB177</f>
        <v>20</v>
      </c>
      <c r="CD137" s="43">
        <f>+CD177-CC177</f>
        <v>-13</v>
      </c>
      <c r="CE137" s="36">
        <f>+CA137+CB137+CC137+CD137</f>
        <v>-91</v>
      </c>
      <c r="CF137" s="43">
        <f>+CF177</f>
        <v>-16</v>
      </c>
      <c r="CG137" s="369">
        <f>+CG177-CF177</f>
        <v>19</v>
      </c>
      <c r="CH137" s="43">
        <f>+CH177-CG177</f>
        <v>-10</v>
      </c>
      <c r="CI137" s="43">
        <f>+CI177-CH177</f>
        <v>-9</v>
      </c>
      <c r="CJ137" s="36">
        <f>+CF137+CG137+CH137+CI137</f>
        <v>-16</v>
      </c>
      <c r="CK137" s="43">
        <f>+CK177</f>
        <v>19</v>
      </c>
      <c r="CL137" s="369">
        <f>+CL177-CK177</f>
        <v>-33</v>
      </c>
      <c r="CM137" s="43">
        <f>+CM177-CL177</f>
        <v>-15</v>
      </c>
      <c r="CN137" s="43">
        <f>+CN177-CM177</f>
        <v>30</v>
      </c>
      <c r="CO137" s="36">
        <f>+CK137+CL137+CM137+CN137</f>
        <v>1</v>
      </c>
      <c r="CP137" s="43">
        <f>+CP177</f>
        <v>-5</v>
      </c>
      <c r="CQ137" s="369">
        <f>+CQ177-CP177</f>
        <v>-1</v>
      </c>
      <c r="CR137" s="43">
        <v>0</v>
      </c>
      <c r="CS137" s="43">
        <f>+CS177-CR177</f>
        <v>-8</v>
      </c>
      <c r="CT137" s="36">
        <f>+CP137+CQ137+CR137+CS137</f>
        <v>-14</v>
      </c>
      <c r="CU137" s="374">
        <v>0</v>
      </c>
      <c r="CV137" s="410">
        <v>0</v>
      </c>
      <c r="CW137" s="410">
        <v>0</v>
      </c>
      <c r="CX137" s="410">
        <v>0</v>
      </c>
      <c r="CY137" s="36">
        <f>+CU137+CV137+CW137+CX137</f>
        <v>0</v>
      </c>
      <c r="CZ137" s="410">
        <v>0</v>
      </c>
      <c r="DA137" s="410">
        <v>0</v>
      </c>
      <c r="DB137" s="410">
        <v>0</v>
      </c>
      <c r="DC137" s="410">
        <v>0</v>
      </c>
      <c r="DD137" s="36">
        <f>+CZ137+DA137+DB137+DC137</f>
        <v>0</v>
      </c>
      <c r="DE137" s="410">
        <v>0</v>
      </c>
      <c r="DF137" s="410">
        <v>0</v>
      </c>
      <c r="DG137" s="410">
        <v>0</v>
      </c>
      <c r="DH137" s="410">
        <v>0</v>
      </c>
      <c r="DI137" s="36">
        <f>+DE137+DF137+DG137+DH137</f>
        <v>0</v>
      </c>
    </row>
    <row r="138" spans="1:113" s="117" customFormat="1" ht="12" customHeight="1">
      <c r="A138" s="239"/>
      <c r="B138" s="268" t="s">
        <v>35</v>
      </c>
      <c r="C138" s="48">
        <f t="shared" ref="C138:AA138" si="517">C122+C128+C136+C137</f>
        <v>46.017000000000046</v>
      </c>
      <c r="D138" s="266">
        <f t="shared" si="517"/>
        <v>183.30399999999997</v>
      </c>
      <c r="E138" s="48">
        <f t="shared" si="517"/>
        <v>-336.77899999999846</v>
      </c>
      <c r="F138" s="266">
        <f t="shared" si="517"/>
        <v>89.478999999998479</v>
      </c>
      <c r="G138" s="48">
        <f t="shared" si="517"/>
        <v>56.20000000000001</v>
      </c>
      <c r="H138" s="266">
        <f t="shared" si="517"/>
        <v>49.699999999999903</v>
      </c>
      <c r="I138" s="48">
        <f t="shared" si="517"/>
        <v>271.5</v>
      </c>
      <c r="J138" s="266">
        <f t="shared" si="517"/>
        <v>58.499999999999908</v>
      </c>
      <c r="K138" s="48">
        <f t="shared" si="517"/>
        <v>194.0000000000002</v>
      </c>
      <c r="L138" s="266">
        <f t="shared" si="517"/>
        <v>560.09999999999877</v>
      </c>
      <c r="M138" s="48">
        <f t="shared" si="517"/>
        <v>-433.89999999999958</v>
      </c>
      <c r="N138" s="266">
        <f t="shared" si="517"/>
        <v>902.50000000000034</v>
      </c>
      <c r="O138" s="266">
        <f t="shared" si="517"/>
        <v>277.20000000000033</v>
      </c>
      <c r="P138" s="48">
        <f t="shared" si="517"/>
        <v>157.19999999999854</v>
      </c>
      <c r="Q138" s="266">
        <f t="shared" si="517"/>
        <v>787.90000000000089</v>
      </c>
      <c r="R138" s="48">
        <f t="shared" si="517"/>
        <v>-1069.0000000000002</v>
      </c>
      <c r="S138" s="48">
        <f t="shared" si="517"/>
        <v>-241.99999999999977</v>
      </c>
      <c r="T138" s="48">
        <f t="shared" si="517"/>
        <v>364</v>
      </c>
      <c r="U138" s="48">
        <f t="shared" si="517"/>
        <v>-177</v>
      </c>
      <c r="V138" s="266">
        <f t="shared" si="517"/>
        <v>-1124</v>
      </c>
      <c r="W138" s="48">
        <f t="shared" si="517"/>
        <v>-347</v>
      </c>
      <c r="X138" s="48">
        <f t="shared" si="517"/>
        <v>321</v>
      </c>
      <c r="Y138" s="48">
        <f t="shared" si="517"/>
        <v>92</v>
      </c>
      <c r="Z138" s="48">
        <f t="shared" si="517"/>
        <v>296</v>
      </c>
      <c r="AA138" s="266">
        <f t="shared" si="517"/>
        <v>362</v>
      </c>
      <c r="AB138" s="266"/>
      <c r="AC138" s="48">
        <f t="shared" ref="AC138:BH138" si="518">AC122+AC128+AC136+AC137</f>
        <v>-152</v>
      </c>
      <c r="AD138" s="48">
        <f t="shared" si="518"/>
        <v>126</v>
      </c>
      <c r="AE138" s="48">
        <f t="shared" si="518"/>
        <v>266</v>
      </c>
      <c r="AF138" s="48">
        <f t="shared" si="518"/>
        <v>780</v>
      </c>
      <c r="AG138" s="269">
        <f t="shared" si="518"/>
        <v>1020</v>
      </c>
      <c r="AH138" s="48">
        <f t="shared" si="518"/>
        <v>-401</v>
      </c>
      <c r="AI138" s="48">
        <f t="shared" si="518"/>
        <v>-850</v>
      </c>
      <c r="AJ138" s="48">
        <f t="shared" si="518"/>
        <v>-222</v>
      </c>
      <c r="AK138" s="48">
        <f t="shared" si="518"/>
        <v>356</v>
      </c>
      <c r="AL138" s="269">
        <f t="shared" si="518"/>
        <v>-1117</v>
      </c>
      <c r="AM138" s="48">
        <f t="shared" si="518"/>
        <v>83</v>
      </c>
      <c r="AN138" s="48">
        <f t="shared" si="518"/>
        <v>-30</v>
      </c>
      <c r="AO138" s="48">
        <f t="shared" si="518"/>
        <v>742</v>
      </c>
      <c r="AP138" s="48">
        <f t="shared" si="518"/>
        <v>837</v>
      </c>
      <c r="AQ138" s="269">
        <f t="shared" si="518"/>
        <v>1632</v>
      </c>
      <c r="AR138" s="48">
        <f t="shared" si="518"/>
        <v>-606</v>
      </c>
      <c r="AS138" s="48">
        <f t="shared" si="518"/>
        <v>605</v>
      </c>
      <c r="AT138" s="48">
        <f t="shared" si="518"/>
        <v>-807</v>
      </c>
      <c r="AU138" s="48">
        <f t="shared" si="518"/>
        <v>94</v>
      </c>
      <c r="AV138" s="269">
        <f t="shared" si="518"/>
        <v>-714</v>
      </c>
      <c r="AW138" s="48">
        <f t="shared" si="518"/>
        <v>-479</v>
      </c>
      <c r="AX138" s="48">
        <f t="shared" si="518"/>
        <v>1680</v>
      </c>
      <c r="AY138" s="48">
        <f t="shared" si="518"/>
        <v>-318</v>
      </c>
      <c r="AZ138" s="48">
        <f t="shared" si="518"/>
        <v>-213</v>
      </c>
      <c r="BA138" s="269">
        <f t="shared" si="518"/>
        <v>670</v>
      </c>
      <c r="BB138" s="48">
        <f t="shared" si="518"/>
        <v>-395</v>
      </c>
      <c r="BC138" s="48">
        <f t="shared" si="518"/>
        <v>891</v>
      </c>
      <c r="BD138" s="48">
        <f t="shared" si="518"/>
        <v>-642</v>
      </c>
      <c r="BE138" s="48">
        <f t="shared" si="518"/>
        <v>587</v>
      </c>
      <c r="BF138" s="266">
        <f t="shared" si="518"/>
        <v>441</v>
      </c>
      <c r="BG138" s="48">
        <f t="shared" si="518"/>
        <v>-967</v>
      </c>
      <c r="BH138" s="48">
        <f t="shared" si="518"/>
        <v>141</v>
      </c>
      <c r="BI138" s="48">
        <f t="shared" ref="BI138:CN138" si="519">BI122+BI128+BI136+BI137</f>
        <v>272</v>
      </c>
      <c r="BJ138" s="48">
        <f t="shared" si="519"/>
        <v>771</v>
      </c>
      <c r="BK138" s="266">
        <f t="shared" si="519"/>
        <v>217</v>
      </c>
      <c r="BL138" s="48">
        <f t="shared" si="519"/>
        <v>-1020</v>
      </c>
      <c r="BM138" s="48">
        <f t="shared" si="519"/>
        <v>-376</v>
      </c>
      <c r="BN138" s="48">
        <f t="shared" si="519"/>
        <v>-207</v>
      </c>
      <c r="BO138" s="48">
        <f t="shared" si="519"/>
        <v>5485</v>
      </c>
      <c r="BP138" s="266">
        <f t="shared" si="519"/>
        <v>3882</v>
      </c>
      <c r="BQ138" s="48">
        <f t="shared" si="519"/>
        <v>-200</v>
      </c>
      <c r="BR138" s="48">
        <f t="shared" si="519"/>
        <v>487</v>
      </c>
      <c r="BS138" s="48">
        <f t="shared" si="519"/>
        <v>-119</v>
      </c>
      <c r="BT138" s="48">
        <f t="shared" si="519"/>
        <v>1373</v>
      </c>
      <c r="BU138" s="266">
        <f t="shared" si="519"/>
        <v>1541</v>
      </c>
      <c r="BV138" s="48">
        <f t="shared" si="519"/>
        <v>831</v>
      </c>
      <c r="BW138" s="48">
        <f t="shared" si="519"/>
        <v>31</v>
      </c>
      <c r="BX138" s="48">
        <f t="shared" si="519"/>
        <v>-2047</v>
      </c>
      <c r="BY138" s="48">
        <f t="shared" si="519"/>
        <v>-130</v>
      </c>
      <c r="BZ138" s="266">
        <f t="shared" si="519"/>
        <v>-1315</v>
      </c>
      <c r="CA138" s="48">
        <f t="shared" si="519"/>
        <v>-1348</v>
      </c>
      <c r="CB138" s="48">
        <f t="shared" si="519"/>
        <v>-736</v>
      </c>
      <c r="CC138" s="48">
        <f t="shared" si="519"/>
        <v>465</v>
      </c>
      <c r="CD138" s="48">
        <f t="shared" si="519"/>
        <v>486</v>
      </c>
      <c r="CE138" s="266">
        <f t="shared" si="519"/>
        <v>-1133</v>
      </c>
      <c r="CF138" s="48">
        <f t="shared" si="519"/>
        <v>-1263</v>
      </c>
      <c r="CG138" s="48">
        <f t="shared" si="519"/>
        <v>1741</v>
      </c>
      <c r="CH138" s="48">
        <f t="shared" si="519"/>
        <v>1041</v>
      </c>
      <c r="CI138" s="48">
        <f t="shared" si="519"/>
        <v>900</v>
      </c>
      <c r="CJ138" s="266">
        <f t="shared" si="519"/>
        <v>2419</v>
      </c>
      <c r="CK138" s="48">
        <f t="shared" si="519"/>
        <v>-1375</v>
      </c>
      <c r="CL138" s="48">
        <f t="shared" si="519"/>
        <v>-506</v>
      </c>
      <c r="CM138" s="48">
        <f t="shared" si="519"/>
        <v>622</v>
      </c>
      <c r="CN138" s="48">
        <f t="shared" si="519"/>
        <v>-1137</v>
      </c>
      <c r="CO138" s="266">
        <f t="shared" ref="CO138:DD138" si="520">CO122+CO128+CO136+CO137</f>
        <v>-2396</v>
      </c>
      <c r="CP138" s="48">
        <f t="shared" si="520"/>
        <v>-440</v>
      </c>
      <c r="CQ138" s="48">
        <f t="shared" si="520"/>
        <v>-50</v>
      </c>
      <c r="CR138" s="48">
        <f t="shared" si="520"/>
        <v>-313.99999999999989</v>
      </c>
      <c r="CS138" s="48">
        <f t="shared" si="520"/>
        <v>903</v>
      </c>
      <c r="CT138" s="266">
        <f t="shared" si="520"/>
        <v>99</v>
      </c>
      <c r="CU138" s="48">
        <f t="shared" si="520"/>
        <v>-660.00000000000011</v>
      </c>
      <c r="CV138" s="48">
        <f t="shared" si="520"/>
        <v>320.16737901871636</v>
      </c>
      <c r="CW138" s="48">
        <f t="shared" si="520"/>
        <v>110.74922106573342</v>
      </c>
      <c r="CX138" s="48">
        <f t="shared" si="520"/>
        <v>-170.71110892355625</v>
      </c>
      <c r="CY138" s="266">
        <f t="shared" si="520"/>
        <v>-399.79450883910658</v>
      </c>
      <c r="CZ138" s="48">
        <f t="shared" si="520"/>
        <v>431.38506482662149</v>
      </c>
      <c r="DA138" s="48">
        <f t="shared" si="520"/>
        <v>39.816027124260131</v>
      </c>
      <c r="DB138" s="48">
        <f t="shared" si="520"/>
        <v>-52.967844110218039</v>
      </c>
      <c r="DC138" s="48">
        <f t="shared" si="520"/>
        <v>-194.36631736576544</v>
      </c>
      <c r="DD138" s="266">
        <f t="shared" si="520"/>
        <v>223.86693047489825</v>
      </c>
      <c r="DE138" s="48">
        <f t="shared" ref="DE138:DI138" si="521">DE122+DE128+DE136+DE137</f>
        <v>12.911886207345106</v>
      </c>
      <c r="DF138" s="48">
        <f t="shared" si="521"/>
        <v>-310.97784643307966</v>
      </c>
      <c r="DG138" s="48">
        <f t="shared" si="521"/>
        <v>-360.68302951014107</v>
      </c>
      <c r="DH138" s="48">
        <f t="shared" si="521"/>
        <v>-506.36242734336213</v>
      </c>
      <c r="DI138" s="266">
        <f t="shared" si="521"/>
        <v>-1165.1114170792375</v>
      </c>
    </row>
    <row r="139" spans="1:113" s="7" customFormat="1" ht="12" customHeight="1">
      <c r="A139" s="239"/>
      <c r="B139" s="20"/>
      <c r="C139" s="43"/>
      <c r="D139" s="36"/>
      <c r="E139" s="43"/>
      <c r="F139" s="36"/>
      <c r="G139" s="43"/>
      <c r="H139" s="36"/>
      <c r="I139" s="43"/>
      <c r="J139" s="36"/>
      <c r="K139" s="39"/>
      <c r="L139" s="40"/>
      <c r="M139" s="39"/>
      <c r="N139" s="40"/>
      <c r="O139" s="40"/>
      <c r="P139" s="39"/>
      <c r="Q139" s="40"/>
      <c r="R139" s="39"/>
      <c r="S139" s="39"/>
      <c r="T139" s="39"/>
      <c r="U139" s="39"/>
      <c r="V139" s="40"/>
      <c r="W139" s="39"/>
      <c r="X139" s="39"/>
      <c r="Y139" s="39"/>
      <c r="Z139" s="39"/>
      <c r="AA139" s="40"/>
      <c r="AB139" s="40"/>
      <c r="AC139" s="39"/>
      <c r="AD139" s="39"/>
      <c r="AE139" s="39"/>
      <c r="AF139" s="39"/>
      <c r="AG139" s="36"/>
      <c r="AH139" s="39"/>
      <c r="AI139" s="39"/>
      <c r="AJ139" s="39"/>
      <c r="AK139" s="39"/>
      <c r="AL139" s="36"/>
      <c r="AM139" s="39"/>
      <c r="AN139" s="39"/>
      <c r="AO139" s="39"/>
      <c r="AP139" s="39"/>
      <c r="AQ139" s="267"/>
      <c r="AR139" s="39"/>
      <c r="AS139" s="39"/>
      <c r="AT139" s="39"/>
      <c r="AU139" s="39"/>
      <c r="AV139" s="40"/>
      <c r="AW139" s="39"/>
      <c r="AX139" s="39"/>
      <c r="AY139" s="39"/>
      <c r="AZ139" s="39"/>
      <c r="BA139" s="40"/>
      <c r="BB139" s="39"/>
      <c r="BC139" s="39"/>
      <c r="BD139" s="39"/>
      <c r="BE139" s="39"/>
      <c r="BF139" s="40"/>
      <c r="BG139" s="43"/>
      <c r="BH139" s="39"/>
      <c r="BI139" s="39"/>
      <c r="BJ139" s="39"/>
      <c r="BK139" s="40"/>
      <c r="BL139" s="43"/>
      <c r="BM139" s="39"/>
      <c r="BN139" s="39"/>
      <c r="BO139" s="39"/>
      <c r="BP139" s="40"/>
      <c r="BQ139" s="43"/>
      <c r="BR139" s="39"/>
      <c r="BS139" s="39"/>
      <c r="BT139" s="39"/>
      <c r="BU139" s="40"/>
      <c r="BV139" s="43"/>
      <c r="BW139" s="39"/>
      <c r="BX139" s="39"/>
      <c r="BY139" s="39"/>
      <c r="BZ139" s="40"/>
      <c r="CA139" s="43"/>
      <c r="CB139" s="39"/>
      <c r="CC139" s="39"/>
      <c r="CD139" s="39"/>
      <c r="CE139" s="40"/>
      <c r="CF139" s="43"/>
      <c r="CG139" s="39"/>
      <c r="CH139" s="39"/>
      <c r="CI139" s="39"/>
      <c r="CJ139" s="40"/>
      <c r="CK139" s="43"/>
      <c r="CL139" s="39"/>
      <c r="CM139" s="39"/>
      <c r="CN139" s="39"/>
      <c r="CO139" s="40"/>
      <c r="CP139" s="43"/>
      <c r="CQ139" s="39"/>
      <c r="CR139" s="39"/>
      <c r="CS139" s="39"/>
      <c r="CT139" s="40"/>
      <c r="CU139" s="43"/>
      <c r="CV139" s="39"/>
      <c r="CW139" s="39"/>
      <c r="CX139" s="39"/>
      <c r="CY139" s="40"/>
      <c r="CZ139" s="43"/>
      <c r="DA139" s="39"/>
      <c r="DB139" s="39"/>
      <c r="DC139" s="39"/>
      <c r="DD139" s="40"/>
      <c r="DE139" s="43"/>
      <c r="DF139" s="39"/>
      <c r="DG139" s="39"/>
      <c r="DH139" s="39"/>
      <c r="DI139" s="40"/>
    </row>
    <row r="140" spans="1:113" s="7" customFormat="1" ht="12" customHeight="1">
      <c r="A140" s="239"/>
      <c r="B140" s="20" t="s">
        <v>36</v>
      </c>
      <c r="C140" s="43">
        <v>216.1</v>
      </c>
      <c r="D140" s="36">
        <f>C141</f>
        <v>262.11700000000002</v>
      </c>
      <c r="E140" s="43">
        <v>445.4</v>
      </c>
      <c r="F140" s="36">
        <f>E141</f>
        <v>108.62100000000152</v>
      </c>
      <c r="G140" s="43">
        <f>F141</f>
        <v>198.1</v>
      </c>
      <c r="H140" s="36">
        <v>254.3</v>
      </c>
      <c r="I140" s="43">
        <f>H141</f>
        <v>303.99999999999989</v>
      </c>
      <c r="J140" s="36">
        <f>I141</f>
        <v>575.49999999999989</v>
      </c>
      <c r="K140" s="43">
        <v>634</v>
      </c>
      <c r="L140" s="36">
        <f>K141</f>
        <v>828.00000000000023</v>
      </c>
      <c r="M140" s="43">
        <f>L141</f>
        <v>1388.099999999999</v>
      </c>
      <c r="N140" s="36">
        <v>954.2</v>
      </c>
      <c r="O140" s="36">
        <f>N141</f>
        <v>1856.7000000000003</v>
      </c>
      <c r="P140" s="43">
        <f>O141</f>
        <v>2133.9000000000005</v>
      </c>
      <c r="Q140" s="36">
        <f>P141</f>
        <v>2291.099999999999</v>
      </c>
      <c r="R140" s="43">
        <f>+Q141</f>
        <v>3079</v>
      </c>
      <c r="S140" s="43">
        <f>+R141</f>
        <v>2009.9999999999998</v>
      </c>
      <c r="T140" s="43">
        <f>+S141</f>
        <v>1768</v>
      </c>
      <c r="U140" s="43">
        <f>+T141</f>
        <v>2132</v>
      </c>
      <c r="V140" s="36">
        <f>Q141</f>
        <v>3079</v>
      </c>
      <c r="W140" s="43">
        <f>+V141</f>
        <v>1955</v>
      </c>
      <c r="X140" s="43">
        <f>+W141</f>
        <v>1608</v>
      </c>
      <c r="Y140" s="43">
        <f>+X141</f>
        <v>1929</v>
      </c>
      <c r="Z140" s="43">
        <f>+Y141</f>
        <v>2021</v>
      </c>
      <c r="AA140" s="36">
        <f>V141</f>
        <v>1955</v>
      </c>
      <c r="AB140" s="36"/>
      <c r="AC140" s="43">
        <f>+AB141</f>
        <v>2317</v>
      </c>
      <c r="AD140" s="43">
        <f>+AC141</f>
        <v>2165</v>
      </c>
      <c r="AE140" s="43">
        <f>+AD141</f>
        <v>2291</v>
      </c>
      <c r="AF140" s="43">
        <f>+AE141</f>
        <v>2557</v>
      </c>
      <c r="AG140" s="36">
        <f>+AA141</f>
        <v>2317</v>
      </c>
      <c r="AH140" s="43">
        <f>+AG141</f>
        <v>3337</v>
      </c>
      <c r="AI140" s="43">
        <f>+AH141</f>
        <v>2936</v>
      </c>
      <c r="AJ140" s="43">
        <f>+AI141</f>
        <v>2086</v>
      </c>
      <c r="AK140" s="43">
        <f>+AJ141</f>
        <v>1864</v>
      </c>
      <c r="AL140" s="36">
        <f>AG141</f>
        <v>3337</v>
      </c>
      <c r="AM140" s="43">
        <f>+AL141</f>
        <v>2220</v>
      </c>
      <c r="AN140" s="43">
        <f>+AM141</f>
        <v>2303</v>
      </c>
      <c r="AO140" s="43">
        <f>+AN141</f>
        <v>2273</v>
      </c>
      <c r="AP140" s="43">
        <f>+AO141</f>
        <v>3015</v>
      </c>
      <c r="AQ140" s="15">
        <f>AL141</f>
        <v>2220</v>
      </c>
      <c r="AR140" s="43">
        <f>+AQ141</f>
        <v>3852</v>
      </c>
      <c r="AS140" s="43">
        <f>+AR141</f>
        <v>3246</v>
      </c>
      <c r="AT140" s="43">
        <f>+AS141</f>
        <v>3851</v>
      </c>
      <c r="AU140" s="43">
        <f>+AT141</f>
        <v>3044</v>
      </c>
      <c r="AV140" s="36">
        <f>AQ141</f>
        <v>3852</v>
      </c>
      <c r="AW140" s="43">
        <f>+AV141</f>
        <v>3138</v>
      </c>
      <c r="AX140" s="43">
        <f>+AW141</f>
        <v>2659</v>
      </c>
      <c r="AY140" s="43">
        <f>+AX141</f>
        <v>4339</v>
      </c>
      <c r="AZ140" s="43">
        <f>+AY141</f>
        <v>4021</v>
      </c>
      <c r="BA140" s="36">
        <f>AV141</f>
        <v>3138</v>
      </c>
      <c r="BB140" s="43">
        <f>+BA141</f>
        <v>3808</v>
      </c>
      <c r="BC140" s="43">
        <f>+BB141</f>
        <v>3413</v>
      </c>
      <c r="BD140" s="43">
        <f>+BC141</f>
        <v>4304</v>
      </c>
      <c r="BE140" s="43">
        <f>+BD141</f>
        <v>3662</v>
      </c>
      <c r="BF140" s="36">
        <f>BA141</f>
        <v>3808</v>
      </c>
      <c r="BG140" s="43">
        <f>+BE141</f>
        <v>4249</v>
      </c>
      <c r="BH140" s="43">
        <f>+BG141</f>
        <v>3282</v>
      </c>
      <c r="BI140" s="43">
        <f>+BH141</f>
        <v>3423</v>
      </c>
      <c r="BJ140" s="43">
        <f>+BI141</f>
        <v>3695</v>
      </c>
      <c r="BK140" s="36">
        <f>BF141</f>
        <v>4249</v>
      </c>
      <c r="BL140" s="43">
        <f>+BJ141</f>
        <v>4466</v>
      </c>
      <c r="BM140" s="43">
        <f>+BL141</f>
        <v>3446</v>
      </c>
      <c r="BN140" s="43">
        <f>+BM141</f>
        <v>3070</v>
      </c>
      <c r="BO140" s="43">
        <f>+BN141</f>
        <v>2863</v>
      </c>
      <c r="BP140" s="36">
        <f>BK141</f>
        <v>4466</v>
      </c>
      <c r="BQ140" s="43">
        <f>+BO141</f>
        <v>8348</v>
      </c>
      <c r="BR140" s="43">
        <f>+BQ141</f>
        <v>8148</v>
      </c>
      <c r="BS140" s="43">
        <f>+BR141</f>
        <v>8635</v>
      </c>
      <c r="BT140" s="43">
        <f>+BS141</f>
        <v>8516</v>
      </c>
      <c r="BU140" s="36">
        <f>BP141</f>
        <v>8348</v>
      </c>
      <c r="BV140" s="43">
        <f>+BT141</f>
        <v>9889</v>
      </c>
      <c r="BW140" s="43">
        <f>+BV141</f>
        <v>10720</v>
      </c>
      <c r="BX140" s="43">
        <f>+BW141</f>
        <v>10751</v>
      </c>
      <c r="BY140" s="43">
        <f>+BX141</f>
        <v>8704</v>
      </c>
      <c r="BZ140" s="36">
        <f>BU141</f>
        <v>9889</v>
      </c>
      <c r="CA140" s="43">
        <f>+BY141</f>
        <v>8574</v>
      </c>
      <c r="CB140" s="43">
        <f>+CA141</f>
        <v>7226</v>
      </c>
      <c r="CC140" s="43">
        <f>+CB141</f>
        <v>6490</v>
      </c>
      <c r="CD140" s="43">
        <f>+CC141</f>
        <v>6955</v>
      </c>
      <c r="CE140" s="36">
        <f>BZ141</f>
        <v>8574</v>
      </c>
      <c r="CF140" s="43">
        <f>+CD141</f>
        <v>7441</v>
      </c>
      <c r="CG140" s="43">
        <f>+CF141</f>
        <v>6178</v>
      </c>
      <c r="CH140" s="43">
        <f>+CG141</f>
        <v>7919</v>
      </c>
      <c r="CI140" s="43">
        <f>+CH141</f>
        <v>8960</v>
      </c>
      <c r="CJ140" s="36">
        <f>CE141</f>
        <v>7441</v>
      </c>
      <c r="CK140" s="43">
        <f>+CI141</f>
        <v>9860</v>
      </c>
      <c r="CL140" s="43">
        <f>+CK141</f>
        <v>8485</v>
      </c>
      <c r="CM140" s="43">
        <f>+CL141</f>
        <v>7979</v>
      </c>
      <c r="CN140" s="43">
        <f>+CM141</f>
        <v>8601</v>
      </c>
      <c r="CO140" s="36">
        <f>CJ141</f>
        <v>9860</v>
      </c>
      <c r="CP140" s="43">
        <f>+CN141</f>
        <v>7464</v>
      </c>
      <c r="CQ140" s="43">
        <f>+CP141</f>
        <v>7024</v>
      </c>
      <c r="CR140" s="43">
        <f>+CQ141</f>
        <v>6974</v>
      </c>
      <c r="CS140" s="43">
        <f>+CR141</f>
        <v>6660</v>
      </c>
      <c r="CT140" s="36">
        <f>CO141</f>
        <v>7464</v>
      </c>
      <c r="CU140" s="43">
        <f>+CS141</f>
        <v>7563</v>
      </c>
      <c r="CV140" s="43">
        <f>+CU141</f>
        <v>6903</v>
      </c>
      <c r="CW140" s="43">
        <f>+CV141</f>
        <v>7223.167379018716</v>
      </c>
      <c r="CX140" s="43">
        <f>+CW141</f>
        <v>7333.9166000844498</v>
      </c>
      <c r="CY140" s="36">
        <f>CT141</f>
        <v>7563</v>
      </c>
      <c r="CZ140" s="43">
        <f>+CX141</f>
        <v>7163.2054911608939</v>
      </c>
      <c r="DA140" s="43">
        <f>+CZ141</f>
        <v>7594.5905559875155</v>
      </c>
      <c r="DB140" s="43">
        <f>+DA141</f>
        <v>7634.4065831117759</v>
      </c>
      <c r="DC140" s="43">
        <f>+DB141</f>
        <v>7581.4387390015581</v>
      </c>
      <c r="DD140" s="36">
        <f>CY141</f>
        <v>7163.2054911608939</v>
      </c>
      <c r="DE140" s="43">
        <f>+DC141</f>
        <v>7387.072421635793</v>
      </c>
      <c r="DF140" s="43">
        <f>+DE141</f>
        <v>7399.9843078431386</v>
      </c>
      <c r="DG140" s="43">
        <f>+DF141</f>
        <v>7089.0064614100593</v>
      </c>
      <c r="DH140" s="43">
        <f>+DG141</f>
        <v>6728.3234318999184</v>
      </c>
      <c r="DI140" s="36">
        <f>DD141</f>
        <v>7387.0724216357921</v>
      </c>
    </row>
    <row r="141" spans="1:113" s="7" customFormat="1" ht="12" customHeight="1">
      <c r="A141" s="239"/>
      <c r="B141" s="201" t="s">
        <v>37</v>
      </c>
      <c r="C141" s="45">
        <f>C138+C140</f>
        <v>262.11700000000002</v>
      </c>
      <c r="D141" s="44">
        <f>D138+D140</f>
        <v>445.42099999999999</v>
      </c>
      <c r="E141" s="45">
        <f>E138+E140</f>
        <v>108.62100000000152</v>
      </c>
      <c r="F141" s="44">
        <f t="shared" ref="F141:Q141" si="522">F140+F138</f>
        <v>198.1</v>
      </c>
      <c r="G141" s="45">
        <f t="shared" si="522"/>
        <v>254.3</v>
      </c>
      <c r="H141" s="44">
        <f t="shared" si="522"/>
        <v>303.99999999999989</v>
      </c>
      <c r="I141" s="45">
        <f t="shared" si="522"/>
        <v>575.49999999999989</v>
      </c>
      <c r="J141" s="44">
        <f t="shared" si="522"/>
        <v>633.99999999999977</v>
      </c>
      <c r="K141" s="45">
        <f t="shared" si="522"/>
        <v>828.00000000000023</v>
      </c>
      <c r="L141" s="44">
        <f t="shared" si="522"/>
        <v>1388.099999999999</v>
      </c>
      <c r="M141" s="45">
        <f t="shared" si="522"/>
        <v>954.19999999999936</v>
      </c>
      <c r="N141" s="44">
        <f t="shared" si="522"/>
        <v>1856.7000000000003</v>
      </c>
      <c r="O141" s="44">
        <f t="shared" si="522"/>
        <v>2133.9000000000005</v>
      </c>
      <c r="P141" s="45">
        <f t="shared" si="522"/>
        <v>2291.099999999999</v>
      </c>
      <c r="Q141" s="44">
        <f t="shared" si="522"/>
        <v>3079</v>
      </c>
      <c r="R141" s="45">
        <f>+R140+R138</f>
        <v>2009.9999999999998</v>
      </c>
      <c r="S141" s="45">
        <f>+S140+S138</f>
        <v>1768</v>
      </c>
      <c r="T141" s="45">
        <f>+T140+T138</f>
        <v>2132</v>
      </c>
      <c r="U141" s="45">
        <f>+U140+U138</f>
        <v>1955</v>
      </c>
      <c r="V141" s="44">
        <f>V140+V138</f>
        <v>1955</v>
      </c>
      <c r="W141" s="45">
        <f>+W140+W138</f>
        <v>1608</v>
      </c>
      <c r="X141" s="45">
        <f>+X140+X138</f>
        <v>1929</v>
      </c>
      <c r="Y141" s="45">
        <f>+Y140+Y138</f>
        <v>2021</v>
      </c>
      <c r="Z141" s="45">
        <f>+Z140+Z138</f>
        <v>2317</v>
      </c>
      <c r="AA141" s="44">
        <f>AA140+AA138</f>
        <v>2317</v>
      </c>
      <c r="AB141" s="44">
        <f>AA141</f>
        <v>2317</v>
      </c>
      <c r="AC141" s="45">
        <f>+AC140+AC138</f>
        <v>2165</v>
      </c>
      <c r="AD141" s="45">
        <f>+AD140+AD138</f>
        <v>2291</v>
      </c>
      <c r="AE141" s="45">
        <f>+AE140+AE138</f>
        <v>2557</v>
      </c>
      <c r="AF141" s="45">
        <f>+AF140+AF138</f>
        <v>3337</v>
      </c>
      <c r="AG141" s="44">
        <f>+AG138+AG140</f>
        <v>3337</v>
      </c>
      <c r="AH141" s="45">
        <f>+AH140+AH138</f>
        <v>2936</v>
      </c>
      <c r="AI141" s="45">
        <f>+AI140+AI138</f>
        <v>2086</v>
      </c>
      <c r="AJ141" s="45">
        <f>+AJ140+AJ138</f>
        <v>1864</v>
      </c>
      <c r="AK141" s="45">
        <f>+AK140+AK138</f>
        <v>2220</v>
      </c>
      <c r="AL141" s="44">
        <f>'2. Consolidated'!AL185</f>
        <v>2220</v>
      </c>
      <c r="AM141" s="45">
        <f>+AM140+AM138</f>
        <v>2303</v>
      </c>
      <c r="AN141" s="45">
        <f>+AN140+AN138</f>
        <v>2273</v>
      </c>
      <c r="AO141" s="45">
        <f>+AO140+AO138</f>
        <v>3015</v>
      </c>
      <c r="AP141" s="45">
        <f>+AP140+AP138</f>
        <v>3852</v>
      </c>
      <c r="AQ141" s="271">
        <f>+AQ138+AQ140</f>
        <v>3852</v>
      </c>
      <c r="AR141" s="45">
        <f>+AR140+AR138</f>
        <v>3246</v>
      </c>
      <c r="AS141" s="45">
        <f>+AS140+AS138</f>
        <v>3851</v>
      </c>
      <c r="AT141" s="45">
        <f>+AT140+AT138</f>
        <v>3044</v>
      </c>
      <c r="AU141" s="45">
        <f>+AU140+AU138</f>
        <v>3138</v>
      </c>
      <c r="AV141" s="44">
        <f>+AV138+AV140</f>
        <v>3138</v>
      </c>
      <c r="AW141" s="45">
        <f>+AW140+AW138</f>
        <v>2659</v>
      </c>
      <c r="AX141" s="45">
        <f>+AX140+AX138</f>
        <v>4339</v>
      </c>
      <c r="AY141" s="45">
        <f>+AY140+AY138</f>
        <v>4021</v>
      </c>
      <c r="AZ141" s="45">
        <f>+AZ140+AZ138</f>
        <v>3808</v>
      </c>
      <c r="BA141" s="44">
        <f>+BA138+BA140</f>
        <v>3808</v>
      </c>
      <c r="BB141" s="45">
        <f>+BB140+BB138</f>
        <v>3413</v>
      </c>
      <c r="BC141" s="45">
        <f>+BC140+BC138</f>
        <v>4304</v>
      </c>
      <c r="BD141" s="45">
        <f>+BD140+BD138</f>
        <v>3662</v>
      </c>
      <c r="BE141" s="45">
        <f>+BE140+BE138</f>
        <v>4249</v>
      </c>
      <c r="BF141" s="44">
        <f>+BF138+BF140</f>
        <v>4249</v>
      </c>
      <c r="BG141" s="45">
        <f>+BG140+BG138</f>
        <v>3282</v>
      </c>
      <c r="BH141" s="45">
        <f>+BH140+BH138</f>
        <v>3423</v>
      </c>
      <c r="BI141" s="45">
        <f>+BI140+BI138</f>
        <v>3695</v>
      </c>
      <c r="BJ141" s="45">
        <f>+BJ140+BJ138</f>
        <v>4466</v>
      </c>
      <c r="BK141" s="44">
        <f>+BK138+BK140</f>
        <v>4466</v>
      </c>
      <c r="BL141" s="45">
        <f>+BL140+BL138</f>
        <v>3446</v>
      </c>
      <c r="BM141" s="45">
        <f>+BM140+BM138</f>
        <v>3070</v>
      </c>
      <c r="BN141" s="45">
        <f>+BN140+BN138</f>
        <v>2863</v>
      </c>
      <c r="BO141" s="45">
        <f>+BO140+BO138</f>
        <v>8348</v>
      </c>
      <c r="BP141" s="44">
        <f>+BP138+BP140</f>
        <v>8348</v>
      </c>
      <c r="BQ141" s="45">
        <f>+BQ140+BQ138</f>
        <v>8148</v>
      </c>
      <c r="BR141" s="45">
        <f>+BR140+BR138</f>
        <v>8635</v>
      </c>
      <c r="BS141" s="45">
        <f>+BS140+BS138</f>
        <v>8516</v>
      </c>
      <c r="BT141" s="45">
        <f>+BT140+BT138</f>
        <v>9889</v>
      </c>
      <c r="BU141" s="44">
        <f>+BU138+BU140</f>
        <v>9889</v>
      </c>
      <c r="BV141" s="45">
        <f>+BV140+BV138</f>
        <v>10720</v>
      </c>
      <c r="BW141" s="45">
        <f>+BW140+BW138</f>
        <v>10751</v>
      </c>
      <c r="BX141" s="45">
        <f>+BX140+BX138</f>
        <v>8704</v>
      </c>
      <c r="BY141" s="45">
        <f>+BY140+BY138</f>
        <v>8574</v>
      </c>
      <c r="BZ141" s="44">
        <f>+BZ138+BZ140</f>
        <v>8574</v>
      </c>
      <c r="CA141" s="45">
        <f>+CA140+CA138</f>
        <v>7226</v>
      </c>
      <c r="CB141" s="45">
        <f>+CB140+CB138</f>
        <v>6490</v>
      </c>
      <c r="CC141" s="45">
        <f>+CC140+CC138</f>
        <v>6955</v>
      </c>
      <c r="CD141" s="45">
        <f>+CD140+CD138</f>
        <v>7441</v>
      </c>
      <c r="CE141" s="44">
        <f>+CE138+CE140</f>
        <v>7441</v>
      </c>
      <c r="CF141" s="45">
        <f>+CF140+CF138</f>
        <v>6178</v>
      </c>
      <c r="CG141" s="45">
        <f>+CG140+CG138</f>
        <v>7919</v>
      </c>
      <c r="CH141" s="45">
        <f>+CH140+CH138</f>
        <v>8960</v>
      </c>
      <c r="CI141" s="45">
        <f>+CI140+CI138</f>
        <v>9860</v>
      </c>
      <c r="CJ141" s="44">
        <f>+CJ138+CJ140</f>
        <v>9860</v>
      </c>
      <c r="CK141" s="45">
        <f>+CK140+CK138</f>
        <v>8485</v>
      </c>
      <c r="CL141" s="45">
        <f>+CL140+CL138</f>
        <v>7979</v>
      </c>
      <c r="CM141" s="45">
        <f>+CM140+CM138</f>
        <v>8601</v>
      </c>
      <c r="CN141" s="45">
        <f>+CN140+CN138</f>
        <v>7464</v>
      </c>
      <c r="CO141" s="44">
        <f>+CO138+CO140</f>
        <v>7464</v>
      </c>
      <c r="CP141" s="45">
        <f>+CP140+CP138</f>
        <v>7024</v>
      </c>
      <c r="CQ141" s="45">
        <f>+CQ140+CQ138</f>
        <v>6974</v>
      </c>
      <c r="CR141" s="45">
        <f>+CR140+CR138</f>
        <v>6660</v>
      </c>
      <c r="CS141" s="45">
        <f>+CS140+CS138</f>
        <v>7563</v>
      </c>
      <c r="CT141" s="44">
        <f>+CT138+CT140</f>
        <v>7563</v>
      </c>
      <c r="CU141" s="45">
        <f>+CU140+CU138</f>
        <v>6903</v>
      </c>
      <c r="CV141" s="45">
        <f>+CV140+CV138</f>
        <v>7223.167379018716</v>
      </c>
      <c r="CW141" s="45">
        <f>+CW140+CW138</f>
        <v>7333.9166000844498</v>
      </c>
      <c r="CX141" s="45">
        <f>+CX140+CX138</f>
        <v>7163.2054911608939</v>
      </c>
      <c r="CY141" s="44">
        <f>+CY138+CY140</f>
        <v>7163.2054911608939</v>
      </c>
      <c r="CZ141" s="45">
        <f>+CZ140+CZ138</f>
        <v>7594.5905559875155</v>
      </c>
      <c r="DA141" s="45">
        <f>+DA140+DA138</f>
        <v>7634.4065831117759</v>
      </c>
      <c r="DB141" s="45">
        <f>+DB140+DB138</f>
        <v>7581.4387390015581</v>
      </c>
      <c r="DC141" s="45">
        <f>+DC140+DC138</f>
        <v>7387.072421635793</v>
      </c>
      <c r="DD141" s="44">
        <f>+DD138+DD140</f>
        <v>7387.0724216357921</v>
      </c>
      <c r="DE141" s="45">
        <f>+DE140+DE138</f>
        <v>7399.9843078431386</v>
      </c>
      <c r="DF141" s="45">
        <f>+DF140+DF138</f>
        <v>7089.0064614100593</v>
      </c>
      <c r="DG141" s="45">
        <f>+DG140+DG138</f>
        <v>6728.3234318999184</v>
      </c>
      <c r="DH141" s="45">
        <f>+DH140+DH138</f>
        <v>6221.961004556556</v>
      </c>
      <c r="DI141" s="44">
        <f>+DI138+DI140</f>
        <v>6221.9610045565551</v>
      </c>
    </row>
    <row r="142" spans="1:113" s="117" customFormat="1" ht="12" customHeight="1">
      <c r="A142" s="239"/>
      <c r="B142" s="268" t="s">
        <v>28</v>
      </c>
      <c r="C142" s="48">
        <f t="shared" ref="C142:AA142" si="523">C122+C124</f>
        <v>123.26899999999986</v>
      </c>
      <c r="D142" s="266">
        <f t="shared" si="523"/>
        <v>-142.73999999999916</v>
      </c>
      <c r="E142" s="48">
        <f t="shared" si="523"/>
        <v>11.599999999998886</v>
      </c>
      <c r="F142" s="266">
        <f t="shared" si="523"/>
        <v>576.90000000000146</v>
      </c>
      <c r="G142" s="48">
        <f t="shared" si="523"/>
        <v>340.00000000000045</v>
      </c>
      <c r="H142" s="266">
        <f t="shared" si="523"/>
        <v>338.89999999999986</v>
      </c>
      <c r="I142" s="48">
        <f t="shared" si="523"/>
        <v>798.7</v>
      </c>
      <c r="J142" s="266">
        <f t="shared" si="523"/>
        <v>731.5</v>
      </c>
      <c r="K142" s="48">
        <f t="shared" si="523"/>
        <v>1303.7000000000003</v>
      </c>
      <c r="L142" s="266">
        <f t="shared" si="523"/>
        <v>1313.5999999999985</v>
      </c>
      <c r="M142" s="48">
        <f t="shared" si="523"/>
        <v>1334.2</v>
      </c>
      <c r="N142" s="266">
        <f t="shared" si="523"/>
        <v>1565.2000000000007</v>
      </c>
      <c r="O142" s="266">
        <f t="shared" si="523"/>
        <v>1487.1000000000001</v>
      </c>
      <c r="P142" s="48">
        <f t="shared" si="523"/>
        <v>1280.3999999999983</v>
      </c>
      <c r="Q142" s="266">
        <f t="shared" si="523"/>
        <v>2829.1000000000013</v>
      </c>
      <c r="R142" s="48">
        <f t="shared" si="523"/>
        <v>122.99999999999977</v>
      </c>
      <c r="S142" s="48">
        <f t="shared" si="523"/>
        <v>333.00000000000023</v>
      </c>
      <c r="T142" s="48">
        <f t="shared" si="523"/>
        <v>212</v>
      </c>
      <c r="U142" s="48">
        <f t="shared" si="523"/>
        <v>713</v>
      </c>
      <c r="V142" s="266">
        <f t="shared" si="523"/>
        <v>1381</v>
      </c>
      <c r="W142" s="48">
        <f t="shared" si="523"/>
        <v>-26</v>
      </c>
      <c r="X142" s="48">
        <f t="shared" si="523"/>
        <v>365</v>
      </c>
      <c r="Y142" s="48">
        <f t="shared" si="523"/>
        <v>208</v>
      </c>
      <c r="Z142" s="48">
        <f t="shared" si="523"/>
        <v>757</v>
      </c>
      <c r="AA142" s="266">
        <f t="shared" si="523"/>
        <v>1304</v>
      </c>
      <c r="AB142" s="266"/>
      <c r="AC142" s="48">
        <f t="shared" ref="AC142:AP142" si="524">AC122+AC124</f>
        <v>428</v>
      </c>
      <c r="AD142" s="48">
        <f t="shared" si="524"/>
        <v>567</v>
      </c>
      <c r="AE142" s="48">
        <f t="shared" si="524"/>
        <v>272</v>
      </c>
      <c r="AF142" s="48">
        <f t="shared" si="524"/>
        <v>1124</v>
      </c>
      <c r="AG142" s="269">
        <f t="shared" si="524"/>
        <v>2391</v>
      </c>
      <c r="AH142" s="48">
        <f t="shared" si="524"/>
        <v>381</v>
      </c>
      <c r="AI142" s="48">
        <f t="shared" si="524"/>
        <v>116</v>
      </c>
      <c r="AJ142" s="48">
        <f t="shared" si="524"/>
        <v>518</v>
      </c>
      <c r="AK142" s="48">
        <f t="shared" si="524"/>
        <v>1111</v>
      </c>
      <c r="AL142" s="269">
        <f t="shared" si="524"/>
        <v>2126</v>
      </c>
      <c r="AM142" s="48">
        <f t="shared" si="524"/>
        <v>326</v>
      </c>
      <c r="AN142" s="48">
        <f t="shared" si="524"/>
        <v>422</v>
      </c>
      <c r="AO142" s="48">
        <f t="shared" si="524"/>
        <v>1870</v>
      </c>
      <c r="AP142" s="48">
        <f t="shared" si="524"/>
        <v>1102</v>
      </c>
      <c r="AQ142" s="269">
        <f>+AQ122+AQ124</f>
        <v>3720</v>
      </c>
      <c r="AR142" s="48">
        <f>AR122+AR124</f>
        <v>164</v>
      </c>
      <c r="AS142" s="48">
        <f>AS122+AS124</f>
        <v>257</v>
      </c>
      <c r="AT142" s="48">
        <f>AT122+AT124</f>
        <v>590</v>
      </c>
      <c r="AU142" s="48">
        <f>AU122+AU124</f>
        <v>952</v>
      </c>
      <c r="AV142" s="269">
        <f>+AV122+AV124</f>
        <v>1963</v>
      </c>
      <c r="AW142" s="48">
        <f>AW122+AW124</f>
        <v>444</v>
      </c>
      <c r="AX142" s="48">
        <f>AX122+AX124</f>
        <v>740</v>
      </c>
      <c r="AY142" s="48">
        <f>AY122+AY124</f>
        <v>804</v>
      </c>
      <c r="AZ142" s="48">
        <f>AZ122+AZ124</f>
        <v>547</v>
      </c>
      <c r="BA142" s="269">
        <f>+BA122+BA124</f>
        <v>2535</v>
      </c>
      <c r="BB142" s="48">
        <f>BB122+BB124</f>
        <v>305</v>
      </c>
      <c r="BC142" s="48">
        <f>BC122+BC124</f>
        <v>1096</v>
      </c>
      <c r="BD142" s="48">
        <f>BD122+BD124</f>
        <v>556</v>
      </c>
      <c r="BE142" s="48">
        <f>BE122+BE124</f>
        <v>1970</v>
      </c>
      <c r="BF142" s="266">
        <f>+BF122+BF124</f>
        <v>3927</v>
      </c>
      <c r="BG142" s="48">
        <f>BG122+BG124</f>
        <v>958</v>
      </c>
      <c r="BH142" s="48">
        <f>BH122+BH124</f>
        <v>1241</v>
      </c>
      <c r="BI142" s="48">
        <f>BI122+BI124</f>
        <v>848</v>
      </c>
      <c r="BJ142" s="48">
        <f>BJ122+BJ124</f>
        <v>1737</v>
      </c>
      <c r="BK142" s="266">
        <f>+BK122+BK124</f>
        <v>4784</v>
      </c>
      <c r="BL142" s="48">
        <f>BL122+BL124</f>
        <v>110</v>
      </c>
      <c r="BM142" s="48">
        <f>BM122+BM124</f>
        <v>674</v>
      </c>
      <c r="BN142" s="48">
        <f>BN122+BN124</f>
        <v>905</v>
      </c>
      <c r="BO142" s="48">
        <f>BO122+BO124</f>
        <v>-290</v>
      </c>
      <c r="BP142" s="266">
        <f>+BP122+BP124</f>
        <v>1399</v>
      </c>
      <c r="BQ142" s="48">
        <f>BQ122+BQ124</f>
        <v>706</v>
      </c>
      <c r="BR142" s="48">
        <f>BR122+BR124</f>
        <v>2305</v>
      </c>
      <c r="BS142" s="48">
        <f>BS122+BS124</f>
        <v>1113</v>
      </c>
      <c r="BT142" s="48">
        <f>BT122+BT124</f>
        <v>1838</v>
      </c>
      <c r="BU142" s="266">
        <f>+BU122+BU124</f>
        <v>5962</v>
      </c>
      <c r="BV142" s="48">
        <f>BV122+BV124</f>
        <v>927</v>
      </c>
      <c r="BW142" s="48">
        <f>BW122+BW124</f>
        <v>2579</v>
      </c>
      <c r="BX142" s="48">
        <f>BX122+BX124</f>
        <v>15</v>
      </c>
      <c r="BY142" s="48">
        <f>BY122+BY124</f>
        <v>909</v>
      </c>
      <c r="BZ142" s="266">
        <f>+BZ122+BZ124</f>
        <v>4430</v>
      </c>
      <c r="CA142" s="48">
        <f>CA122+CA124</f>
        <v>93</v>
      </c>
      <c r="CB142" s="48">
        <f>CB122+CB124</f>
        <v>765</v>
      </c>
      <c r="CC142" s="48">
        <f>CC122+CC124</f>
        <v>2030</v>
      </c>
      <c r="CD142" s="48">
        <f>CD122+CD124</f>
        <v>1984</v>
      </c>
      <c r="CE142" s="266">
        <f>+CE122+CE124</f>
        <v>4872</v>
      </c>
      <c r="CF142" s="48">
        <f>CF122+CF124</f>
        <v>-319</v>
      </c>
      <c r="CG142" s="48">
        <f>CG122+CG124</f>
        <v>2612</v>
      </c>
      <c r="CH142" s="48">
        <f>CH122+CH124</f>
        <v>1918</v>
      </c>
      <c r="CI142" s="48">
        <f>CI122+CI124</f>
        <v>2406</v>
      </c>
      <c r="CJ142" s="266">
        <f>+CJ122+CJ124</f>
        <v>6617</v>
      </c>
      <c r="CK142" s="48">
        <f>CK122+CK124</f>
        <v>274</v>
      </c>
      <c r="CL142" s="48">
        <f>CL122+CL124</f>
        <v>920</v>
      </c>
      <c r="CM142" s="48">
        <f>CM122+CM124</f>
        <v>1711</v>
      </c>
      <c r="CN142" s="48">
        <f>CN122+CN124</f>
        <v>363</v>
      </c>
      <c r="CO142" s="266">
        <f>+CO122+CO124</f>
        <v>3268</v>
      </c>
      <c r="CP142" s="48">
        <f>CP122+CP124</f>
        <v>15</v>
      </c>
      <c r="CQ142" s="48">
        <f>CQ122+CQ124</f>
        <v>386</v>
      </c>
      <c r="CR142" s="48">
        <f>CR122+CR124</f>
        <v>193.00500000000011</v>
      </c>
      <c r="CS142" s="48">
        <f>CS122+CS124</f>
        <v>1499</v>
      </c>
      <c r="CT142" s="266">
        <f>+CT122+CT124</f>
        <v>2093.0050000000001</v>
      </c>
      <c r="CU142" s="48">
        <f>CU122+CU124</f>
        <v>-151.72400000000016</v>
      </c>
      <c r="CV142" s="48">
        <f>CV122+CV124</f>
        <v>825.32737901871633</v>
      </c>
      <c r="CW142" s="48">
        <f>CW122+CW124</f>
        <v>628.01242106573341</v>
      </c>
      <c r="CX142" s="48">
        <f>CX122+CX124</f>
        <v>346.55209107644373</v>
      </c>
      <c r="CY142" s="266">
        <f>+CY122+CY124</f>
        <v>1648.1678911608933</v>
      </c>
      <c r="CZ142" s="48">
        <f>CZ122+CZ124</f>
        <v>948.64826482662147</v>
      </c>
      <c r="DA142" s="48">
        <f>DA122+DA124</f>
        <v>593.38882712426016</v>
      </c>
      <c r="DB142" s="48">
        <f>DB122+DB124</f>
        <v>513.676411889782</v>
      </c>
      <c r="DC142" s="48">
        <f>DC122+DC124</f>
        <v>372.2779386342346</v>
      </c>
      <c r="DD142" s="266">
        <f>+DD122+DD124</f>
        <v>2427.9914424748986</v>
      </c>
      <c r="DE142" s="48">
        <f>DE122+DE124</f>
        <v>828.4207627095534</v>
      </c>
      <c r="DF142" s="48">
        <f>DF122+DF124</f>
        <v>541.2978498783873</v>
      </c>
      <c r="DG142" s="48">
        <f>DG122+DG124</f>
        <v>503.25741956609579</v>
      </c>
      <c r="DH142" s="48">
        <f>DH122+DH124</f>
        <v>355.24394216281644</v>
      </c>
      <c r="DI142" s="266">
        <f>+DI122+DI124</f>
        <v>2228.219974316853</v>
      </c>
    </row>
    <row r="143" spans="1:113" s="448" customFormat="1" ht="12" customHeight="1">
      <c r="A143" s="444"/>
      <c r="B143" s="445" t="s">
        <v>119</v>
      </c>
      <c r="C143" s="446">
        <f>+C141-'2. Consolidated'!C185</f>
        <v>0</v>
      </c>
      <c r="D143" s="447">
        <f>+D141-'2. Consolidated'!D185</f>
        <v>0</v>
      </c>
      <c r="E143" s="446">
        <f>+E141-'2. Consolidated'!E185</f>
        <v>0</v>
      </c>
      <c r="F143" s="447">
        <f>+F141-'2. Consolidated'!F185</f>
        <v>0</v>
      </c>
      <c r="G143" s="446">
        <f>+G141-'2. Consolidated'!G185</f>
        <v>0</v>
      </c>
      <c r="H143" s="447">
        <f>+H141-'2. Consolidated'!H185</f>
        <v>0</v>
      </c>
      <c r="I143" s="446">
        <f>+I141-'2. Consolidated'!I185</f>
        <v>0</v>
      </c>
      <c r="J143" s="447">
        <f>+J141-'2. Consolidated'!J185</f>
        <v>0</v>
      </c>
      <c r="K143" s="446">
        <f>+K141-'2. Consolidated'!K185</f>
        <v>0</v>
      </c>
      <c r="L143" s="447">
        <f>+L141-'2. Consolidated'!L185</f>
        <v>0</v>
      </c>
      <c r="M143" s="446">
        <f>+M141-'2. Consolidated'!M185</f>
        <v>0</v>
      </c>
      <c r="N143" s="447">
        <f>+N141-'2. Consolidated'!N185</f>
        <v>0</v>
      </c>
      <c r="O143" s="447">
        <f>+O141-'2. Consolidated'!O185</f>
        <v>0</v>
      </c>
      <c r="P143" s="446">
        <f>+P141-'2. Consolidated'!P185</f>
        <v>0</v>
      </c>
      <c r="Q143" s="447">
        <f>+Q141-'2. Consolidated'!Q185</f>
        <v>0</v>
      </c>
      <c r="R143" s="446">
        <f>+R141-'2. Consolidated'!R185</f>
        <v>0</v>
      </c>
      <c r="S143" s="446">
        <f>+S141-'2. Consolidated'!S185</f>
        <v>0</v>
      </c>
      <c r="T143" s="446">
        <f>+T141-'2. Consolidated'!T185</f>
        <v>0</v>
      </c>
      <c r="U143" s="446">
        <f>+U141-'2. Consolidated'!U185</f>
        <v>0</v>
      </c>
      <c r="V143" s="447">
        <f>+V141-'2. Consolidated'!V185</f>
        <v>0</v>
      </c>
      <c r="W143" s="446">
        <f>+W141-'2. Consolidated'!W185</f>
        <v>0</v>
      </c>
      <c r="X143" s="446">
        <f>+X141-'2. Consolidated'!X185</f>
        <v>0</v>
      </c>
      <c r="Y143" s="446">
        <f>+Y141-'2. Consolidated'!Y185</f>
        <v>0</v>
      </c>
      <c r="Z143" s="446">
        <f>+Z141-'2. Consolidated'!Z185</f>
        <v>0</v>
      </c>
      <c r="AA143" s="447">
        <f>+AA141-'2. Consolidated'!AA185</f>
        <v>0</v>
      </c>
      <c r="AB143" s="447">
        <f>+AB141-'2. Consolidated'!AB185</f>
        <v>0</v>
      </c>
      <c r="AC143" s="446">
        <f>+AC141-'2. Consolidated'!AC185</f>
        <v>0</v>
      </c>
      <c r="AD143" s="446">
        <f>+AD141-'2. Consolidated'!AD185</f>
        <v>0</v>
      </c>
      <c r="AE143" s="446">
        <f>+AE141-'2. Consolidated'!AE185</f>
        <v>0</v>
      </c>
      <c r="AF143" s="446">
        <f>+AF141-'2. Consolidated'!AF185</f>
        <v>0</v>
      </c>
      <c r="AG143" s="447">
        <f>+AG141-'2. Consolidated'!AG185</f>
        <v>0</v>
      </c>
      <c r="AH143" s="446">
        <f>+AH141-'2. Consolidated'!AH185</f>
        <v>0</v>
      </c>
      <c r="AI143" s="446">
        <f>+AI141-'2. Consolidated'!AI185</f>
        <v>0</v>
      </c>
      <c r="AJ143" s="446">
        <f>+AJ141-'2. Consolidated'!AJ185</f>
        <v>0</v>
      </c>
      <c r="AK143" s="446">
        <f>+AK141-'2. Consolidated'!AK185</f>
        <v>0</v>
      </c>
      <c r="AL143" s="447">
        <f>+AL141-'2. Consolidated'!AL185</f>
        <v>0</v>
      </c>
      <c r="AM143" s="446">
        <f>+AM141-'2. Consolidated'!AM185</f>
        <v>0</v>
      </c>
      <c r="AN143" s="446">
        <f>+AN141-'2. Consolidated'!AN185</f>
        <v>0</v>
      </c>
      <c r="AO143" s="446">
        <f>+AO141-'2. Consolidated'!AO185</f>
        <v>0</v>
      </c>
      <c r="AP143" s="446">
        <f>+AP141-'2. Consolidated'!AP185</f>
        <v>0</v>
      </c>
      <c r="AQ143" s="447">
        <f>+AQ141-'2. Consolidated'!AQ185</f>
        <v>0</v>
      </c>
      <c r="AR143" s="446">
        <f>+AR141-'2. Consolidated'!AR185</f>
        <v>0</v>
      </c>
      <c r="AS143" s="446">
        <f>+AS141-'2. Consolidated'!AS185</f>
        <v>0</v>
      </c>
      <c r="AT143" s="446">
        <f>+AT141-'2. Consolidated'!AT185</f>
        <v>0</v>
      </c>
      <c r="AU143" s="446">
        <f>+AU141-'2. Consolidated'!AU185</f>
        <v>0</v>
      </c>
      <c r="AV143" s="447">
        <f>+AV141-'2. Consolidated'!AV185</f>
        <v>0</v>
      </c>
      <c r="AW143" s="446">
        <f>+AW141-'2. Consolidated'!AW185</f>
        <v>0</v>
      </c>
      <c r="AX143" s="446">
        <f>+AX141-'2. Consolidated'!AX185</f>
        <v>0</v>
      </c>
      <c r="AY143" s="446">
        <f>+AY141-'2. Consolidated'!AY185</f>
        <v>0</v>
      </c>
      <c r="AZ143" s="446">
        <f>+AZ141-'2. Consolidated'!AZ185</f>
        <v>0</v>
      </c>
      <c r="BA143" s="447">
        <f>+BA141-'2. Consolidated'!BA185</f>
        <v>0</v>
      </c>
      <c r="BB143" s="446">
        <f>+BB141-'2. Consolidated'!BB185</f>
        <v>0</v>
      </c>
      <c r="BC143" s="446">
        <f>+BC141-'2. Consolidated'!BC185</f>
        <v>0</v>
      </c>
      <c r="BD143" s="446">
        <f>+BD141-'2. Consolidated'!BD185</f>
        <v>0</v>
      </c>
      <c r="BE143" s="446">
        <f>+BE141-'2. Consolidated'!BE185</f>
        <v>0</v>
      </c>
      <c r="BF143" s="447">
        <f>+BF141-'2. Consolidated'!BF185</f>
        <v>0</v>
      </c>
      <c r="BG143" s="446">
        <f>+BG141-'2. Consolidated'!BG185</f>
        <v>0</v>
      </c>
      <c r="BH143" s="446">
        <f>+BH141-'2. Consolidated'!BH185</f>
        <v>0</v>
      </c>
      <c r="BI143" s="446">
        <f>+BI141-'2. Consolidated'!BI185</f>
        <v>0</v>
      </c>
      <c r="BJ143" s="446">
        <f>+BJ141-'2. Consolidated'!BJ185</f>
        <v>0</v>
      </c>
      <c r="BK143" s="447">
        <f>+BK141-'2. Consolidated'!BK185</f>
        <v>0</v>
      </c>
      <c r="BL143" s="446">
        <f>+BL141-'2. Consolidated'!BL185</f>
        <v>0</v>
      </c>
      <c r="BM143" s="446">
        <f>+BM141-'2. Consolidated'!BM185</f>
        <v>0</v>
      </c>
      <c r="BN143" s="446">
        <f>+BN141-'2. Consolidated'!BN185</f>
        <v>0</v>
      </c>
      <c r="BO143" s="446">
        <f>+BO141-'2. Consolidated'!BO185</f>
        <v>0</v>
      </c>
      <c r="BP143" s="447">
        <f>+BP141-'2. Consolidated'!BP185</f>
        <v>0</v>
      </c>
      <c r="BQ143" s="446">
        <f>+BQ141-'2. Consolidated'!BQ185</f>
        <v>0</v>
      </c>
      <c r="BR143" s="446">
        <f>+BR141-'2. Consolidated'!BR185</f>
        <v>0</v>
      </c>
      <c r="BS143" s="446">
        <f>+BS141-'2. Consolidated'!BS185</f>
        <v>0</v>
      </c>
      <c r="BT143" s="446">
        <f>+BT141-'2. Consolidated'!BT185</f>
        <v>0</v>
      </c>
      <c r="BU143" s="447">
        <f>+BU141-'2. Consolidated'!BU185</f>
        <v>0</v>
      </c>
      <c r="BV143" s="446">
        <f>+BV141-'2. Consolidated'!BV185</f>
        <v>0</v>
      </c>
      <c r="BW143" s="446">
        <f>+BW141-'2. Consolidated'!BW185</f>
        <v>0</v>
      </c>
      <c r="BX143" s="446">
        <f>+BX141-'2. Consolidated'!BX185</f>
        <v>0</v>
      </c>
      <c r="BY143" s="446">
        <f>+BY141-'2. Consolidated'!BY185</f>
        <v>0</v>
      </c>
      <c r="BZ143" s="447">
        <f>+BZ141-'2. Consolidated'!BZ185</f>
        <v>0</v>
      </c>
      <c r="CA143" s="446">
        <f>+CA141-'2. Consolidated'!CA185</f>
        <v>0</v>
      </c>
      <c r="CB143" s="446">
        <f>+CB141-'2. Consolidated'!CB185</f>
        <v>0</v>
      </c>
      <c r="CC143" s="446">
        <f>+CC141-'2. Consolidated'!CC185</f>
        <v>0</v>
      </c>
      <c r="CD143" s="446">
        <f>+CD141-'2. Consolidated'!CD185</f>
        <v>0</v>
      </c>
      <c r="CE143" s="447">
        <f>+CE141-'2. Consolidated'!CE185</f>
        <v>0</v>
      </c>
      <c r="CF143" s="446">
        <f>+CF141-'2. Consolidated'!CF185</f>
        <v>0</v>
      </c>
      <c r="CG143" s="446">
        <f>+CG141-'2. Consolidated'!CG185</f>
        <v>0</v>
      </c>
      <c r="CH143" s="446">
        <f>+CH141-'2. Consolidated'!CH185</f>
        <v>0</v>
      </c>
      <c r="CI143" s="446">
        <f>+CI141-'2. Consolidated'!CI185</f>
        <v>0</v>
      </c>
      <c r="CJ143" s="447">
        <f>+CJ141-'2. Consolidated'!CJ185</f>
        <v>0</v>
      </c>
      <c r="CK143" s="446">
        <f>+CK141-'2. Consolidated'!CK185</f>
        <v>0</v>
      </c>
      <c r="CL143" s="446">
        <f>+CL141-'2. Consolidated'!CL185</f>
        <v>0</v>
      </c>
      <c r="CM143" s="446">
        <f>+CM141-'2. Consolidated'!CM185</f>
        <v>0</v>
      </c>
      <c r="CN143" s="446">
        <f>+CN141-'2. Consolidated'!CN185</f>
        <v>0</v>
      </c>
      <c r="CO143" s="447">
        <f>+CO141-'2. Consolidated'!CO185</f>
        <v>0</v>
      </c>
      <c r="CP143" s="446">
        <f>+CP141-'2. Consolidated'!CP185</f>
        <v>0</v>
      </c>
      <c r="CQ143" s="446">
        <f>+CQ141-'2. Consolidated'!CQ185</f>
        <v>0</v>
      </c>
      <c r="CR143" s="446">
        <f>+CR141-'2. Consolidated'!CR185</f>
        <v>0</v>
      </c>
      <c r="CS143" s="446">
        <f>+CS141-'2. Consolidated'!CS185</f>
        <v>0</v>
      </c>
      <c r="CT143" s="447">
        <f>+CT141-'2. Consolidated'!CT185</f>
        <v>0</v>
      </c>
      <c r="CU143" s="446">
        <f>+CU141-'2. Consolidated'!CU185</f>
        <v>0</v>
      </c>
      <c r="CV143" s="446">
        <f>+CV141-'2. Consolidated'!CV185</f>
        <v>0</v>
      </c>
      <c r="CW143" s="446">
        <f>+CW141-'2. Consolidated'!CW185</f>
        <v>0</v>
      </c>
      <c r="CX143" s="446">
        <f>+CX141-'2. Consolidated'!CX185</f>
        <v>0</v>
      </c>
      <c r="CY143" s="447">
        <f>+CY141-'2. Consolidated'!CY185</f>
        <v>0</v>
      </c>
      <c r="CZ143" s="446">
        <f>+CZ141-'2. Consolidated'!CZ185</f>
        <v>0</v>
      </c>
      <c r="DA143" s="446">
        <f>+DA141-'2. Consolidated'!DA185</f>
        <v>0</v>
      </c>
      <c r="DB143" s="446">
        <f>+DB141-'2. Consolidated'!DB185</f>
        <v>0</v>
      </c>
      <c r="DC143" s="446">
        <f>+DC141-'2. Consolidated'!DC185</f>
        <v>0</v>
      </c>
      <c r="DD143" s="447">
        <f>+DD141-'2. Consolidated'!DD185</f>
        <v>0</v>
      </c>
      <c r="DE143" s="446">
        <f>+DE141-'2. Consolidated'!DE185</f>
        <v>0</v>
      </c>
      <c r="DF143" s="446">
        <f>+DF141-'2. Consolidated'!DF185</f>
        <v>0</v>
      </c>
      <c r="DG143" s="446">
        <f>+DG141-'2. Consolidated'!DG185</f>
        <v>0</v>
      </c>
      <c r="DH143" s="446">
        <f>+DH141-'2. Consolidated'!DH185</f>
        <v>0</v>
      </c>
      <c r="DI143" s="447">
        <f>+DI141-'2. Consolidated'!DI185</f>
        <v>0</v>
      </c>
    </row>
    <row r="144" spans="1:113" s="7" customFormat="1" ht="12" hidden="1" customHeight="1" outlineLevel="1">
      <c r="B144" s="268" t="s">
        <v>210</v>
      </c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  <c r="Z144" s="312"/>
      <c r="AA144" s="312"/>
      <c r="AB144" s="312"/>
      <c r="AC144" s="312"/>
      <c r="AD144" s="312"/>
      <c r="AE144" s="312"/>
      <c r="AF144" s="312"/>
      <c r="AG144" s="312"/>
      <c r="AH144" s="312"/>
      <c r="AI144" s="312"/>
      <c r="AJ144" s="312"/>
      <c r="AK144" s="312"/>
      <c r="AL144" s="312"/>
      <c r="AM144" s="312"/>
      <c r="AN144" s="312"/>
      <c r="AO144" s="312"/>
      <c r="AP144" s="312"/>
      <c r="AQ144" s="313"/>
      <c r="AR144" s="312"/>
      <c r="AS144" s="312"/>
      <c r="AT144" s="312"/>
      <c r="AU144" s="312"/>
      <c r="AV144" s="312"/>
      <c r="AW144" s="312"/>
      <c r="AX144" s="312"/>
      <c r="AY144" s="312"/>
      <c r="AZ144" s="312"/>
      <c r="BA144" s="312"/>
      <c r="BB144" s="312"/>
      <c r="BC144" s="312"/>
      <c r="BD144" s="312"/>
      <c r="BE144" s="312"/>
      <c r="BF144" s="312"/>
      <c r="BG144" s="312"/>
      <c r="BH144" s="312"/>
      <c r="BI144" s="312"/>
      <c r="BJ144" s="312"/>
      <c r="BK144" s="312"/>
      <c r="BL144" s="312"/>
      <c r="BM144" s="312"/>
      <c r="BN144" s="312"/>
      <c r="BO144" s="312"/>
      <c r="BP144" s="312"/>
      <c r="BQ144" s="312"/>
      <c r="BR144" s="312"/>
      <c r="BS144" s="312"/>
      <c r="BT144" s="312"/>
      <c r="BU144" s="312"/>
      <c r="BV144" s="312"/>
      <c r="BW144" s="312"/>
      <c r="BX144" s="312"/>
      <c r="BY144" s="312"/>
      <c r="BZ144" s="312"/>
      <c r="CA144" s="312"/>
      <c r="CB144" s="312"/>
      <c r="CC144" s="312"/>
      <c r="CD144" s="312"/>
      <c r="CE144" s="312"/>
      <c r="CF144" s="312"/>
      <c r="CG144" s="312"/>
      <c r="CH144" s="312"/>
      <c r="CI144" s="312"/>
      <c r="CJ144" s="312"/>
      <c r="CK144" s="312"/>
      <c r="CL144" s="312"/>
      <c r="CM144" s="312"/>
      <c r="CN144" s="312"/>
      <c r="CO144" s="312"/>
      <c r="CP144" s="312"/>
      <c r="CQ144" s="312"/>
      <c r="CR144" s="312"/>
      <c r="CS144" s="312"/>
      <c r="CT144" s="312"/>
      <c r="CU144" s="312"/>
      <c r="CV144" s="312"/>
      <c r="CW144" s="312"/>
      <c r="CX144" s="312"/>
      <c r="CY144" s="314"/>
      <c r="CZ144" s="312"/>
      <c r="DA144" s="312"/>
      <c r="DB144" s="312"/>
      <c r="DC144" s="312"/>
      <c r="DD144" s="314"/>
      <c r="DE144" s="312"/>
      <c r="DF144" s="312"/>
      <c r="DG144" s="312"/>
      <c r="DH144" s="312"/>
      <c r="DI144" s="314"/>
    </row>
    <row r="145" spans="1:113" s="7" customFormat="1" ht="12" hidden="1" customHeight="1" outlineLevel="1">
      <c r="A145" s="239"/>
      <c r="B145" s="274" t="s">
        <v>14</v>
      </c>
      <c r="C145" s="249"/>
      <c r="D145" s="252"/>
      <c r="E145" s="249"/>
      <c r="F145" s="252"/>
      <c r="G145" s="249"/>
      <c r="H145" s="252"/>
      <c r="I145" s="249"/>
      <c r="J145" s="252"/>
      <c r="K145" s="249"/>
      <c r="L145" s="252"/>
      <c r="M145" s="249"/>
      <c r="N145" s="252"/>
      <c r="O145" s="252"/>
      <c r="P145" s="249"/>
      <c r="Q145" s="252"/>
      <c r="R145" s="249">
        <f>+'2. Consolidated'!R86</f>
        <v>558.99999999999977</v>
      </c>
      <c r="S145" s="249">
        <f>+R145+'2. Consolidated'!S86</f>
        <v>1016</v>
      </c>
      <c r="T145" s="249">
        <f>+S145+'2. Consolidated'!T86</f>
        <v>1539</v>
      </c>
      <c r="U145" s="249">
        <f>+T145+'2. Consolidated'!U86</f>
        <v>2133</v>
      </c>
      <c r="V145" s="252"/>
      <c r="W145" s="249">
        <f>+'2. Consolidated'!W86</f>
        <v>645</v>
      </c>
      <c r="X145" s="249">
        <f>+W145+'2. Consolidated'!X86</f>
        <v>1114</v>
      </c>
      <c r="Y145" s="249">
        <f>+X145+'2. Consolidated'!Y86</f>
        <v>1674</v>
      </c>
      <c r="Z145" s="249">
        <f>+Y145+'2. Consolidated'!Z86</f>
        <v>2223</v>
      </c>
      <c r="AA145" s="252"/>
      <c r="AB145" s="252"/>
      <c r="AC145" s="249">
        <f>+'2. Consolidated'!AC86</f>
        <v>582</v>
      </c>
      <c r="AD145" s="249">
        <f>+AC145+'2. Consolidated'!AD86</f>
        <v>1101</v>
      </c>
      <c r="AE145" s="249">
        <f>+AD145+'2. Consolidated'!AE86</f>
        <v>1761</v>
      </c>
      <c r="AF145" s="249">
        <f>+AE145+'2. Consolidated'!AF86</f>
        <v>2451</v>
      </c>
      <c r="AG145" s="252"/>
      <c r="AH145" s="249">
        <f>+'2. Consolidated'!AH86</f>
        <v>779</v>
      </c>
      <c r="AI145" s="249">
        <f>+AH145+'2. Consolidated'!AI86</f>
        <v>1313</v>
      </c>
      <c r="AJ145" s="249">
        <f>+AI145+'2. Consolidated'!AJ86</f>
        <v>1995</v>
      </c>
      <c r="AK145" s="249">
        <f>+AJ145+'2. Consolidated'!AK86</f>
        <v>2693</v>
      </c>
      <c r="AL145" s="252"/>
      <c r="AM145" s="249">
        <f>+'2. Consolidated'!AM86</f>
        <v>962</v>
      </c>
      <c r="AN145" s="249">
        <f>+AM145+'2. Consolidated'!AN86</f>
        <v>1617</v>
      </c>
      <c r="AO145" s="249">
        <f>+AN145+'2. Consolidated'!AO86</f>
        <v>2408</v>
      </c>
      <c r="AP145" s="249">
        <f>+AO145+'2. Consolidated'!AP86</f>
        <v>3273</v>
      </c>
      <c r="AQ145" s="273"/>
      <c r="AR145" s="249">
        <f>+'2. Consolidated'!AR86</f>
        <v>1179</v>
      </c>
      <c r="AS145" s="249">
        <f>+AR145+'2. Consolidated'!AS86</f>
        <v>1964</v>
      </c>
      <c r="AT145" s="249">
        <f>+AS145+'2. Consolidated'!AT86</f>
        <v>2914</v>
      </c>
      <c r="AU145" s="249">
        <f>+AT145+'2. Consolidated'!AU86</f>
        <v>3760</v>
      </c>
      <c r="AV145" s="252"/>
      <c r="AW145" s="249">
        <f>+'2. Consolidated'!AW86</f>
        <v>1249</v>
      </c>
      <c r="AX145" s="249">
        <f>+AW145+'2. Consolidated'!AX86</f>
        <v>2091</v>
      </c>
      <c r="AY145" s="249">
        <f>+AX145+'2. Consolidated'!AY86</f>
        <v>3232</v>
      </c>
      <c r="AZ145" s="249">
        <f>+AY145+'2. Consolidated'!AZ86</f>
        <v>4240</v>
      </c>
      <c r="BA145" s="252"/>
      <c r="BB145" s="249">
        <f>+'2. Consolidated'!BB86</f>
        <v>950</v>
      </c>
      <c r="BC145" s="249">
        <f>+BB145+'2. Consolidated'!BC86</f>
        <v>1717</v>
      </c>
      <c r="BD145" s="249">
        <f>+BC145+'2. Consolidated'!BD86</f>
        <v>2826</v>
      </c>
      <c r="BE145" s="249">
        <f>+BD145+'2. Consolidated'!BE86</f>
        <v>3963</v>
      </c>
      <c r="BF145" s="252"/>
      <c r="BG145" s="249">
        <f>+'2. Consolidated'!BG86</f>
        <v>1092</v>
      </c>
      <c r="BH145" s="249">
        <f>+BG145+'2. Consolidated'!BH86</f>
        <v>1939</v>
      </c>
      <c r="BI145" s="249">
        <f>+BH145+'2. Consolidated'!BI86</f>
        <v>3040</v>
      </c>
      <c r="BJ145" s="249">
        <f>+BI145+'2. Consolidated'!BJ86</f>
        <v>4029</v>
      </c>
      <c r="BK145" s="252"/>
      <c r="BL145" s="249">
        <f>+'2. Consolidated'!BL86</f>
        <v>1367</v>
      </c>
      <c r="BM145" s="249">
        <f>+BL145+'2. Consolidated'!BM86</f>
        <v>2482</v>
      </c>
      <c r="BN145" s="249">
        <f>+BM145+'2. Consolidated'!BN86</f>
        <v>3729</v>
      </c>
      <c r="BO145" s="249">
        <f>+BN145+'2. Consolidated'!BO86</f>
        <v>2939</v>
      </c>
      <c r="BP145" s="252"/>
      <c r="BQ145" s="249">
        <f>+'2. Consolidated'!BQ86</f>
        <v>1518</v>
      </c>
      <c r="BR145" s="249">
        <f>+BQ145+'2. Consolidated'!BR86</f>
        <v>2769</v>
      </c>
      <c r="BS145" s="249">
        <f>+BR145+'2. Consolidated'!BS86</f>
        <v>4218</v>
      </c>
      <c r="BT145" s="249">
        <v>5727</v>
      </c>
      <c r="BU145" s="252"/>
      <c r="BV145" s="249">
        <f>+'2. Consolidated'!BV86</f>
        <v>1874</v>
      </c>
      <c r="BW145" s="249">
        <f>+BV145+'2. Consolidated'!BW86</f>
        <v>3211</v>
      </c>
      <c r="BX145" s="249">
        <f>+BW145+'2. Consolidated'!BX86</f>
        <v>4607</v>
      </c>
      <c r="BY145" s="249">
        <v>6046</v>
      </c>
      <c r="BZ145" s="252"/>
      <c r="CA145" s="249">
        <f>+'2. Consolidated'!CA86</f>
        <v>1468</v>
      </c>
      <c r="CB145" s="249">
        <f>+CA145+'2. Consolidated'!CB86</f>
        <v>2799</v>
      </c>
      <c r="CC145" s="249">
        <f>+CB145+'2. Consolidated'!CC86</f>
        <v>4039</v>
      </c>
      <c r="CD145" s="249">
        <f>+CC145+'2. Consolidated'!CD86</f>
        <v>5070</v>
      </c>
      <c r="CE145" s="252"/>
      <c r="CF145" s="249">
        <f>+'2. Consolidated'!CF86</f>
        <v>1450</v>
      </c>
      <c r="CG145" s="249">
        <f>+CF145+'2. Consolidated'!CG86</f>
        <v>3028</v>
      </c>
      <c r="CH145" s="249">
        <f>+CG145+'2. Consolidated'!CH86</f>
        <v>4527</v>
      </c>
      <c r="CI145" s="249">
        <f>+CH145+'2. Consolidated'!CI86</f>
        <v>6052</v>
      </c>
      <c r="CJ145" s="252"/>
      <c r="CK145" s="249">
        <f>+'2. Consolidated'!CK86</f>
        <v>1051</v>
      </c>
      <c r="CL145" s="249">
        <f>+CK145+'2. Consolidated'!CL86</f>
        <v>2214</v>
      </c>
      <c r="CM145" s="249">
        <f>+CL145+'2. Consolidated'!CM86</f>
        <v>3008</v>
      </c>
      <c r="CN145" s="249">
        <f>+CM145+'2. Consolidated'!CN86</f>
        <v>3219</v>
      </c>
      <c r="CO145" s="252"/>
      <c r="CP145" s="249">
        <f>+'2. Consolidated'!CP86</f>
        <v>727</v>
      </c>
      <c r="CQ145" s="249">
        <f>+CP145+'2. Consolidated'!CQ86</f>
        <v>1519</v>
      </c>
      <c r="CR145" s="249">
        <f>+CQ145+'2. Consolidated'!CR86</f>
        <v>2039</v>
      </c>
      <c r="CS145" s="249">
        <f>+CR145+'2. Consolidated'!CS86</f>
        <v>3108</v>
      </c>
      <c r="CT145" s="252"/>
      <c r="CU145" s="249"/>
      <c r="CV145" s="249"/>
      <c r="CW145" s="249"/>
      <c r="CX145" s="249"/>
      <c r="CY145" s="252"/>
      <c r="CZ145" s="249"/>
      <c r="DA145" s="249"/>
      <c r="DB145" s="249"/>
      <c r="DC145" s="249"/>
      <c r="DD145" s="252"/>
      <c r="DE145" s="249"/>
      <c r="DF145" s="249"/>
      <c r="DG145" s="249"/>
      <c r="DH145" s="249"/>
      <c r="DI145" s="252"/>
    </row>
    <row r="146" spans="1:113" s="7" customFormat="1" ht="12" hidden="1" customHeight="1" outlineLevel="1">
      <c r="A146" s="239"/>
      <c r="B146" s="274" t="s">
        <v>15</v>
      </c>
      <c r="C146" s="249"/>
      <c r="D146" s="252"/>
      <c r="E146" s="249"/>
      <c r="F146" s="252"/>
      <c r="G146" s="249"/>
      <c r="H146" s="252"/>
      <c r="I146" s="249"/>
      <c r="J146" s="252"/>
      <c r="K146" s="249"/>
      <c r="L146" s="252"/>
      <c r="M146" s="249"/>
      <c r="N146" s="252"/>
      <c r="O146" s="252"/>
      <c r="P146" s="249"/>
      <c r="Q146" s="252"/>
      <c r="R146" s="249">
        <f>+'2. Consolidated'!R93*'2. Consolidated'!R90</f>
        <v>0</v>
      </c>
      <c r="S146" s="249">
        <f>+'2. Consolidated'!S93*'2. Consolidated'!S90+R146</f>
        <v>0</v>
      </c>
      <c r="T146" s="249">
        <f>+'2. Consolidated'!T93*'2. Consolidated'!T90+S146</f>
        <v>0</v>
      </c>
      <c r="U146" s="249">
        <f>+'2. Consolidated'!U93*'2. Consolidated'!U90+T146</f>
        <v>0</v>
      </c>
      <c r="V146" s="252"/>
      <c r="W146" s="249">
        <f>+'2. Consolidated'!W93*'2. Consolidated'!W90</f>
        <v>0</v>
      </c>
      <c r="X146" s="249">
        <f>+'2. Consolidated'!X93*'2. Consolidated'!X90+W146</f>
        <v>0</v>
      </c>
      <c r="Y146" s="249">
        <f>+'2. Consolidated'!Y93*'2. Consolidated'!Y90+X146</f>
        <v>0</v>
      </c>
      <c r="Z146" s="249">
        <f>+'2. Consolidated'!Z93*'2. Consolidated'!Z90+Y146</f>
        <v>0</v>
      </c>
      <c r="AA146" s="252"/>
      <c r="AB146" s="252"/>
      <c r="AC146" s="249">
        <f>+'2. Consolidated'!AC93*'2. Consolidated'!AC90</f>
        <v>-18</v>
      </c>
      <c r="AD146" s="249">
        <f>+'2. Consolidated'!AD93*'2. Consolidated'!AD90+AC146</f>
        <v>-155</v>
      </c>
      <c r="AE146" s="249">
        <f>+'2. Consolidated'!AE93*'2. Consolidated'!AE90+AD146</f>
        <v>49</v>
      </c>
      <c r="AF146" s="249">
        <f>+'2. Consolidated'!AF93*'2. Consolidated'!AF90+AE146</f>
        <v>21</v>
      </c>
      <c r="AG146" s="252"/>
      <c r="AH146" s="249">
        <f>+'2. Consolidated'!AH93*'2. Consolidated'!AH90</f>
        <v>0</v>
      </c>
      <c r="AI146" s="249">
        <f>+'2. Consolidated'!AI93*'2. Consolidated'!AI90+AH146</f>
        <v>0</v>
      </c>
      <c r="AJ146" s="249">
        <f>+'2. Consolidated'!AJ93*'2. Consolidated'!AJ90+AI146</f>
        <v>0</v>
      </c>
      <c r="AK146" s="249">
        <f>+'2. Consolidated'!AK93*'2. Consolidated'!AK90+AJ146</f>
        <v>0</v>
      </c>
      <c r="AL146" s="252"/>
      <c r="AM146" s="249">
        <f>+'2. Consolidated'!AM93*'2. Consolidated'!AM90</f>
        <v>0</v>
      </c>
      <c r="AN146" s="249">
        <f>+'2. Consolidated'!AN93*'2. Consolidated'!AN90+AM146</f>
        <v>0</v>
      </c>
      <c r="AO146" s="249">
        <f>+'2. Consolidated'!AO93*'2. Consolidated'!AO90+AN146</f>
        <v>0</v>
      </c>
      <c r="AP146" s="249">
        <f>+'2. Consolidated'!AP93*'2. Consolidated'!AP90+AO146</f>
        <v>0</v>
      </c>
      <c r="AQ146" s="273"/>
      <c r="AR146" s="249">
        <f>+'2. Consolidated'!AR93*'2. Consolidated'!AR90</f>
        <v>0</v>
      </c>
      <c r="AS146" s="249">
        <f>+'2. Consolidated'!AS93*'2. Consolidated'!AS90+AR146</f>
        <v>0</v>
      </c>
      <c r="AT146" s="249">
        <f>+'2. Consolidated'!AT93*'2. Consolidated'!AT90+AS146</f>
        <v>0</v>
      </c>
      <c r="AU146" s="249">
        <f>+'2. Consolidated'!AU93*'2. Consolidated'!AU90+AT146</f>
        <v>0</v>
      </c>
      <c r="AV146" s="252"/>
      <c r="AW146" s="249">
        <f>+'2. Consolidated'!AW93*'2. Consolidated'!AW90</f>
        <v>0</v>
      </c>
      <c r="AX146" s="249">
        <f>+'2. Consolidated'!AX93*'2. Consolidated'!AX90+AW146</f>
        <v>0</v>
      </c>
      <c r="AY146" s="249">
        <f>+'2. Consolidated'!AY93*'2. Consolidated'!AY90+AX146</f>
        <v>0</v>
      </c>
      <c r="AZ146" s="249">
        <f>+'2. Consolidated'!AZ93*'2. Consolidated'!AZ90+AY146</f>
        <v>0</v>
      </c>
      <c r="BA146" s="252"/>
      <c r="BB146" s="249">
        <f>+'2. Consolidated'!BB93*'2. Consolidated'!BB90</f>
        <v>0</v>
      </c>
      <c r="BC146" s="249">
        <f>+'2. Consolidated'!BC93*'2. Consolidated'!BC90+BB146</f>
        <v>0</v>
      </c>
      <c r="BD146" s="249">
        <f>+'2. Consolidated'!BD93*'2. Consolidated'!BD90+BC146</f>
        <v>-2030</v>
      </c>
      <c r="BE146" s="249">
        <f>+'2. Consolidated'!BE93*'2. Consolidated'!BE90+BD146</f>
        <v>-2030</v>
      </c>
      <c r="BF146" s="252"/>
      <c r="BG146" s="249">
        <f>+'2. Consolidated'!BG93*'2. Consolidated'!BG90</f>
        <v>0</v>
      </c>
      <c r="BH146" s="249">
        <f>+'2. Consolidated'!BH93*'2. Consolidated'!BH90+BG146</f>
        <v>0</v>
      </c>
      <c r="BI146" s="249">
        <f>+'2. Consolidated'!BI93*'2. Consolidated'!BI90+BH146</f>
        <v>0</v>
      </c>
      <c r="BJ146" s="249">
        <f>+'2. Consolidated'!BJ93*'2. Consolidated'!BJ90+BI146</f>
        <v>0</v>
      </c>
      <c r="BK146" s="252"/>
      <c r="BL146" s="249">
        <f>+'2. Consolidated'!BL93*'2. Consolidated'!BL90</f>
        <v>0</v>
      </c>
      <c r="BM146" s="249">
        <f>+'2. Consolidated'!BM93*'2. Consolidated'!BM90+BL146</f>
        <v>0</v>
      </c>
      <c r="BN146" s="249">
        <f>+'2. Consolidated'!BN93*'2. Consolidated'!BN90+BM146</f>
        <v>-399.99999999999994</v>
      </c>
      <c r="BO146" s="249">
        <f>+'2. Consolidated'!BO93*'2. Consolidated'!BO90+BN146</f>
        <v>-399.99999999999994</v>
      </c>
      <c r="BP146" s="252"/>
      <c r="BQ146" s="249">
        <f>+'2. Consolidated'!BQ93*'2. Consolidated'!BQ90</f>
        <v>0</v>
      </c>
      <c r="BR146" s="249">
        <f>+'2. Consolidated'!BR93*'2. Consolidated'!BR90+BQ146</f>
        <v>0</v>
      </c>
      <c r="BS146" s="249">
        <f>+'2. Consolidated'!BS93*'2. Consolidated'!BS90+BR146</f>
        <v>0</v>
      </c>
      <c r="BT146" s="249">
        <f>+'2. Consolidated'!BT93*'2. Consolidated'!BT90+BS146</f>
        <v>0</v>
      </c>
      <c r="BU146" s="252"/>
      <c r="BV146" s="249">
        <f>+'2. Consolidated'!BV93*'2. Consolidated'!BV90</f>
        <v>0</v>
      </c>
      <c r="BW146" s="249">
        <f>+'2. Consolidated'!BW93*'2. Consolidated'!BW90+BV146</f>
        <v>0</v>
      </c>
      <c r="BX146" s="249">
        <f>+'2. Consolidated'!BX93*'2. Consolidated'!BX90+BW146</f>
        <v>0</v>
      </c>
      <c r="BY146" s="249">
        <f>+'2. Consolidated'!BY93*'2. Consolidated'!BY90+BX146</f>
        <v>0</v>
      </c>
      <c r="BZ146" s="252"/>
      <c r="CA146" s="249">
        <f>+'2. Consolidated'!CA93*'2. Consolidated'!CA90</f>
        <v>0</v>
      </c>
      <c r="CB146" s="249">
        <f>+'2. Consolidated'!CB93*'2. Consolidated'!CB90+CA146</f>
        <v>0</v>
      </c>
      <c r="CC146" s="249">
        <f>+'2. Consolidated'!CC93*'2. Consolidated'!CC90+CB146</f>
        <v>0</v>
      </c>
      <c r="CD146" s="249">
        <f>+'2. Consolidated'!CD93*'2. Consolidated'!CD90+CC146</f>
        <v>0</v>
      </c>
      <c r="CE146" s="252"/>
      <c r="CF146" s="249">
        <f>+'2. Consolidated'!CF93*'2. Consolidated'!CF90</f>
        <v>0</v>
      </c>
      <c r="CG146" s="249">
        <f>+'2. Consolidated'!CG93*'2. Consolidated'!CG90+CF146</f>
        <v>0</v>
      </c>
      <c r="CH146" s="249">
        <f>+'2. Consolidated'!CH93*'2. Consolidated'!CH90+CG146</f>
        <v>-327</v>
      </c>
      <c r="CI146" s="249">
        <f>+'2. Consolidated'!CI93*'2. Consolidated'!CI90+CH146</f>
        <v>-352</v>
      </c>
      <c r="CJ146" s="252"/>
      <c r="CK146" s="249">
        <f>+'2. Consolidated'!CK93*'2. Consolidated'!CK90</f>
        <v>0</v>
      </c>
      <c r="CL146" s="249">
        <f>+'2. Consolidated'!CL93*'2. Consolidated'!CL90+CK146</f>
        <v>0</v>
      </c>
      <c r="CM146" s="249">
        <f>+'2. Consolidated'!CM93*'2. Consolidated'!CM90+CL146</f>
        <v>0</v>
      </c>
      <c r="CN146" s="249">
        <f>+'2. Consolidated'!CN93*'2. Consolidated'!CN90+CM146</f>
        <v>0</v>
      </c>
      <c r="CO146" s="252"/>
      <c r="CP146" s="249">
        <f>+'2. Consolidated'!CP93*'2. Consolidated'!CP90</f>
        <v>0</v>
      </c>
      <c r="CQ146" s="249">
        <f>+'2. Consolidated'!CQ93*'2. Consolidated'!CQ90+CP146</f>
        <v>0</v>
      </c>
      <c r="CR146" s="249">
        <f>+'2. Consolidated'!CR93*'2. Consolidated'!CR90+CQ146</f>
        <v>0</v>
      </c>
      <c r="CS146" s="249">
        <f>+'2. Consolidated'!CS93*'2. Consolidated'!CS90+CR146</f>
        <v>0</v>
      </c>
      <c r="CT146" s="252"/>
      <c r="CU146" s="249"/>
      <c r="CV146" s="249"/>
      <c r="CW146" s="249"/>
      <c r="CX146" s="249"/>
      <c r="CY146" s="252"/>
      <c r="CZ146" s="249"/>
      <c r="DA146" s="249"/>
      <c r="DB146" s="249"/>
      <c r="DC146" s="249"/>
      <c r="DD146" s="252"/>
      <c r="DE146" s="249"/>
      <c r="DF146" s="249"/>
      <c r="DG146" s="249"/>
      <c r="DH146" s="249"/>
      <c r="DI146" s="252"/>
    </row>
    <row r="147" spans="1:113" s="7" customFormat="1" ht="12" hidden="1" customHeight="1" outlineLevel="1">
      <c r="A147" s="239"/>
      <c r="B147" s="274"/>
      <c r="C147" s="249"/>
      <c r="D147" s="252"/>
      <c r="E147" s="249"/>
      <c r="F147" s="252"/>
      <c r="G147" s="249"/>
      <c r="H147" s="252"/>
      <c r="I147" s="249"/>
      <c r="J147" s="252"/>
      <c r="K147" s="249"/>
      <c r="L147" s="252"/>
      <c r="M147" s="249"/>
      <c r="N147" s="252"/>
      <c r="O147" s="252"/>
      <c r="P147" s="249"/>
      <c r="Q147" s="252"/>
      <c r="R147" s="249" t="s">
        <v>4</v>
      </c>
      <c r="S147" s="249" t="s">
        <v>4</v>
      </c>
      <c r="T147" s="249" t="s">
        <v>4</v>
      </c>
      <c r="U147" s="249" t="s">
        <v>4</v>
      </c>
      <c r="V147" s="252"/>
      <c r="W147" s="249" t="s">
        <v>4</v>
      </c>
      <c r="X147" s="249" t="s">
        <v>4</v>
      </c>
      <c r="Y147" s="249" t="s">
        <v>4</v>
      </c>
      <c r="Z147" s="249" t="s">
        <v>4</v>
      </c>
      <c r="AA147" s="252"/>
      <c r="AB147" s="252"/>
      <c r="AC147" s="249" t="s">
        <v>4</v>
      </c>
      <c r="AD147" s="249" t="s">
        <v>4</v>
      </c>
      <c r="AE147" s="249" t="s">
        <v>4</v>
      </c>
      <c r="AF147" s="249" t="s">
        <v>4</v>
      </c>
      <c r="AG147" s="252"/>
      <c r="AH147" s="249" t="s">
        <v>4</v>
      </c>
      <c r="AI147" s="249" t="s">
        <v>4</v>
      </c>
      <c r="AJ147" s="249" t="s">
        <v>4</v>
      </c>
      <c r="AK147" s="249" t="s">
        <v>4</v>
      </c>
      <c r="AL147" s="252"/>
      <c r="AM147" s="249" t="s">
        <v>4</v>
      </c>
      <c r="AN147" s="249" t="s">
        <v>4</v>
      </c>
      <c r="AO147" s="249" t="s">
        <v>4</v>
      </c>
      <c r="AP147" s="249" t="s">
        <v>4</v>
      </c>
      <c r="AQ147" s="252"/>
      <c r="AR147" s="249" t="s">
        <v>4</v>
      </c>
      <c r="AS147" s="249" t="s">
        <v>4</v>
      </c>
      <c r="AT147" s="249" t="s">
        <v>4</v>
      </c>
      <c r="AU147" s="249" t="s">
        <v>4</v>
      </c>
      <c r="AV147" s="252"/>
      <c r="AW147" s="249" t="s">
        <v>4</v>
      </c>
      <c r="AX147" s="249" t="s">
        <v>4</v>
      </c>
      <c r="AY147" s="249" t="s">
        <v>4</v>
      </c>
      <c r="AZ147" s="249" t="s">
        <v>4</v>
      </c>
      <c r="BA147" s="252"/>
      <c r="BB147" s="249" t="s">
        <v>4</v>
      </c>
      <c r="BC147" s="249" t="s">
        <v>4</v>
      </c>
      <c r="BD147" s="249" t="s">
        <v>4</v>
      </c>
      <c r="BE147" s="249" t="s">
        <v>4</v>
      </c>
      <c r="BF147" s="252"/>
      <c r="BG147" s="249" t="s">
        <v>4</v>
      </c>
      <c r="BH147" s="249" t="s">
        <v>4</v>
      </c>
      <c r="BI147" s="249" t="s">
        <v>4</v>
      </c>
      <c r="BJ147" s="249" t="s">
        <v>4</v>
      </c>
      <c r="BK147" s="252"/>
      <c r="BL147" s="249" t="s">
        <v>4</v>
      </c>
      <c r="BM147" s="249" t="s">
        <v>4</v>
      </c>
      <c r="BN147" s="249" t="s">
        <v>4</v>
      </c>
      <c r="BO147" s="249" t="s">
        <v>4</v>
      </c>
      <c r="BP147" s="252"/>
      <c r="BQ147" s="249" t="s">
        <v>4</v>
      </c>
      <c r="BR147" s="249" t="s">
        <v>4</v>
      </c>
      <c r="BS147" s="249" t="s">
        <v>4</v>
      </c>
      <c r="BT147" s="249" t="s">
        <v>4</v>
      </c>
      <c r="BU147" s="252"/>
      <c r="BV147" s="249" t="s">
        <v>4</v>
      </c>
      <c r="BW147" s="249" t="s">
        <v>4</v>
      </c>
      <c r="BX147" s="249" t="s">
        <v>4</v>
      </c>
      <c r="BY147" s="249" t="s">
        <v>4</v>
      </c>
      <c r="BZ147" s="252"/>
      <c r="CA147" s="249" t="s">
        <v>4</v>
      </c>
      <c r="CB147" s="249" t="s">
        <v>4</v>
      </c>
      <c r="CC147" s="249" t="s">
        <v>4</v>
      </c>
      <c r="CD147" s="249" t="s">
        <v>4</v>
      </c>
      <c r="CE147" s="252"/>
      <c r="CF147" s="249" t="s">
        <v>4</v>
      </c>
      <c r="CG147" s="249" t="s">
        <v>4</v>
      </c>
      <c r="CH147" s="249" t="s">
        <v>4</v>
      </c>
      <c r="CI147" s="249" t="s">
        <v>4</v>
      </c>
      <c r="CJ147" s="252"/>
      <c r="CK147" s="249" t="s">
        <v>4</v>
      </c>
      <c r="CL147" s="249" t="s">
        <v>4</v>
      </c>
      <c r="CM147" s="249" t="s">
        <v>4</v>
      </c>
      <c r="CN147" s="249" t="s">
        <v>4</v>
      </c>
      <c r="CO147" s="252"/>
      <c r="CP147" s="249" t="s">
        <v>4</v>
      </c>
      <c r="CQ147" s="249" t="s">
        <v>4</v>
      </c>
      <c r="CR147" s="249" t="s">
        <v>4</v>
      </c>
      <c r="CS147" s="249" t="s">
        <v>4</v>
      </c>
      <c r="CT147" s="252"/>
      <c r="CU147" s="249"/>
      <c r="CV147" s="249"/>
      <c r="CW147" s="249"/>
      <c r="CX147" s="249"/>
      <c r="CY147" s="252"/>
      <c r="CZ147" s="249"/>
      <c r="DA147" s="249"/>
      <c r="DB147" s="249"/>
      <c r="DC147" s="249"/>
      <c r="DD147" s="252"/>
      <c r="DE147" s="249"/>
      <c r="DF147" s="249"/>
      <c r="DG147" s="249"/>
      <c r="DH147" s="249"/>
      <c r="DI147" s="252"/>
    </row>
    <row r="148" spans="1:113" s="117" customFormat="1" ht="12" hidden="1" customHeight="1" outlineLevel="1">
      <c r="A148" s="239"/>
      <c r="B148" s="272" t="s">
        <v>16</v>
      </c>
      <c r="C148" s="275"/>
      <c r="D148" s="276"/>
      <c r="E148" s="275"/>
      <c r="F148" s="276"/>
      <c r="G148" s="275"/>
      <c r="H148" s="276"/>
      <c r="I148" s="275"/>
      <c r="J148" s="276"/>
      <c r="K148" s="275"/>
      <c r="L148" s="276"/>
      <c r="M148" s="275"/>
      <c r="N148" s="276"/>
      <c r="O148" s="276"/>
      <c r="P148" s="275"/>
      <c r="Q148" s="276"/>
      <c r="R148" s="275">
        <f>SUM(R145:R146)</f>
        <v>558.99999999999977</v>
      </c>
      <c r="S148" s="275">
        <f>SUM(S145:S146)</f>
        <v>1016</v>
      </c>
      <c r="T148" s="275">
        <f>SUM(T145:T146)</f>
        <v>1539</v>
      </c>
      <c r="U148" s="275">
        <f>SUM(U145:U146)</f>
        <v>2133</v>
      </c>
      <c r="V148" s="276"/>
      <c r="W148" s="275">
        <f>SUM(W145:W146)</f>
        <v>645</v>
      </c>
      <c r="X148" s="275">
        <f>SUM(X145:X146)</f>
        <v>1114</v>
      </c>
      <c r="Y148" s="275">
        <f>SUM(Y145:Y146)</f>
        <v>1674</v>
      </c>
      <c r="Z148" s="275">
        <f>SUM(Z145:Z146)</f>
        <v>2223</v>
      </c>
      <c r="AA148" s="276"/>
      <c r="AB148" s="276"/>
      <c r="AC148" s="275">
        <f>SUM(AC145:AC146)</f>
        <v>564</v>
      </c>
      <c r="AD148" s="275">
        <f>SUM(AD145:AD146)</f>
        <v>946</v>
      </c>
      <c r="AE148" s="275">
        <f>SUM(AE145:AE146)</f>
        <v>1810</v>
      </c>
      <c r="AF148" s="275">
        <f>SUM(AF145:AF146)</f>
        <v>2472</v>
      </c>
      <c r="AG148" s="276"/>
      <c r="AH148" s="275">
        <f>SUM(AH145:AH146)</f>
        <v>779</v>
      </c>
      <c r="AI148" s="275">
        <f>SUM(AI145:AI146)</f>
        <v>1313</v>
      </c>
      <c r="AJ148" s="275">
        <f>SUM(AJ145:AJ146)</f>
        <v>1995</v>
      </c>
      <c r="AK148" s="275">
        <v>2693</v>
      </c>
      <c r="AL148" s="276"/>
      <c r="AM148" s="275">
        <f>SUM(AM145:AM146)</f>
        <v>962</v>
      </c>
      <c r="AN148" s="275">
        <f>SUM(AN145:AN146)</f>
        <v>1617</v>
      </c>
      <c r="AO148" s="275">
        <f>SUM(AO145:AO146)</f>
        <v>2408</v>
      </c>
      <c r="AP148" s="275">
        <f>SUM(AP145:AP146)</f>
        <v>3273</v>
      </c>
      <c r="AQ148" s="277"/>
      <c r="AR148" s="278">
        <f>SUM(AR145:AR146)</f>
        <v>1179</v>
      </c>
      <c r="AS148" s="278">
        <f>SUM(AS145:AS146)</f>
        <v>1964</v>
      </c>
      <c r="AT148" s="278">
        <f>SUM(AT145:AT146)</f>
        <v>2914</v>
      </c>
      <c r="AU148" s="278">
        <f>SUM(AU145:AU146)</f>
        <v>3760</v>
      </c>
      <c r="AV148" s="276"/>
      <c r="AW148" s="275">
        <f>SUM(AW145:AW146)</f>
        <v>1249</v>
      </c>
      <c r="AX148" s="275">
        <f>SUM(AX145:AX146)</f>
        <v>2091</v>
      </c>
      <c r="AY148" s="275">
        <f>SUM(AY145:AY146)</f>
        <v>3232</v>
      </c>
      <c r="AZ148" s="275">
        <f>SUM(AZ145:AZ146)</f>
        <v>4240</v>
      </c>
      <c r="BA148" s="276"/>
      <c r="BB148" s="275">
        <f>SUM(BB145:BB146)</f>
        <v>950</v>
      </c>
      <c r="BC148" s="275">
        <f>SUM(BC145:BC146)</f>
        <v>1717</v>
      </c>
      <c r="BD148" s="275">
        <v>796</v>
      </c>
      <c r="BE148" s="275">
        <f>SUM(BE145:BE146)</f>
        <v>1933</v>
      </c>
      <c r="BF148" s="276"/>
      <c r="BG148" s="275">
        <f>SUM(BG145:BG146)</f>
        <v>1092</v>
      </c>
      <c r="BH148" s="275">
        <f>SUM(BH145:BH146)</f>
        <v>1939</v>
      </c>
      <c r="BI148" s="275">
        <f>SUM(BI145:BI146)</f>
        <v>3040</v>
      </c>
      <c r="BJ148" s="275">
        <f>SUM(BJ145:BJ146)</f>
        <v>4029</v>
      </c>
      <c r="BK148" s="276"/>
      <c r="BL148" s="275">
        <f>SUM(BL145:BL146)</f>
        <v>1367</v>
      </c>
      <c r="BM148" s="275">
        <f>SUM(BM145:BM146)</f>
        <v>2482</v>
      </c>
      <c r="BN148" s="275">
        <f>SUM(BN145:BN146)</f>
        <v>3329</v>
      </c>
      <c r="BO148" s="275">
        <f>SUM(BO145:BO146)</f>
        <v>2539</v>
      </c>
      <c r="BP148" s="276"/>
      <c r="BQ148" s="275">
        <f>SUM(BQ145:BQ146)</f>
        <v>1518</v>
      </c>
      <c r="BR148" s="275">
        <f>SUM(BR145:BR146)</f>
        <v>2769</v>
      </c>
      <c r="BS148" s="275">
        <f>SUM(BS145:BS146)</f>
        <v>4218</v>
      </c>
      <c r="BT148" s="275">
        <f>SUM(BT145:BT146)</f>
        <v>5727</v>
      </c>
      <c r="BU148" s="276"/>
      <c r="BV148" s="275">
        <f>SUM(BV145:BV146)</f>
        <v>1874</v>
      </c>
      <c r="BW148" s="275">
        <f>SUM(BW145:BW146)</f>
        <v>3211</v>
      </c>
      <c r="BX148" s="275">
        <f>SUM(BX145:BX146)</f>
        <v>4607</v>
      </c>
      <c r="BY148" s="275">
        <f>SUM(BY145:BY146)</f>
        <v>6046</v>
      </c>
      <c r="BZ148" s="276"/>
      <c r="CA148" s="275">
        <f>SUM(CA145:CA146)</f>
        <v>1468</v>
      </c>
      <c r="CB148" s="275">
        <f>SUM(CB145:CB146)</f>
        <v>2799</v>
      </c>
      <c r="CC148" s="275">
        <f>SUM(CC145:CC146)</f>
        <v>4039</v>
      </c>
      <c r="CD148" s="275">
        <f>SUM(CD145:CD146)</f>
        <v>5070</v>
      </c>
      <c r="CE148" s="276"/>
      <c r="CF148" s="275">
        <f>SUM(CF145:CF146)</f>
        <v>1450</v>
      </c>
      <c r="CG148" s="275">
        <f>SUM(CG145:CG146)</f>
        <v>3028</v>
      </c>
      <c r="CH148" s="275">
        <f>SUM(CH145:CH146)</f>
        <v>4200</v>
      </c>
      <c r="CI148" s="275">
        <f>SUM(CI145:CI146)</f>
        <v>5700</v>
      </c>
      <c r="CJ148" s="276"/>
      <c r="CK148" s="275">
        <f>SUM(CK145:CK146)</f>
        <v>1051</v>
      </c>
      <c r="CL148" s="275">
        <f>SUM(CL145:CL146)</f>
        <v>2214</v>
      </c>
      <c r="CM148" s="275">
        <f>SUM(CM145:CM146)</f>
        <v>3008</v>
      </c>
      <c r="CN148" s="275">
        <f>SUM(CN145:CN146)</f>
        <v>3219</v>
      </c>
      <c r="CO148" s="276"/>
      <c r="CP148" s="275">
        <f>SUM(CP145:CP146)</f>
        <v>727</v>
      </c>
      <c r="CQ148" s="275">
        <f>SUM(CQ145:CQ146)</f>
        <v>1519</v>
      </c>
      <c r="CR148" s="275">
        <f>SUM(CR145:CR146)</f>
        <v>2039</v>
      </c>
      <c r="CS148" s="275">
        <f>SUM(CS145:CS146)</f>
        <v>3108</v>
      </c>
      <c r="CT148" s="276"/>
      <c r="CU148" s="275"/>
      <c r="CV148" s="275"/>
      <c r="CW148" s="275"/>
      <c r="CX148" s="275"/>
      <c r="CY148" s="276"/>
      <c r="CZ148" s="275"/>
      <c r="DA148" s="275"/>
      <c r="DB148" s="275"/>
      <c r="DC148" s="275"/>
      <c r="DD148" s="276"/>
      <c r="DE148" s="275"/>
      <c r="DF148" s="275"/>
      <c r="DG148" s="275"/>
      <c r="DH148" s="275"/>
      <c r="DI148" s="276"/>
    </row>
    <row r="149" spans="1:113" s="7" customFormat="1" ht="12" hidden="1" customHeight="1" outlineLevel="1">
      <c r="A149" s="239"/>
      <c r="B149" s="274" t="s">
        <v>17</v>
      </c>
      <c r="C149" s="249"/>
      <c r="D149" s="252"/>
      <c r="E149" s="249"/>
      <c r="F149" s="252"/>
      <c r="G149" s="249"/>
      <c r="H149" s="252"/>
      <c r="I149" s="249"/>
      <c r="J149" s="252"/>
      <c r="K149" s="249"/>
      <c r="L149" s="252"/>
      <c r="M149" s="249"/>
      <c r="N149" s="252"/>
      <c r="O149" s="252"/>
      <c r="P149" s="249"/>
      <c r="Q149" s="252"/>
      <c r="R149" s="249">
        <v>78</v>
      </c>
      <c r="S149" s="249">
        <v>161</v>
      </c>
      <c r="T149" s="249">
        <v>249</v>
      </c>
      <c r="U149" s="249">
        <v>335</v>
      </c>
      <c r="V149" s="252"/>
      <c r="W149" s="249">
        <v>86</v>
      </c>
      <c r="X149" s="249">
        <v>178</v>
      </c>
      <c r="Y149" s="249">
        <v>272</v>
      </c>
      <c r="Z149" s="249">
        <v>373</v>
      </c>
      <c r="AA149" s="252"/>
      <c r="AB149" s="252"/>
      <c r="AC149" s="249">
        <v>104</v>
      </c>
      <c r="AD149" s="249">
        <v>211</v>
      </c>
      <c r="AE149" s="249">
        <v>322</v>
      </c>
      <c r="AF149" s="249">
        <v>438</v>
      </c>
      <c r="AG149" s="252"/>
      <c r="AH149" s="249">
        <f>122</f>
        <v>122</v>
      </c>
      <c r="AI149" s="249">
        <v>246</v>
      </c>
      <c r="AJ149" s="249">
        <f>378</f>
        <v>378</v>
      </c>
      <c r="AK149" s="249">
        <f>518</f>
        <v>518</v>
      </c>
      <c r="AL149" s="252"/>
      <c r="AM149" s="249">
        <v>147</v>
      </c>
      <c r="AN149" s="249">
        <f>301-54</f>
        <v>247</v>
      </c>
      <c r="AO149" s="249">
        <f>453+28</f>
        <v>481</v>
      </c>
      <c r="AP149" s="249">
        <f>606+43</f>
        <v>649</v>
      </c>
      <c r="AQ149" s="273"/>
      <c r="AR149" s="254">
        <f>154+11</f>
        <v>165</v>
      </c>
      <c r="AS149" s="254">
        <f>314+8</f>
        <v>322</v>
      </c>
      <c r="AT149" s="254">
        <v>481</v>
      </c>
      <c r="AU149" s="254">
        <f>649+13</f>
        <v>662</v>
      </c>
      <c r="AV149" s="252"/>
      <c r="AW149" s="249">
        <v>173</v>
      </c>
      <c r="AX149" s="249">
        <v>346</v>
      </c>
      <c r="AY149" s="249">
        <v>521</v>
      </c>
      <c r="AZ149" s="249">
        <v>706</v>
      </c>
      <c r="BA149" s="252"/>
      <c r="BB149" s="249">
        <v>179</v>
      </c>
      <c r="BC149" s="249">
        <v>366</v>
      </c>
      <c r="BD149" s="249">
        <v>551</v>
      </c>
      <c r="BE149" s="249">
        <v>747</v>
      </c>
      <c r="BF149" s="252"/>
      <c r="BG149" s="249">
        <v>178</v>
      </c>
      <c r="BH149" s="249">
        <v>349</v>
      </c>
      <c r="BI149" s="249">
        <v>527</v>
      </c>
      <c r="BJ149" s="249">
        <v>705</v>
      </c>
      <c r="BK149" s="252"/>
      <c r="BL149" s="249">
        <v>169</v>
      </c>
      <c r="BM149" s="249">
        <v>343</v>
      </c>
      <c r="BN149" s="249">
        <v>513</v>
      </c>
      <c r="BO149" s="249">
        <v>721</v>
      </c>
      <c r="BP149" s="252"/>
      <c r="BQ149" s="249">
        <v>176</v>
      </c>
      <c r="BR149" s="249">
        <v>361</v>
      </c>
      <c r="BS149" s="249">
        <v>543</v>
      </c>
      <c r="BT149" s="249">
        <v>744</v>
      </c>
      <c r="BU149" s="252"/>
      <c r="BV149" s="249">
        <v>177</v>
      </c>
      <c r="BW149" s="249">
        <v>358</v>
      </c>
      <c r="BX149" s="249">
        <v>538</v>
      </c>
      <c r="BY149" s="249">
        <v>717</v>
      </c>
      <c r="BZ149" s="252"/>
      <c r="CA149" s="249">
        <v>169</v>
      </c>
      <c r="CB149" s="249">
        <v>342</v>
      </c>
      <c r="CC149" s="249">
        <v>516</v>
      </c>
      <c r="CD149" s="249">
        <v>703</v>
      </c>
      <c r="CE149" s="252"/>
      <c r="CF149" s="249">
        <v>191</v>
      </c>
      <c r="CG149" s="249">
        <v>382</v>
      </c>
      <c r="CH149" s="249">
        <v>589</v>
      </c>
      <c r="CI149" s="249">
        <v>796</v>
      </c>
      <c r="CJ149" s="252"/>
      <c r="CK149" s="249">
        <v>188</v>
      </c>
      <c r="CL149" s="249">
        <v>378</v>
      </c>
      <c r="CM149" s="249">
        <v>576</v>
      </c>
      <c r="CN149" s="249">
        <v>775</v>
      </c>
      <c r="CO149" s="252"/>
      <c r="CP149" s="249">
        <v>190</v>
      </c>
      <c r="CQ149" s="249">
        <v>369</v>
      </c>
      <c r="CR149" s="249">
        <v>554</v>
      </c>
      <c r="CS149" s="249">
        <v>747</v>
      </c>
      <c r="CT149" s="252"/>
      <c r="CU149" s="249"/>
      <c r="CV149" s="249"/>
      <c r="CW149" s="249"/>
      <c r="CX149" s="249"/>
      <c r="CY149" s="252"/>
      <c r="CZ149" s="249"/>
      <c r="DA149" s="249"/>
      <c r="DB149" s="249"/>
      <c r="DC149" s="249"/>
      <c r="DD149" s="252"/>
      <c r="DE149" s="249"/>
      <c r="DF149" s="249"/>
      <c r="DG149" s="249"/>
      <c r="DH149" s="249"/>
      <c r="DI149" s="252"/>
    </row>
    <row r="150" spans="1:113" s="7" customFormat="1" ht="12" hidden="1" customHeight="1" outlineLevel="1">
      <c r="A150" s="239"/>
      <c r="B150" s="274" t="s">
        <v>18</v>
      </c>
      <c r="C150" s="249"/>
      <c r="D150" s="252"/>
      <c r="E150" s="249"/>
      <c r="F150" s="252"/>
      <c r="G150" s="249"/>
      <c r="H150" s="252"/>
      <c r="I150" s="249"/>
      <c r="J150" s="252"/>
      <c r="K150" s="249"/>
      <c r="L150" s="252"/>
      <c r="M150" s="249"/>
      <c r="N150" s="252"/>
      <c r="O150" s="252"/>
      <c r="P150" s="249"/>
      <c r="Q150" s="252"/>
      <c r="R150" s="249">
        <v>21</v>
      </c>
      <c r="S150" s="249">
        <v>50</v>
      </c>
      <c r="T150" s="249">
        <v>78</v>
      </c>
      <c r="U150" s="249">
        <v>105</v>
      </c>
      <c r="V150" s="252"/>
      <c r="W150" s="249">
        <v>25</v>
      </c>
      <c r="X150" s="249">
        <v>61</v>
      </c>
      <c r="Y150" s="249">
        <v>95</v>
      </c>
      <c r="Z150" s="249">
        <v>130</v>
      </c>
      <c r="AA150" s="252"/>
      <c r="AB150" s="252"/>
      <c r="AC150" s="249">
        <v>37</v>
      </c>
      <c r="AD150" s="249">
        <v>83</v>
      </c>
      <c r="AE150" s="249">
        <v>128</v>
      </c>
      <c r="AF150" s="249">
        <v>174</v>
      </c>
      <c r="AG150" s="252"/>
      <c r="AH150" s="249">
        <v>42</v>
      </c>
      <c r="AI150" s="249">
        <v>88</v>
      </c>
      <c r="AJ150" s="249">
        <v>131</v>
      </c>
      <c r="AK150" s="249">
        <v>177</v>
      </c>
      <c r="AL150" s="252"/>
      <c r="AM150" s="249">
        <v>43</v>
      </c>
      <c r="AN150" s="249">
        <v>92</v>
      </c>
      <c r="AO150" s="249">
        <v>140</v>
      </c>
      <c r="AP150" s="249">
        <v>191</v>
      </c>
      <c r="AQ150" s="273"/>
      <c r="AR150" s="254">
        <v>54</v>
      </c>
      <c r="AS150" s="254">
        <v>116</v>
      </c>
      <c r="AT150" s="254">
        <v>176</v>
      </c>
      <c r="AU150" s="254">
        <v>236</v>
      </c>
      <c r="AV150" s="252"/>
      <c r="AW150" s="249">
        <v>57</v>
      </c>
      <c r="AX150" s="249">
        <v>111</v>
      </c>
      <c r="AY150" s="249">
        <v>162</v>
      </c>
      <c r="AZ150" s="249">
        <v>215</v>
      </c>
      <c r="BA150" s="252"/>
      <c r="BB150" s="249">
        <v>50</v>
      </c>
      <c r="BC150" s="249">
        <v>103</v>
      </c>
      <c r="BD150" s="249">
        <v>158</v>
      </c>
      <c r="BE150" s="249">
        <v>218</v>
      </c>
      <c r="BF150" s="252"/>
      <c r="BG150" s="249">
        <v>41</v>
      </c>
      <c r="BH150" s="249">
        <v>133</v>
      </c>
      <c r="BI150" s="249">
        <v>226</v>
      </c>
      <c r="BJ150" s="249">
        <v>325</v>
      </c>
      <c r="BK150" s="252"/>
      <c r="BL150" s="249">
        <v>80</v>
      </c>
      <c r="BM150" s="249">
        <v>190</v>
      </c>
      <c r="BN150" s="249">
        <v>303</v>
      </c>
      <c r="BO150" s="249">
        <v>429</v>
      </c>
      <c r="BP150" s="252"/>
      <c r="BQ150" s="249">
        <v>136</v>
      </c>
      <c r="BR150" s="249">
        <v>325</v>
      </c>
      <c r="BS150" s="249">
        <v>467</v>
      </c>
      <c r="BT150" s="249">
        <v>611</v>
      </c>
      <c r="BU150" s="252"/>
      <c r="BV150" s="249">
        <v>136</v>
      </c>
      <c r="BW150" s="249">
        <v>306</v>
      </c>
      <c r="BX150" s="249">
        <v>467</v>
      </c>
      <c r="BY150" s="249">
        <v>638</v>
      </c>
      <c r="BZ150" s="252"/>
      <c r="CA150" s="279">
        <v>170</v>
      </c>
      <c r="CB150" s="249">
        <v>364</v>
      </c>
      <c r="CC150" s="249">
        <v>556</v>
      </c>
      <c r="CD150" s="249">
        <v>755</v>
      </c>
      <c r="CE150" s="252"/>
      <c r="CF150" s="249">
        <v>196</v>
      </c>
      <c r="CG150" s="249">
        <v>402</v>
      </c>
      <c r="CH150" s="249">
        <v>618</v>
      </c>
      <c r="CI150" s="249">
        <v>804</v>
      </c>
      <c r="CJ150" s="252"/>
      <c r="CK150" s="249">
        <v>183</v>
      </c>
      <c r="CL150" s="249">
        <v>375</v>
      </c>
      <c r="CM150" s="249">
        <v>544</v>
      </c>
      <c r="CN150" s="249">
        <v>709</v>
      </c>
      <c r="CO150" s="252"/>
      <c r="CP150" s="249">
        <v>185</v>
      </c>
      <c r="CQ150" s="249">
        <v>361</v>
      </c>
      <c r="CR150" s="249">
        <v>555</v>
      </c>
      <c r="CS150" s="249">
        <v>715</v>
      </c>
      <c r="CT150" s="252"/>
      <c r="CU150" s="249"/>
      <c r="CV150" s="249"/>
      <c r="CW150" s="249"/>
      <c r="CX150" s="249"/>
      <c r="CY150" s="252"/>
      <c r="CZ150" s="249"/>
      <c r="DA150" s="249"/>
      <c r="DB150" s="249"/>
      <c r="DC150" s="249"/>
      <c r="DD150" s="252"/>
      <c r="DE150" s="249"/>
      <c r="DF150" s="249"/>
      <c r="DG150" s="249"/>
      <c r="DH150" s="249"/>
      <c r="DI150" s="252"/>
    </row>
    <row r="151" spans="1:113" s="7" customFormat="1" ht="12" hidden="1" customHeight="1" outlineLevel="1">
      <c r="A151" s="239"/>
      <c r="B151" s="274" t="s">
        <v>121</v>
      </c>
      <c r="C151" s="249"/>
      <c r="D151" s="252"/>
      <c r="E151" s="249"/>
      <c r="F151" s="252"/>
      <c r="G151" s="249"/>
      <c r="H151" s="252"/>
      <c r="I151" s="249"/>
      <c r="J151" s="252"/>
      <c r="K151" s="249"/>
      <c r="L151" s="252"/>
      <c r="M151" s="249"/>
      <c r="N151" s="252"/>
      <c r="O151" s="252"/>
      <c r="P151" s="249"/>
      <c r="Q151" s="252"/>
      <c r="R151" s="249"/>
      <c r="S151" s="249"/>
      <c r="T151" s="249"/>
      <c r="U151" s="249"/>
      <c r="V151" s="252"/>
      <c r="W151" s="249"/>
      <c r="X151" s="249"/>
      <c r="Y151" s="249"/>
      <c r="Z151" s="249"/>
      <c r="AA151" s="252"/>
      <c r="AB151" s="252"/>
      <c r="AC151" s="249"/>
      <c r="AD151" s="249"/>
      <c r="AE151" s="249">
        <v>-56</v>
      </c>
      <c r="AF151" s="249">
        <v>21</v>
      </c>
      <c r="AG151" s="252"/>
      <c r="AH151" s="249">
        <v>24</v>
      </c>
      <c r="AI151" s="249">
        <v>23</v>
      </c>
      <c r="AJ151" s="249">
        <v>-56</v>
      </c>
      <c r="AK151" s="249">
        <v>-11</v>
      </c>
      <c r="AL151" s="252"/>
      <c r="AM151" s="249">
        <v>35</v>
      </c>
      <c r="AN151" s="249">
        <v>49</v>
      </c>
      <c r="AO151" s="249">
        <v>43</v>
      </c>
      <c r="AP151" s="249">
        <v>-113</v>
      </c>
      <c r="AQ151" s="273"/>
      <c r="AR151" s="254">
        <v>-31</v>
      </c>
      <c r="AS151" s="254">
        <f>+-39</f>
        <v>-39</v>
      </c>
      <c r="AT151" s="254">
        <v>-6</v>
      </c>
      <c r="AU151" s="254">
        <v>-80</v>
      </c>
      <c r="AV151" s="252"/>
      <c r="AW151" s="249">
        <v>-50</v>
      </c>
      <c r="AX151" s="249">
        <v>-70</v>
      </c>
      <c r="AY151" s="249">
        <v>-199</v>
      </c>
      <c r="AZ151" s="249">
        <v>-273</v>
      </c>
      <c r="BA151" s="252"/>
      <c r="BB151" s="249">
        <v>-59</v>
      </c>
      <c r="BC151" s="249">
        <v>-83</v>
      </c>
      <c r="BD151" s="249">
        <v>564</v>
      </c>
      <c r="BE151" s="249">
        <v>647</v>
      </c>
      <c r="BF151" s="252"/>
      <c r="BG151" s="249">
        <v>18</v>
      </c>
      <c r="BH151" s="249">
        <v>11</v>
      </c>
      <c r="BI151" s="249">
        <v>67</v>
      </c>
      <c r="BJ151" s="249">
        <v>34</v>
      </c>
      <c r="BK151" s="252"/>
      <c r="BL151" s="249">
        <v>-42</v>
      </c>
      <c r="BM151" s="249">
        <v>-134</v>
      </c>
      <c r="BN151" s="249">
        <v>-372</v>
      </c>
      <c r="BO151" s="249">
        <v>-380</v>
      </c>
      <c r="BP151" s="252"/>
      <c r="BQ151" s="249">
        <v>-220</v>
      </c>
      <c r="BR151" s="249">
        <v>-177</v>
      </c>
      <c r="BS151" s="249">
        <v>-291</v>
      </c>
      <c r="BT151" s="249">
        <v>-385</v>
      </c>
      <c r="BU151" s="252"/>
      <c r="BV151" s="249">
        <v>-145</v>
      </c>
      <c r="BW151" s="249">
        <v>-222</v>
      </c>
      <c r="BX151" s="249">
        <v>-234</v>
      </c>
      <c r="BY151" s="249">
        <v>-650</v>
      </c>
      <c r="BZ151" s="252"/>
      <c r="CA151" s="249">
        <v>-43</v>
      </c>
      <c r="CB151" s="249">
        <v>-150</v>
      </c>
      <c r="CC151" s="249">
        <v>-216</v>
      </c>
      <c r="CD151" s="249">
        <v>-117</v>
      </c>
      <c r="CE151" s="252"/>
      <c r="CF151" s="249">
        <v>-68</v>
      </c>
      <c r="CG151" s="249">
        <v>-144</v>
      </c>
      <c r="CH151" s="249">
        <v>-281</v>
      </c>
      <c r="CI151" s="249">
        <v>-497</v>
      </c>
      <c r="CJ151" s="252"/>
      <c r="CK151" s="249">
        <v>-53</v>
      </c>
      <c r="CL151" s="249">
        <v>-188</v>
      </c>
      <c r="CM151" s="249">
        <v>-304</v>
      </c>
      <c r="CN151" s="249">
        <v>-288</v>
      </c>
      <c r="CO151" s="252"/>
      <c r="CP151" s="249">
        <v>-25</v>
      </c>
      <c r="CQ151" s="249">
        <v>-68</v>
      </c>
      <c r="CR151" s="249">
        <v>-132</v>
      </c>
      <c r="CS151" s="249">
        <v>-96</v>
      </c>
      <c r="CT151" s="252"/>
      <c r="CU151" s="249"/>
      <c r="CV151" s="249"/>
      <c r="CW151" s="249"/>
      <c r="CX151" s="249"/>
      <c r="CY151" s="252"/>
      <c r="CZ151" s="249"/>
      <c r="DA151" s="249"/>
      <c r="DB151" s="249"/>
      <c r="DC151" s="249"/>
      <c r="DD151" s="252"/>
      <c r="DE151" s="249"/>
      <c r="DF151" s="249"/>
      <c r="DG151" s="249"/>
      <c r="DH151" s="249"/>
      <c r="DI151" s="252"/>
    </row>
    <row r="152" spans="1:113" s="7" customFormat="1" ht="12" hidden="1" customHeight="1" outlineLevel="1">
      <c r="A152" s="239"/>
      <c r="B152" s="274"/>
      <c r="C152" s="249"/>
      <c r="D152" s="252"/>
      <c r="E152" s="249"/>
      <c r="F152" s="252"/>
      <c r="G152" s="249"/>
      <c r="H152" s="252"/>
      <c r="I152" s="249"/>
      <c r="J152" s="252"/>
      <c r="K152" s="249"/>
      <c r="L152" s="252"/>
      <c r="M152" s="249"/>
      <c r="N152" s="252"/>
      <c r="O152" s="252"/>
      <c r="P152" s="249"/>
      <c r="Q152" s="252"/>
      <c r="R152" s="249"/>
      <c r="S152" s="249"/>
      <c r="T152" s="249"/>
      <c r="U152" s="249"/>
      <c r="V152" s="252"/>
      <c r="W152" s="249"/>
      <c r="X152" s="249"/>
      <c r="Y152" s="249"/>
      <c r="Z152" s="249"/>
      <c r="AA152" s="252"/>
      <c r="AB152" s="252"/>
      <c r="AC152" s="249"/>
      <c r="AD152" s="249"/>
      <c r="AE152" s="249"/>
      <c r="AF152" s="249"/>
      <c r="AG152" s="252"/>
      <c r="AH152" s="249"/>
      <c r="AI152" s="249"/>
      <c r="AJ152" s="249"/>
      <c r="AK152" s="249"/>
      <c r="AL152" s="252"/>
      <c r="AM152" s="249"/>
      <c r="AN152" s="249"/>
      <c r="AO152" s="249"/>
      <c r="AP152" s="249"/>
      <c r="AQ152" s="273"/>
      <c r="AR152" s="254"/>
      <c r="AS152" s="254"/>
      <c r="AT152" s="254"/>
      <c r="AU152" s="254"/>
      <c r="AV152" s="252"/>
      <c r="AW152" s="249"/>
      <c r="AX152" s="249"/>
      <c r="AY152" s="249"/>
      <c r="AZ152" s="249"/>
      <c r="BA152" s="252"/>
      <c r="BB152" s="249"/>
      <c r="BC152" s="249"/>
      <c r="BD152" s="249"/>
      <c r="BE152" s="249"/>
      <c r="BF152" s="252"/>
      <c r="BG152" s="249"/>
      <c r="BH152" s="249"/>
      <c r="BI152" s="249"/>
      <c r="BJ152" s="249"/>
      <c r="BK152" s="252"/>
      <c r="BL152" s="249"/>
      <c r="BM152" s="249"/>
      <c r="BN152" s="249"/>
      <c r="BO152" s="249"/>
      <c r="BP152" s="252"/>
      <c r="BQ152" s="249"/>
      <c r="BR152" s="249"/>
      <c r="BS152" s="249"/>
      <c r="BT152" s="249"/>
      <c r="BU152" s="252"/>
      <c r="BV152" s="249"/>
      <c r="BW152" s="249"/>
      <c r="BX152" s="249"/>
      <c r="BY152" s="249"/>
      <c r="BZ152" s="252"/>
      <c r="CA152" s="249"/>
      <c r="CB152" s="249"/>
      <c r="CC152" s="249"/>
      <c r="CD152" s="249"/>
      <c r="CE152" s="252"/>
      <c r="CF152" s="249"/>
      <c r="CG152" s="249"/>
      <c r="CH152" s="249"/>
      <c r="CI152" s="249"/>
      <c r="CJ152" s="252"/>
      <c r="CK152" s="249"/>
      <c r="CL152" s="249"/>
      <c r="CM152" s="249"/>
      <c r="CN152" s="249"/>
      <c r="CO152" s="252"/>
      <c r="CP152" s="249"/>
      <c r="CQ152" s="249"/>
      <c r="CR152" s="249"/>
      <c r="CS152" s="249"/>
      <c r="CT152" s="252"/>
      <c r="CU152" s="249"/>
      <c r="CV152" s="249"/>
      <c r="CW152" s="249"/>
      <c r="CX152" s="249"/>
      <c r="CY152" s="252"/>
      <c r="CZ152" s="249"/>
      <c r="DA152" s="249"/>
      <c r="DB152" s="249"/>
      <c r="DC152" s="249"/>
      <c r="DD152" s="252"/>
      <c r="DE152" s="249"/>
      <c r="DF152" s="249"/>
      <c r="DG152" s="249"/>
      <c r="DH152" s="249"/>
      <c r="DI152" s="252"/>
    </row>
    <row r="153" spans="1:113" s="7" customFormat="1" ht="12" hidden="1" customHeight="1" outlineLevel="1">
      <c r="A153" s="239"/>
      <c r="B153" s="274" t="s">
        <v>19</v>
      </c>
      <c r="C153" s="249"/>
      <c r="D153" s="252"/>
      <c r="E153" s="249"/>
      <c r="F153" s="252"/>
      <c r="G153" s="249"/>
      <c r="H153" s="252"/>
      <c r="I153" s="249"/>
      <c r="J153" s="252"/>
      <c r="K153" s="249"/>
      <c r="L153" s="252"/>
      <c r="M153" s="249"/>
      <c r="N153" s="252"/>
      <c r="O153" s="252"/>
      <c r="P153" s="249"/>
      <c r="Q153" s="252"/>
      <c r="R153" s="249">
        <v>-82</v>
      </c>
      <c r="S153" s="249">
        <v>-36</v>
      </c>
      <c r="T153" s="249">
        <v>-170</v>
      </c>
      <c r="U153" s="249">
        <v>-273</v>
      </c>
      <c r="V153" s="252"/>
      <c r="W153" s="249">
        <v>-141</v>
      </c>
      <c r="X153" s="249">
        <v>-91</v>
      </c>
      <c r="Y153" s="249">
        <v>-233</v>
      </c>
      <c r="Z153" s="249">
        <v>-323</v>
      </c>
      <c r="AA153" s="252"/>
      <c r="AB153" s="252"/>
      <c r="AC153" s="249">
        <v>-123</v>
      </c>
      <c r="AD153" s="249">
        <v>22</v>
      </c>
      <c r="AE153" s="249">
        <v>38</v>
      </c>
      <c r="AF153" s="249">
        <v>142</v>
      </c>
      <c r="AG153" s="252"/>
      <c r="AH153" s="249">
        <v>-102</v>
      </c>
      <c r="AI153" s="249">
        <v>-89</v>
      </c>
      <c r="AJ153" s="249">
        <v>-255</v>
      </c>
      <c r="AK153" s="249">
        <v>-298</v>
      </c>
      <c r="AL153" s="252"/>
      <c r="AM153" s="249">
        <v>-203</v>
      </c>
      <c r="AN153" s="249">
        <v>-177</v>
      </c>
      <c r="AO153" s="249">
        <v>-109</v>
      </c>
      <c r="AP153" s="249">
        <v>-216</v>
      </c>
      <c r="AQ153" s="273"/>
      <c r="AR153" s="254">
        <v>52</v>
      </c>
      <c r="AS153" s="254">
        <v>-139</v>
      </c>
      <c r="AT153" s="254">
        <v>-124</v>
      </c>
      <c r="AU153" s="254">
        <v>60</v>
      </c>
      <c r="AV153" s="252"/>
      <c r="AW153" s="249">
        <v>-284</v>
      </c>
      <c r="AX153" s="249">
        <v>-318</v>
      </c>
      <c r="AY153" s="249">
        <v>-546</v>
      </c>
      <c r="AZ153" s="249">
        <v>-426</v>
      </c>
      <c r="BA153" s="252"/>
      <c r="BB153" s="249">
        <v>-101</v>
      </c>
      <c r="BC153" s="249">
        <v>143</v>
      </c>
      <c r="BD153" s="249">
        <v>3</v>
      </c>
      <c r="BE153" s="249">
        <v>187</v>
      </c>
      <c r="BF153" s="252"/>
      <c r="BG153" s="249">
        <v>-294</v>
      </c>
      <c r="BH153" s="249">
        <v>-324</v>
      </c>
      <c r="BI153" s="249">
        <v>-460</v>
      </c>
      <c r="BJ153" s="249">
        <v>-270</v>
      </c>
      <c r="BK153" s="252"/>
      <c r="BL153" s="249">
        <v>-456</v>
      </c>
      <c r="BM153" s="249">
        <v>-568</v>
      </c>
      <c r="BN153" s="249">
        <v>-475</v>
      </c>
      <c r="BO153" s="249">
        <v>1239</v>
      </c>
      <c r="BP153" s="252"/>
      <c r="BQ153" s="249">
        <v>-990</v>
      </c>
      <c r="BR153" s="249">
        <v>-921</v>
      </c>
      <c r="BS153" s="249">
        <v>-837</v>
      </c>
      <c r="BT153" s="249">
        <v>-1606</v>
      </c>
      <c r="BU153" s="252"/>
      <c r="BV153" s="249">
        <v>36</v>
      </c>
      <c r="BW153" s="249">
        <v>543</v>
      </c>
      <c r="BX153" s="249">
        <v>466</v>
      </c>
      <c r="BY153" s="249">
        <v>-504</v>
      </c>
      <c r="BZ153" s="252"/>
      <c r="CA153" s="249">
        <v>-415</v>
      </c>
      <c r="CB153" s="249">
        <v>-878</v>
      </c>
      <c r="CC153" s="249">
        <v>109</v>
      </c>
      <c r="CD153" s="249">
        <v>489</v>
      </c>
      <c r="CE153" s="252"/>
      <c r="CF153" s="249">
        <v>-621</v>
      </c>
      <c r="CG153" s="249">
        <v>-649</v>
      </c>
      <c r="CH153" s="249">
        <v>-429</v>
      </c>
      <c r="CI153" s="249">
        <v>-329</v>
      </c>
      <c r="CJ153" s="252"/>
      <c r="CK153" s="249">
        <v>-312</v>
      </c>
      <c r="CL153" s="249">
        <v>-943</v>
      </c>
      <c r="CM153" s="249">
        <v>-164</v>
      </c>
      <c r="CN153" s="249">
        <v>-257</v>
      </c>
      <c r="CO153" s="252"/>
      <c r="CP153" s="249">
        <v>-215</v>
      </c>
      <c r="CQ153" s="249">
        <v>-1021</v>
      </c>
      <c r="CR153" s="249">
        <v>-623</v>
      </c>
      <c r="CS153" s="249">
        <v>-1207</v>
      </c>
      <c r="CT153" s="252"/>
      <c r="CU153" s="249"/>
      <c r="CV153" s="249"/>
      <c r="CW153" s="249"/>
      <c r="CX153" s="249"/>
      <c r="CY153" s="252"/>
      <c r="CZ153" s="249"/>
      <c r="DA153" s="249"/>
      <c r="DB153" s="249"/>
      <c r="DC153" s="249"/>
      <c r="DD153" s="252"/>
      <c r="DE153" s="249"/>
      <c r="DF153" s="249"/>
      <c r="DG153" s="249"/>
      <c r="DH153" s="249"/>
      <c r="DI153" s="252"/>
    </row>
    <row r="154" spans="1:113" s="7" customFormat="1" ht="12" hidden="1" customHeight="1" outlineLevel="1">
      <c r="A154" s="239"/>
      <c r="B154" s="274" t="s">
        <v>20</v>
      </c>
      <c r="C154" s="249"/>
      <c r="D154" s="252"/>
      <c r="E154" s="249"/>
      <c r="F154" s="252"/>
      <c r="G154" s="249"/>
      <c r="H154" s="252"/>
      <c r="I154" s="249"/>
      <c r="J154" s="252"/>
      <c r="K154" s="249"/>
      <c r="L154" s="252"/>
      <c r="M154" s="249"/>
      <c r="N154" s="252"/>
      <c r="O154" s="252"/>
      <c r="P154" s="249"/>
      <c r="Q154" s="252"/>
      <c r="R154" s="249">
        <v>-118</v>
      </c>
      <c r="S154" s="249">
        <v>-252</v>
      </c>
      <c r="T154" s="249">
        <v>-399</v>
      </c>
      <c r="U154" s="249">
        <v>-551</v>
      </c>
      <c r="V154" s="252"/>
      <c r="W154" s="249">
        <v>-398</v>
      </c>
      <c r="X154" s="249">
        <v>-555</v>
      </c>
      <c r="Y154" s="249">
        <v>-691</v>
      </c>
      <c r="Z154" s="249">
        <v>-805</v>
      </c>
      <c r="AA154" s="252"/>
      <c r="AB154" s="252"/>
      <c r="AC154" s="249">
        <v>-17</v>
      </c>
      <c r="AD154" s="249">
        <v>-41</v>
      </c>
      <c r="AE154" s="249">
        <v>-69</v>
      </c>
      <c r="AF154" s="249">
        <v>-197</v>
      </c>
      <c r="AG154" s="252"/>
      <c r="AH154" s="249">
        <v>-63</v>
      </c>
      <c r="AI154" s="249">
        <v>-280</v>
      </c>
      <c r="AJ154" s="249">
        <v>-349</v>
      </c>
      <c r="AK154" s="249">
        <v>-505</v>
      </c>
      <c r="AL154" s="252"/>
      <c r="AM154" s="249">
        <v>-111</v>
      </c>
      <c r="AN154" s="249">
        <v>-318</v>
      </c>
      <c r="AO154" s="249">
        <v>-510</v>
      </c>
      <c r="AP154" s="249">
        <v>-621</v>
      </c>
      <c r="AQ154" s="273"/>
      <c r="AR154" s="254">
        <v>-100</v>
      </c>
      <c r="AS154" s="254">
        <v>-354</v>
      </c>
      <c r="AT154" s="254">
        <v>-359</v>
      </c>
      <c r="AU154" s="254">
        <v>-590</v>
      </c>
      <c r="AV154" s="252"/>
      <c r="AW154" s="249">
        <v>-62</v>
      </c>
      <c r="AX154" s="249">
        <v>-300</v>
      </c>
      <c r="AY154" s="249">
        <v>-157</v>
      </c>
      <c r="AZ154" s="249">
        <v>-231</v>
      </c>
      <c r="BA154" s="252"/>
      <c r="BB154" s="249">
        <v>-96</v>
      </c>
      <c r="BC154" s="249">
        <v>-243</v>
      </c>
      <c r="BD154" s="249">
        <v>-245</v>
      </c>
      <c r="BE154" s="249">
        <v>-255</v>
      </c>
      <c r="BF154" s="252"/>
      <c r="BG154" s="249">
        <v>-25</v>
      </c>
      <c r="BH154" s="249">
        <v>-263</v>
      </c>
      <c r="BI154" s="249">
        <v>-226</v>
      </c>
      <c r="BJ154" s="249">
        <v>-490</v>
      </c>
      <c r="BK154" s="252"/>
      <c r="BL154" s="249">
        <v>-270</v>
      </c>
      <c r="BM154" s="249">
        <v>-608</v>
      </c>
      <c r="BN154" s="249">
        <v>-455</v>
      </c>
      <c r="BO154" s="249">
        <v>-1854</v>
      </c>
      <c r="BP154" s="252"/>
      <c r="BQ154" s="249">
        <v>689</v>
      </c>
      <c r="BR154" s="249">
        <v>1321</v>
      </c>
      <c r="BS154" s="249">
        <v>674</v>
      </c>
      <c r="BT154" s="249">
        <v>507</v>
      </c>
      <c r="BU154" s="252"/>
      <c r="BV154" s="249">
        <v>101</v>
      </c>
      <c r="BW154" s="249">
        <v>268</v>
      </c>
      <c r="BX154" s="249">
        <v>-872</v>
      </c>
      <c r="BY154" s="249">
        <v>-1676</v>
      </c>
      <c r="BZ154" s="252"/>
      <c r="CA154" s="249">
        <v>-1363</v>
      </c>
      <c r="CB154" s="249">
        <v>-948</v>
      </c>
      <c r="CC154" s="249">
        <v>-527</v>
      </c>
      <c r="CD154" s="249">
        <v>-133</v>
      </c>
      <c r="CE154" s="252"/>
      <c r="CF154" s="249">
        <v>-263</v>
      </c>
      <c r="CG154" s="249">
        <v>493</v>
      </c>
      <c r="CH154" s="249">
        <v>698</v>
      </c>
      <c r="CI154" s="249">
        <v>908</v>
      </c>
      <c r="CJ154" s="252"/>
      <c r="CK154" s="249">
        <v>-679</v>
      </c>
      <c r="CL154" s="249">
        <v>-547</v>
      </c>
      <c r="CM154" s="249">
        <v>-99</v>
      </c>
      <c r="CN154" s="249">
        <v>120</v>
      </c>
      <c r="CO154" s="252"/>
      <c r="CP154" s="249">
        <v>-610</v>
      </c>
      <c r="CQ154" s="249">
        <v>-257</v>
      </c>
      <c r="CR154" s="249">
        <v>24</v>
      </c>
      <c r="CS154" s="249">
        <v>-31</v>
      </c>
      <c r="CT154" s="252"/>
      <c r="CU154" s="249"/>
      <c r="CV154" s="249"/>
      <c r="CW154" s="249"/>
      <c r="CX154" s="249"/>
      <c r="CY154" s="252"/>
      <c r="CZ154" s="249"/>
      <c r="DA154" s="249"/>
      <c r="DB154" s="249"/>
      <c r="DC154" s="249"/>
      <c r="DD154" s="252"/>
      <c r="DE154" s="249"/>
      <c r="DF154" s="249"/>
      <c r="DG154" s="249"/>
      <c r="DH154" s="249"/>
      <c r="DI154" s="252"/>
    </row>
    <row r="155" spans="1:113" s="7" customFormat="1" ht="12" hidden="1" customHeight="1" outlineLevel="1">
      <c r="A155" s="239"/>
      <c r="B155" s="274" t="s">
        <v>21</v>
      </c>
      <c r="C155" s="249"/>
      <c r="D155" s="252"/>
      <c r="E155" s="249"/>
      <c r="F155" s="252"/>
      <c r="G155" s="249"/>
      <c r="H155" s="252"/>
      <c r="I155" s="249"/>
      <c r="J155" s="252"/>
      <c r="K155" s="249"/>
      <c r="L155" s="252"/>
      <c r="M155" s="249"/>
      <c r="N155" s="252"/>
      <c r="O155" s="252"/>
      <c r="P155" s="249"/>
      <c r="Q155" s="252"/>
      <c r="R155" s="249">
        <v>13</v>
      </c>
      <c r="S155" s="249">
        <v>10</v>
      </c>
      <c r="T155" s="249">
        <v>8</v>
      </c>
      <c r="U155" s="249">
        <v>-35</v>
      </c>
      <c r="V155" s="252"/>
      <c r="W155" s="249">
        <v>-59</v>
      </c>
      <c r="X155" s="249">
        <v>-55</v>
      </c>
      <c r="Y155" s="249">
        <v>-149</v>
      </c>
      <c r="Z155" s="249">
        <v>-141</v>
      </c>
      <c r="AA155" s="252" t="s">
        <v>434</v>
      </c>
      <c r="AB155" s="252"/>
      <c r="AC155" s="249">
        <v>-63</v>
      </c>
      <c r="AD155" s="249">
        <v>-33</v>
      </c>
      <c r="AE155" s="249">
        <v>-79</v>
      </c>
      <c r="AF155" s="249">
        <v>-28</v>
      </c>
      <c r="AG155" s="252"/>
      <c r="AH155" s="249">
        <v>-102</v>
      </c>
      <c r="AI155" s="249">
        <v>-125</v>
      </c>
      <c r="AJ155" s="249">
        <v>-222</v>
      </c>
      <c r="AK155" s="249">
        <v>-210</v>
      </c>
      <c r="AL155" s="252"/>
      <c r="AM155" s="249">
        <f>-251</f>
        <v>-251</v>
      </c>
      <c r="AN155" s="249">
        <v>-58</v>
      </c>
      <c r="AO155" s="249">
        <v>-31</v>
      </c>
      <c r="AP155" s="249">
        <v>-144</v>
      </c>
      <c r="AQ155" s="273"/>
      <c r="AR155" s="254">
        <v>-73</v>
      </c>
      <c r="AS155" s="254">
        <v>-114</v>
      </c>
      <c r="AT155" s="254">
        <v>-149</v>
      </c>
      <c r="AU155" s="254">
        <v>-161</v>
      </c>
      <c r="AV155" s="252"/>
      <c r="AW155" s="249">
        <v>-63</v>
      </c>
      <c r="AX155" s="249">
        <v>-85</v>
      </c>
      <c r="AY155" s="249">
        <v>-152</v>
      </c>
      <c r="AZ155" s="249">
        <v>-120</v>
      </c>
      <c r="BA155" s="252"/>
      <c r="BB155" s="249">
        <v>-543</v>
      </c>
      <c r="BC155" s="249">
        <v>-208</v>
      </c>
      <c r="BD155" s="249">
        <v>-474</v>
      </c>
      <c r="BE155" s="249">
        <v>35</v>
      </c>
      <c r="BF155" s="252"/>
      <c r="BG155" s="249">
        <v>-83</v>
      </c>
      <c r="BH155" s="249">
        <v>-124</v>
      </c>
      <c r="BI155" s="249">
        <v>-167</v>
      </c>
      <c r="BJ155" s="249">
        <v>-203</v>
      </c>
      <c r="BK155" s="252"/>
      <c r="BL155" s="249">
        <v>38</v>
      </c>
      <c r="BM155" s="249">
        <v>-67</v>
      </c>
      <c r="BN155" s="249">
        <v>-494</v>
      </c>
      <c r="BO155" s="249">
        <v>-654</v>
      </c>
      <c r="BP155" s="252"/>
      <c r="BQ155" s="249">
        <v>-338</v>
      </c>
      <c r="BR155" s="249">
        <v>-163</v>
      </c>
      <c r="BS155" s="249">
        <v>-406</v>
      </c>
      <c r="BT155" s="249">
        <v>-182</v>
      </c>
      <c r="BU155" s="252"/>
      <c r="BV155" s="249">
        <v>-242</v>
      </c>
      <c r="BW155" s="249">
        <v>-444</v>
      </c>
      <c r="BX155" s="249">
        <v>-639</v>
      </c>
      <c r="BY155" s="249">
        <v>-845</v>
      </c>
      <c r="BZ155" s="252"/>
      <c r="CA155" s="249">
        <f>-9+16-128</f>
        <v>-121</v>
      </c>
      <c r="CB155" s="249">
        <v>-239</v>
      </c>
      <c r="CC155" s="249">
        <v>-273</v>
      </c>
      <c r="CD155" s="249">
        <v>-644</v>
      </c>
      <c r="CE155" s="252"/>
      <c r="CF155" s="249">
        <f>-225-5-7</f>
        <v>-237</v>
      </c>
      <c r="CG155" s="249">
        <v>-394</v>
      </c>
      <c r="CH155" s="249">
        <v>-342</v>
      </c>
      <c r="CI155" s="249">
        <v>-260</v>
      </c>
      <c r="CJ155" s="252"/>
      <c r="CK155" s="249">
        <v>-265</v>
      </c>
      <c r="CL155" s="249">
        <v>140</v>
      </c>
      <c r="CM155" s="249">
        <v>-235</v>
      </c>
      <c r="CN155" s="249">
        <v>-224</v>
      </c>
      <c r="CO155" s="252"/>
      <c r="CP155" s="249">
        <v>-165</v>
      </c>
      <c r="CQ155" s="249">
        <v>111</v>
      </c>
      <c r="CR155" s="249">
        <v>260</v>
      </c>
      <c r="CS155" s="249">
        <v>519</v>
      </c>
      <c r="CT155" s="252"/>
      <c r="CU155" s="249"/>
      <c r="CV155" s="249"/>
      <c r="CW155" s="249"/>
      <c r="CX155" s="249"/>
      <c r="CY155" s="252"/>
      <c r="CZ155" s="249"/>
      <c r="DA155" s="249"/>
      <c r="DB155" s="249"/>
      <c r="DC155" s="249"/>
      <c r="DD155" s="252"/>
      <c r="DE155" s="249"/>
      <c r="DF155" s="249"/>
      <c r="DG155" s="249"/>
      <c r="DH155" s="249"/>
      <c r="DI155" s="252"/>
    </row>
    <row r="156" spans="1:113" s="7" customFormat="1" ht="12" hidden="1" customHeight="1" outlineLevel="1">
      <c r="A156" s="239"/>
      <c r="B156" s="274" t="s">
        <v>129</v>
      </c>
      <c r="C156" s="249"/>
      <c r="D156" s="252"/>
      <c r="E156" s="249"/>
      <c r="F156" s="252"/>
      <c r="G156" s="249"/>
      <c r="H156" s="252"/>
      <c r="I156" s="249"/>
      <c r="J156" s="252"/>
      <c r="K156" s="249"/>
      <c r="L156" s="252"/>
      <c r="M156" s="249"/>
      <c r="N156" s="252"/>
      <c r="O156" s="252"/>
      <c r="P156" s="249"/>
      <c r="Q156" s="252"/>
      <c r="R156" s="249">
        <v>-243</v>
      </c>
      <c r="S156" s="249">
        <v>-313</v>
      </c>
      <c r="T156" s="249">
        <v>-276</v>
      </c>
      <c r="U156" s="249">
        <v>151</v>
      </c>
      <c r="V156" s="252"/>
      <c r="W156" s="249">
        <v>-100</v>
      </c>
      <c r="X156" s="249">
        <v>-74</v>
      </c>
      <c r="Y156" s="249">
        <v>-84</v>
      </c>
      <c r="Z156" s="249">
        <v>470</v>
      </c>
      <c r="AA156" s="252"/>
      <c r="AB156" s="252"/>
      <c r="AC156" s="249">
        <v>14</v>
      </c>
      <c r="AD156" s="249">
        <v>-61</v>
      </c>
      <c r="AE156" s="249">
        <v>-346</v>
      </c>
      <c r="AF156" s="249">
        <v>41</v>
      </c>
      <c r="AG156" s="252"/>
      <c r="AH156" s="249">
        <v>-135</v>
      </c>
      <c r="AI156" s="249">
        <v>-305</v>
      </c>
      <c r="AJ156" s="249">
        <v>-49</v>
      </c>
      <c r="AK156" s="249">
        <v>525</v>
      </c>
      <c r="AL156" s="252"/>
      <c r="AM156" s="249">
        <v>0</v>
      </c>
      <c r="AN156" s="249">
        <v>-217</v>
      </c>
      <c r="AO156" s="249">
        <v>505</v>
      </c>
      <c r="AP156" s="249">
        <v>1237</v>
      </c>
      <c r="AQ156" s="273"/>
      <c r="AR156" s="254">
        <v>-787</v>
      </c>
      <c r="AS156" s="254">
        <v>-794</v>
      </c>
      <c r="AT156" s="254">
        <v>-1231</v>
      </c>
      <c r="AU156" s="254">
        <v>-889</v>
      </c>
      <c r="AV156" s="252"/>
      <c r="AW156" s="249">
        <v>-245</v>
      </c>
      <c r="AX156" s="249">
        <v>-69</v>
      </c>
      <c r="AY156" s="249">
        <v>-27</v>
      </c>
      <c r="AZ156" s="249">
        <v>-364</v>
      </c>
      <c r="BA156" s="252"/>
      <c r="BB156" s="249">
        <v>208</v>
      </c>
      <c r="BC156" s="249">
        <v>160</v>
      </c>
      <c r="BD156" s="249">
        <v>1439</v>
      </c>
      <c r="BE156" s="249">
        <v>1515</v>
      </c>
      <c r="BF156" s="252"/>
      <c r="BG156" s="249">
        <v>205</v>
      </c>
      <c r="BH156" s="249">
        <v>884</v>
      </c>
      <c r="BI156" s="249">
        <v>659</v>
      </c>
      <c r="BJ156" s="249">
        <v>1525</v>
      </c>
      <c r="BK156" s="252"/>
      <c r="BL156" s="249">
        <v>-547</v>
      </c>
      <c r="BM156" s="249">
        <v>-357</v>
      </c>
      <c r="BN156" s="249">
        <v>-197</v>
      </c>
      <c r="BO156" s="249">
        <v>24</v>
      </c>
      <c r="BP156" s="252"/>
      <c r="BQ156" s="249">
        <v>-85</v>
      </c>
      <c r="BR156" s="249">
        <v>-165</v>
      </c>
      <c r="BS156" s="249">
        <v>374</v>
      </c>
      <c r="BT156" s="249">
        <v>1326</v>
      </c>
      <c r="BU156" s="252"/>
      <c r="BV156" s="249">
        <v>-860</v>
      </c>
      <c r="BW156" s="249">
        <v>-203</v>
      </c>
      <c r="BX156" s="249">
        <v>-305</v>
      </c>
      <c r="BY156" s="249">
        <v>1365</v>
      </c>
      <c r="BZ156" s="252"/>
      <c r="CA156" s="249">
        <v>492</v>
      </c>
      <c r="CB156" s="249">
        <v>56</v>
      </c>
      <c r="CC156" s="249">
        <v>-526</v>
      </c>
      <c r="CD156" s="249">
        <v>-225</v>
      </c>
      <c r="CE156" s="252"/>
      <c r="CF156" s="249">
        <v>-714</v>
      </c>
      <c r="CG156" s="249">
        <v>-312</v>
      </c>
      <c r="CH156" s="249">
        <v>-213</v>
      </c>
      <c r="CI156" s="249">
        <v>397</v>
      </c>
      <c r="CJ156" s="252"/>
      <c r="CK156" s="249">
        <v>292</v>
      </c>
      <c r="CL156" s="249">
        <v>-31</v>
      </c>
      <c r="CM156" s="249">
        <v>-150</v>
      </c>
      <c r="CN156" s="249">
        <v>-426</v>
      </c>
      <c r="CO156" s="252"/>
      <c r="CP156" s="249">
        <v>93</v>
      </c>
      <c r="CQ156" s="249">
        <v>-276</v>
      </c>
      <c r="CR156" s="249">
        <v>-1487</v>
      </c>
      <c r="CS156" s="249">
        <v>-959</v>
      </c>
      <c r="CT156" s="252"/>
      <c r="CU156" s="249"/>
      <c r="CV156" s="249"/>
      <c r="CW156" s="249"/>
      <c r="CX156" s="249"/>
      <c r="CY156" s="252"/>
      <c r="CZ156" s="249"/>
      <c r="DA156" s="249"/>
      <c r="DB156" s="249"/>
      <c r="DC156" s="249"/>
      <c r="DD156" s="252"/>
      <c r="DE156" s="249"/>
      <c r="DF156" s="249"/>
      <c r="DG156" s="249"/>
      <c r="DH156" s="249"/>
      <c r="DI156" s="252"/>
    </row>
    <row r="157" spans="1:113" s="7" customFormat="1" ht="12" hidden="1" customHeight="1" outlineLevel="1">
      <c r="A157" s="239"/>
      <c r="B157" s="274"/>
      <c r="C157" s="249"/>
      <c r="D157" s="252"/>
      <c r="E157" s="249"/>
      <c r="F157" s="252"/>
      <c r="G157" s="249"/>
      <c r="H157" s="252"/>
      <c r="I157" s="249"/>
      <c r="J157" s="252"/>
      <c r="K157" s="249"/>
      <c r="L157" s="252"/>
      <c r="M157" s="249"/>
      <c r="N157" s="252"/>
      <c r="O157" s="252"/>
      <c r="P157" s="249"/>
      <c r="Q157" s="252"/>
      <c r="R157" s="249" t="s">
        <v>4</v>
      </c>
      <c r="S157" s="249" t="s">
        <v>4</v>
      </c>
      <c r="T157" s="249" t="s">
        <v>4</v>
      </c>
      <c r="U157" s="249" t="s">
        <v>4</v>
      </c>
      <c r="V157" s="252"/>
      <c r="W157" s="249" t="s">
        <v>4</v>
      </c>
      <c r="X157" s="249" t="s">
        <v>4</v>
      </c>
      <c r="Y157" s="249" t="s">
        <v>4</v>
      </c>
      <c r="Z157" s="249" t="s">
        <v>4</v>
      </c>
      <c r="AA157" s="252"/>
      <c r="AB157" s="252"/>
      <c r="AC157" s="249" t="s">
        <v>4</v>
      </c>
      <c r="AD157" s="249" t="s">
        <v>4</v>
      </c>
      <c r="AE157" s="249" t="s">
        <v>4</v>
      </c>
      <c r="AF157" s="249" t="s">
        <v>4</v>
      </c>
      <c r="AG157" s="252"/>
      <c r="AH157" s="249" t="s">
        <v>4</v>
      </c>
      <c r="AI157" s="249" t="s">
        <v>4</v>
      </c>
      <c r="AJ157" s="249" t="s">
        <v>4</v>
      </c>
      <c r="AK157" s="249" t="s">
        <v>4</v>
      </c>
      <c r="AL157" s="252"/>
      <c r="AM157" s="249" t="s">
        <v>4</v>
      </c>
      <c r="AN157" s="249" t="s">
        <v>4</v>
      </c>
      <c r="AO157" s="249" t="s">
        <v>4</v>
      </c>
      <c r="AP157" s="249" t="s">
        <v>4</v>
      </c>
      <c r="AQ157" s="273"/>
      <c r="AR157" s="254" t="s">
        <v>4</v>
      </c>
      <c r="AS157" s="254" t="s">
        <v>4</v>
      </c>
      <c r="AT157" s="254" t="s">
        <v>4</v>
      </c>
      <c r="AU157" s="254" t="s">
        <v>4</v>
      </c>
      <c r="AV157" s="252"/>
      <c r="AW157" s="249" t="s">
        <v>4</v>
      </c>
      <c r="AX157" s="249" t="s">
        <v>4</v>
      </c>
      <c r="AY157" s="249" t="s">
        <v>4</v>
      </c>
      <c r="AZ157" s="249" t="s">
        <v>4</v>
      </c>
      <c r="BA157" s="252"/>
      <c r="BB157" s="249" t="s">
        <v>4</v>
      </c>
      <c r="BC157" s="249" t="s">
        <v>4</v>
      </c>
      <c r="BD157" s="249" t="s">
        <v>4</v>
      </c>
      <c r="BE157" s="249" t="s">
        <v>4</v>
      </c>
      <c r="BF157" s="252"/>
      <c r="BG157" s="249" t="s">
        <v>4</v>
      </c>
      <c r="BH157" s="249" t="s">
        <v>4</v>
      </c>
      <c r="BI157" s="249" t="s">
        <v>4</v>
      </c>
      <c r="BJ157" s="249" t="s">
        <v>4</v>
      </c>
      <c r="BK157" s="252"/>
      <c r="BL157" s="249" t="s">
        <v>4</v>
      </c>
      <c r="BM157" s="249" t="s">
        <v>4</v>
      </c>
      <c r="BN157" s="249" t="s">
        <v>4</v>
      </c>
      <c r="BO157" s="249" t="s">
        <v>4</v>
      </c>
      <c r="BP157" s="252"/>
      <c r="BQ157" s="249" t="s">
        <v>4</v>
      </c>
      <c r="BR157" s="249" t="s">
        <v>4</v>
      </c>
      <c r="BS157" s="249" t="s">
        <v>4</v>
      </c>
      <c r="BT157" s="249" t="s">
        <v>4</v>
      </c>
      <c r="BU157" s="252"/>
      <c r="BV157" s="249" t="s">
        <v>4</v>
      </c>
      <c r="BW157" s="249" t="s">
        <v>4</v>
      </c>
      <c r="BX157" s="249" t="s">
        <v>4</v>
      </c>
      <c r="BY157" s="249" t="s">
        <v>4</v>
      </c>
      <c r="BZ157" s="252"/>
      <c r="CA157" s="249" t="s">
        <v>4</v>
      </c>
      <c r="CB157" s="249" t="s">
        <v>4</v>
      </c>
      <c r="CC157" s="249" t="s">
        <v>4</v>
      </c>
      <c r="CD157" s="249" t="s">
        <v>4</v>
      </c>
      <c r="CE157" s="252"/>
      <c r="CF157" s="249" t="s">
        <v>4</v>
      </c>
      <c r="CG157" s="249" t="s">
        <v>4</v>
      </c>
      <c r="CH157" s="249" t="s">
        <v>4</v>
      </c>
      <c r="CI157" s="249" t="s">
        <v>4</v>
      </c>
      <c r="CJ157" s="252"/>
      <c r="CK157" s="249" t="s">
        <v>4</v>
      </c>
      <c r="CL157" s="249" t="s">
        <v>4</v>
      </c>
      <c r="CM157" s="249" t="s">
        <v>4</v>
      </c>
      <c r="CN157" s="249" t="s">
        <v>4</v>
      </c>
      <c r="CO157" s="252"/>
      <c r="CP157" s="249" t="s">
        <v>4</v>
      </c>
      <c r="CQ157" s="249" t="s">
        <v>4</v>
      </c>
      <c r="CR157" s="249" t="s">
        <v>4</v>
      </c>
      <c r="CS157" s="249" t="s">
        <v>4</v>
      </c>
      <c r="CT157" s="252"/>
      <c r="CU157" s="249"/>
      <c r="CV157" s="249"/>
      <c r="CW157" s="249"/>
      <c r="CX157" s="249"/>
      <c r="CY157" s="252"/>
      <c r="CZ157" s="249"/>
      <c r="DA157" s="249"/>
      <c r="DB157" s="249"/>
      <c r="DC157" s="249"/>
      <c r="DD157" s="252"/>
      <c r="DE157" s="249"/>
      <c r="DF157" s="249"/>
      <c r="DG157" s="249"/>
      <c r="DH157" s="249"/>
      <c r="DI157" s="252"/>
    </row>
    <row r="158" spans="1:113" s="7" customFormat="1" ht="12" hidden="1" customHeight="1" outlineLevel="1">
      <c r="A158" s="239"/>
      <c r="B158" s="274" t="s">
        <v>133</v>
      </c>
      <c r="C158" s="249"/>
      <c r="D158" s="252"/>
      <c r="E158" s="249"/>
      <c r="F158" s="252"/>
      <c r="G158" s="249"/>
      <c r="H158" s="252"/>
      <c r="I158" s="249"/>
      <c r="J158" s="252"/>
      <c r="K158" s="249"/>
      <c r="L158" s="252"/>
      <c r="M158" s="249"/>
      <c r="N158" s="252"/>
      <c r="O158" s="252"/>
      <c r="P158" s="249"/>
      <c r="Q158" s="252"/>
      <c r="R158" s="249">
        <f>SUM(R153:R156)</f>
        <v>-430</v>
      </c>
      <c r="S158" s="249">
        <f>SUM(S153:S156)</f>
        <v>-591</v>
      </c>
      <c r="T158" s="249">
        <f>SUM(T153:T156)</f>
        <v>-837</v>
      </c>
      <c r="U158" s="249">
        <f>SUM(U153:U156)</f>
        <v>-708</v>
      </c>
      <c r="V158" s="252"/>
      <c r="W158" s="249">
        <f>SUM(W153:W156)</f>
        <v>-698</v>
      </c>
      <c r="X158" s="249">
        <f>SUM(X153:X156)</f>
        <v>-775</v>
      </c>
      <c r="Y158" s="249">
        <f>SUM(Y153:Y156)</f>
        <v>-1157</v>
      </c>
      <c r="Z158" s="249">
        <f>SUM(Z153:Z156)</f>
        <v>-799</v>
      </c>
      <c r="AA158" s="252"/>
      <c r="AB158" s="252"/>
      <c r="AC158" s="249">
        <f>SUM(AC153:AC156)</f>
        <v>-189</v>
      </c>
      <c r="AD158" s="249">
        <f>SUM(AD153:AD156)</f>
        <v>-113</v>
      </c>
      <c r="AE158" s="249">
        <f>SUM(AE153:AE156)</f>
        <v>-456</v>
      </c>
      <c r="AF158" s="249">
        <f>SUM(AF153:AF156)</f>
        <v>-42</v>
      </c>
      <c r="AG158" s="252"/>
      <c r="AH158" s="249">
        <f>SUM(AH153:AH156)</f>
        <v>-402</v>
      </c>
      <c r="AI158" s="249">
        <f>SUM(AI153:AI156)</f>
        <v>-799</v>
      </c>
      <c r="AJ158" s="249">
        <f>SUM(AJ153:AJ156)</f>
        <v>-875</v>
      </c>
      <c r="AK158" s="249">
        <f>SUM(AK153:AK156)</f>
        <v>-488</v>
      </c>
      <c r="AL158" s="252"/>
      <c r="AM158" s="249">
        <f>SUM(AM153:AM156)</f>
        <v>-565</v>
      </c>
      <c r="AN158" s="249">
        <f>SUM(AN153:AN156)</f>
        <v>-770</v>
      </c>
      <c r="AO158" s="249">
        <f>SUM(AO153:AO156)</f>
        <v>-145</v>
      </c>
      <c r="AP158" s="249">
        <f>SUM(AP153:AP156)</f>
        <v>256</v>
      </c>
      <c r="AQ158" s="273"/>
      <c r="AR158" s="254">
        <f>SUM(AR153:AR156)</f>
        <v>-908</v>
      </c>
      <c r="AS158" s="254">
        <f>SUM(AS153:AS156)</f>
        <v>-1401</v>
      </c>
      <c r="AT158" s="254">
        <f>SUM(AT153:AT156)</f>
        <v>-1863</v>
      </c>
      <c r="AU158" s="254">
        <f>SUM(AU153:AU156)</f>
        <v>-1580</v>
      </c>
      <c r="AV158" s="252"/>
      <c r="AW158" s="249">
        <f>SUM(AW153:AW156)</f>
        <v>-654</v>
      </c>
      <c r="AX158" s="249">
        <f>SUM(AX153:AX156)</f>
        <v>-772</v>
      </c>
      <c r="AY158" s="249">
        <f>SUM(AY153:AY156)</f>
        <v>-882</v>
      </c>
      <c r="AZ158" s="249">
        <f>SUM(AZ153:AZ156)</f>
        <v>-1141</v>
      </c>
      <c r="BA158" s="252"/>
      <c r="BB158" s="249">
        <f>SUM(BB153:BB156)</f>
        <v>-532</v>
      </c>
      <c r="BC158" s="249">
        <f>SUM(BC153:BC156)</f>
        <v>-148</v>
      </c>
      <c r="BD158" s="249">
        <f>SUM(BD153:BD156)</f>
        <v>723</v>
      </c>
      <c r="BE158" s="249">
        <f>SUM(BE153:BE156)</f>
        <v>1482</v>
      </c>
      <c r="BF158" s="252"/>
      <c r="BG158" s="249">
        <f>SUM(BG153:BG156)</f>
        <v>-197</v>
      </c>
      <c r="BH158" s="249">
        <f>SUM(BH153:BH156)</f>
        <v>173</v>
      </c>
      <c r="BI158" s="249">
        <f>SUM(BI153:BI156)</f>
        <v>-194</v>
      </c>
      <c r="BJ158" s="249">
        <f>SUM(BJ153:BJ156)</f>
        <v>562</v>
      </c>
      <c r="BK158" s="252"/>
      <c r="BL158" s="249">
        <f>SUM(BL153:BL156)</f>
        <v>-1235</v>
      </c>
      <c r="BM158" s="249">
        <f>SUM(BM153:BM156)</f>
        <v>-1600</v>
      </c>
      <c r="BN158" s="249">
        <f>SUM(BN153:BN156)</f>
        <v>-1621</v>
      </c>
      <c r="BO158" s="249">
        <f>SUM(BO153:BO156)</f>
        <v>-1245</v>
      </c>
      <c r="BP158" s="252"/>
      <c r="BQ158" s="249">
        <f>SUM(BQ153:BQ156)</f>
        <v>-724</v>
      </c>
      <c r="BR158" s="249">
        <f>SUM(BR153:BR156)</f>
        <v>72</v>
      </c>
      <c r="BS158" s="249">
        <f>SUM(BS153:BS156)</f>
        <v>-195</v>
      </c>
      <c r="BT158" s="249">
        <f>SUM(BT153:BT156)</f>
        <v>45</v>
      </c>
      <c r="BU158" s="252"/>
      <c r="BV158" s="249">
        <f>SUM(BV153:BV156)</f>
        <v>-965</v>
      </c>
      <c r="BW158" s="249">
        <f>SUM(BW153:BW156)</f>
        <v>164</v>
      </c>
      <c r="BX158" s="249">
        <f>SUM(BX153:BX156)</f>
        <v>-1350</v>
      </c>
      <c r="BY158" s="249">
        <f>SUM(BY153:BY156)</f>
        <v>-1660</v>
      </c>
      <c r="BZ158" s="252"/>
      <c r="CA158" s="249">
        <f>SUM(CA153:CA156)</f>
        <v>-1407</v>
      </c>
      <c r="CB158" s="249">
        <f>SUM(CB153:CB156)</f>
        <v>-2009</v>
      </c>
      <c r="CC158" s="249">
        <f>SUM(CC153:CC156)</f>
        <v>-1217</v>
      </c>
      <c r="CD158" s="249">
        <f>SUM(CD153:CD156)</f>
        <v>-513</v>
      </c>
      <c r="CE158" s="252"/>
      <c r="CF158" s="249">
        <f>SUM(CF153:CF156)</f>
        <v>-1835</v>
      </c>
      <c r="CG158" s="249">
        <f>SUM(CG153:CG156)</f>
        <v>-862</v>
      </c>
      <c r="CH158" s="249">
        <f>SUM(CH153:CH156)</f>
        <v>-286</v>
      </c>
      <c r="CI158" s="249">
        <f>SUM(CI153:CI156)</f>
        <v>716</v>
      </c>
      <c r="CJ158" s="252"/>
      <c r="CK158" s="249">
        <f>SUM(CK153:CK156)</f>
        <v>-964</v>
      </c>
      <c r="CL158" s="249">
        <f>SUM(CL153:CL156)</f>
        <v>-1381</v>
      </c>
      <c r="CM158" s="249">
        <f>SUM(CM153:CM156)</f>
        <v>-648</v>
      </c>
      <c r="CN158" s="249">
        <f>SUM(CN153:CN156)</f>
        <v>-787</v>
      </c>
      <c r="CO158" s="252"/>
      <c r="CP158" s="249">
        <f>SUM(CP153:CP156)</f>
        <v>-897</v>
      </c>
      <c r="CQ158" s="249">
        <f>SUM(CQ153:CQ156)</f>
        <v>-1443</v>
      </c>
      <c r="CR158" s="249">
        <f>SUM(CR153:CR156)</f>
        <v>-1826</v>
      </c>
      <c r="CS158" s="249">
        <f>SUM(CS153:CS156)</f>
        <v>-1678</v>
      </c>
      <c r="CT158" s="252"/>
      <c r="CU158" s="249"/>
      <c r="CV158" s="249"/>
      <c r="CW158" s="249"/>
      <c r="CX158" s="249"/>
      <c r="CY158" s="252"/>
      <c r="CZ158" s="249"/>
      <c r="DA158" s="249"/>
      <c r="DB158" s="249"/>
      <c r="DC158" s="249"/>
      <c r="DD158" s="252"/>
      <c r="DE158" s="249"/>
      <c r="DF158" s="249"/>
      <c r="DG158" s="249"/>
      <c r="DH158" s="249"/>
      <c r="DI158" s="252"/>
    </row>
    <row r="159" spans="1:113" s="7" customFormat="1" ht="12" hidden="1" customHeight="1" outlineLevel="1">
      <c r="A159" s="239"/>
      <c r="B159" s="274" t="s">
        <v>22</v>
      </c>
      <c r="C159" s="249"/>
      <c r="D159" s="252"/>
      <c r="E159" s="249"/>
      <c r="F159" s="252"/>
      <c r="G159" s="249"/>
      <c r="H159" s="252"/>
      <c r="I159" s="249"/>
      <c r="J159" s="252"/>
      <c r="K159" s="249"/>
      <c r="L159" s="252"/>
      <c r="M159" s="249"/>
      <c r="N159" s="252"/>
      <c r="O159" s="252"/>
      <c r="P159" s="249"/>
      <c r="Q159" s="252"/>
      <c r="R159" s="249">
        <f>-16</f>
        <v>-16</v>
      </c>
      <c r="S159" s="249">
        <f>-3+14</f>
        <v>11</v>
      </c>
      <c r="T159" s="249">
        <f>-70+11</f>
        <v>-59</v>
      </c>
      <c r="U159" s="249">
        <f>-76+23</f>
        <v>-53</v>
      </c>
      <c r="V159" s="252"/>
      <c r="W159" s="249">
        <f>4+25</f>
        <v>29</v>
      </c>
      <c r="X159" s="249">
        <f>20-1</f>
        <v>19</v>
      </c>
      <c r="Y159" s="249">
        <f>-7+48</f>
        <v>41</v>
      </c>
      <c r="Z159" s="249">
        <f>-60+32</f>
        <v>-28</v>
      </c>
      <c r="AA159" s="252"/>
      <c r="AB159" s="252"/>
      <c r="AC159" s="249">
        <f>-17+33+3</f>
        <v>19</v>
      </c>
      <c r="AD159" s="249">
        <f>-49+55+107+3+2</f>
        <v>118</v>
      </c>
      <c r="AE159" s="249">
        <f>37-124+3+2+2</f>
        <v>-80</v>
      </c>
      <c r="AF159" s="249">
        <f>75-124+3+2+2+6</f>
        <v>-36</v>
      </c>
      <c r="AG159" s="252"/>
      <c r="AH159" s="249">
        <v>31</v>
      </c>
      <c r="AI159" s="249">
        <f>54</f>
        <v>54</v>
      </c>
      <c r="AJ159" s="249">
        <f>59+53</f>
        <v>112</v>
      </c>
      <c r="AK159" s="249">
        <v>114</v>
      </c>
      <c r="AL159" s="252"/>
      <c r="AM159" s="249">
        <v>-34</v>
      </c>
      <c r="AN159" s="249">
        <v>0</v>
      </c>
      <c r="AO159" s="249">
        <v>411</v>
      </c>
      <c r="AP159" s="249">
        <v>424</v>
      </c>
      <c r="AQ159" s="273"/>
      <c r="AR159" s="254">
        <v>32</v>
      </c>
      <c r="AS159" s="254">
        <v>74</v>
      </c>
      <c r="AT159" s="254">
        <f>18+192</f>
        <v>210</v>
      </c>
      <c r="AU159" s="254">
        <v>98</v>
      </c>
      <c r="AV159" s="252"/>
      <c r="AW159" s="249">
        <f>7-61</f>
        <v>-54</v>
      </c>
      <c r="AX159" s="249">
        <f>12-34</f>
        <v>-22</v>
      </c>
      <c r="AY159" s="249">
        <f>7-90</f>
        <v>-83</v>
      </c>
      <c r="AZ159" s="249">
        <f>10-117</f>
        <v>-107</v>
      </c>
      <c r="BA159" s="252"/>
      <c r="BB159" s="249">
        <f>6-19</f>
        <v>-13</v>
      </c>
      <c r="BC159" s="249">
        <f>10-67</f>
        <v>-57</v>
      </c>
      <c r="BD159" s="249">
        <f>-130+23</f>
        <v>-107</v>
      </c>
      <c r="BE159" s="249">
        <f>27-99</f>
        <v>-72</v>
      </c>
      <c r="BF159" s="252"/>
      <c r="BG159" s="249">
        <f>3+166</f>
        <v>169</v>
      </c>
      <c r="BH159" s="249">
        <f>10+210</f>
        <v>220</v>
      </c>
      <c r="BI159" s="249">
        <f>9+218</f>
        <v>227</v>
      </c>
      <c r="BJ159" s="249">
        <f>15+233</f>
        <v>248</v>
      </c>
      <c r="BK159" s="252"/>
      <c r="BL159" s="249">
        <f>6+49</f>
        <v>55</v>
      </c>
      <c r="BM159" s="249">
        <f>19+6</f>
        <v>25</v>
      </c>
      <c r="BN159" s="249">
        <f>383-49</f>
        <v>334</v>
      </c>
      <c r="BO159" s="249">
        <f>23+398</f>
        <v>421</v>
      </c>
      <c r="BP159" s="252"/>
      <c r="BQ159" s="249">
        <f>41-45</f>
        <v>-4</v>
      </c>
      <c r="BR159" s="249">
        <f>-98+103</f>
        <v>5</v>
      </c>
      <c r="BS159" s="249">
        <f>33-130</f>
        <v>-97</v>
      </c>
      <c r="BT159" s="249">
        <f>53-138</f>
        <v>-85</v>
      </c>
      <c r="BU159" s="252"/>
      <c r="BV159" s="249">
        <f>43-9</f>
        <v>34</v>
      </c>
      <c r="BW159" s="249">
        <f>48+3</f>
        <v>51</v>
      </c>
      <c r="BX159" s="249">
        <f>6+3</f>
        <v>9</v>
      </c>
      <c r="BY159" s="249">
        <f>123-26</f>
        <v>97</v>
      </c>
      <c r="BZ159" s="252"/>
      <c r="CA159" s="249">
        <v>0</v>
      </c>
      <c r="CB159" s="249">
        <f>137-125</f>
        <v>12</v>
      </c>
      <c r="CC159" s="249">
        <f>107-197</f>
        <v>-90</v>
      </c>
      <c r="CD159" s="249">
        <f>156-213</f>
        <v>-57</v>
      </c>
      <c r="CE159" s="252"/>
      <c r="CF159" s="249">
        <v>0</v>
      </c>
      <c r="CG159" s="249">
        <f>-12-43</f>
        <v>-55</v>
      </c>
      <c r="CH159" s="249">
        <f>51-81</f>
        <v>-30</v>
      </c>
      <c r="CI159" s="249">
        <f>48-138</f>
        <v>-90</v>
      </c>
      <c r="CJ159" s="252"/>
      <c r="CK159" s="249">
        <f>-4-7</f>
        <v>-11</v>
      </c>
      <c r="CL159" s="249">
        <f>-9+54</f>
        <v>45</v>
      </c>
      <c r="CM159" s="249">
        <f>35+24</f>
        <v>59</v>
      </c>
      <c r="CN159" s="249">
        <f>33+37</f>
        <v>70</v>
      </c>
      <c r="CO159" s="252"/>
      <c r="CP159" s="249">
        <f>8+34</f>
        <v>42</v>
      </c>
      <c r="CQ159" s="249">
        <f>9+54</f>
        <v>63</v>
      </c>
      <c r="CR159" s="249">
        <f>1+40</f>
        <v>41</v>
      </c>
      <c r="CS159" s="249">
        <f>50+22</f>
        <v>72</v>
      </c>
      <c r="CT159" s="252"/>
      <c r="CU159" s="249"/>
      <c r="CV159" s="249"/>
      <c r="CW159" s="249"/>
      <c r="CX159" s="249"/>
      <c r="CY159" s="252"/>
      <c r="CZ159" s="249"/>
      <c r="DA159" s="249"/>
      <c r="DB159" s="249"/>
      <c r="DC159" s="249"/>
      <c r="DD159" s="252"/>
      <c r="DE159" s="249"/>
      <c r="DF159" s="249"/>
      <c r="DG159" s="249"/>
      <c r="DH159" s="249"/>
      <c r="DI159" s="252"/>
    </row>
    <row r="160" spans="1:113" s="7" customFormat="1" ht="12" hidden="1" customHeight="1" outlineLevel="1">
      <c r="A160" s="239"/>
      <c r="B160" s="274"/>
      <c r="C160" s="249"/>
      <c r="D160" s="252"/>
      <c r="E160" s="249"/>
      <c r="F160" s="252"/>
      <c r="G160" s="249"/>
      <c r="H160" s="252"/>
      <c r="I160" s="249"/>
      <c r="J160" s="252"/>
      <c r="K160" s="249"/>
      <c r="L160" s="252"/>
      <c r="M160" s="249"/>
      <c r="N160" s="252"/>
      <c r="O160" s="252"/>
      <c r="P160" s="249"/>
      <c r="Q160" s="252"/>
      <c r="R160" s="249" t="s">
        <v>4</v>
      </c>
      <c r="S160" s="249" t="s">
        <v>4</v>
      </c>
      <c r="T160" s="249" t="s">
        <v>4</v>
      </c>
      <c r="U160" s="249" t="s">
        <v>4</v>
      </c>
      <c r="V160" s="252"/>
      <c r="W160" s="249" t="s">
        <v>4</v>
      </c>
      <c r="X160" s="249" t="s">
        <v>4</v>
      </c>
      <c r="Y160" s="249" t="s">
        <v>4</v>
      </c>
      <c r="Z160" s="249" t="s">
        <v>4</v>
      </c>
      <c r="AA160" s="252"/>
      <c r="AB160" s="252"/>
      <c r="AC160" s="249" t="s">
        <v>4</v>
      </c>
      <c r="AD160" s="249" t="s">
        <v>4</v>
      </c>
      <c r="AE160" s="249" t="s">
        <v>4</v>
      </c>
      <c r="AF160" s="249" t="s">
        <v>4</v>
      </c>
      <c r="AG160" s="252"/>
      <c r="AH160" s="249" t="s">
        <v>4</v>
      </c>
      <c r="AI160" s="249" t="s">
        <v>4</v>
      </c>
      <c r="AJ160" s="249" t="s">
        <v>4</v>
      </c>
      <c r="AK160" s="249" t="s">
        <v>4</v>
      </c>
      <c r="AL160" s="252"/>
      <c r="AM160" s="249" t="s">
        <v>4</v>
      </c>
      <c r="AN160" s="249" t="s">
        <v>4</v>
      </c>
      <c r="AO160" s="249" t="s">
        <v>4</v>
      </c>
      <c r="AP160" s="249" t="s">
        <v>4</v>
      </c>
      <c r="AQ160" s="273"/>
      <c r="AR160" s="254" t="s">
        <v>4</v>
      </c>
      <c r="AS160" s="254" t="s">
        <v>4</v>
      </c>
      <c r="AT160" s="254" t="s">
        <v>4</v>
      </c>
      <c r="AU160" s="254" t="s">
        <v>4</v>
      </c>
      <c r="AV160" s="252"/>
      <c r="AW160" s="249" t="s">
        <v>4</v>
      </c>
      <c r="AX160" s="249" t="s">
        <v>4</v>
      </c>
      <c r="AY160" s="249" t="s">
        <v>4</v>
      </c>
      <c r="AZ160" s="249" t="s">
        <v>4</v>
      </c>
      <c r="BA160" s="252"/>
      <c r="BB160" s="249" t="s">
        <v>4</v>
      </c>
      <c r="BC160" s="249" t="s">
        <v>4</v>
      </c>
      <c r="BD160" s="249" t="s">
        <v>4</v>
      </c>
      <c r="BE160" s="249" t="s">
        <v>4</v>
      </c>
      <c r="BF160" s="252"/>
      <c r="BG160" s="249" t="s">
        <v>4</v>
      </c>
      <c r="BH160" s="249" t="s">
        <v>4</v>
      </c>
      <c r="BI160" s="249" t="s">
        <v>4</v>
      </c>
      <c r="BJ160" s="249" t="s">
        <v>4</v>
      </c>
      <c r="BK160" s="252"/>
      <c r="BL160" s="249" t="s">
        <v>4</v>
      </c>
      <c r="BM160" s="249" t="s">
        <v>4</v>
      </c>
      <c r="BN160" s="249" t="s">
        <v>4</v>
      </c>
      <c r="BO160" s="249" t="s">
        <v>4</v>
      </c>
      <c r="BP160" s="252"/>
      <c r="BQ160" s="249" t="s">
        <v>4</v>
      </c>
      <c r="BR160" s="249" t="s">
        <v>4</v>
      </c>
      <c r="BS160" s="249" t="s">
        <v>4</v>
      </c>
      <c r="BT160" s="249" t="s">
        <v>4</v>
      </c>
      <c r="BU160" s="252"/>
      <c r="BV160" s="249" t="s">
        <v>4</v>
      </c>
      <c r="BW160" s="249" t="s">
        <v>4</v>
      </c>
      <c r="BX160" s="249" t="s">
        <v>4</v>
      </c>
      <c r="BY160" s="249" t="s">
        <v>4</v>
      </c>
      <c r="BZ160" s="252"/>
      <c r="CA160" s="249" t="s">
        <v>4</v>
      </c>
      <c r="CB160" s="249" t="s">
        <v>4</v>
      </c>
      <c r="CC160" s="249" t="s">
        <v>4</v>
      </c>
      <c r="CD160" s="249" t="s">
        <v>4</v>
      </c>
      <c r="CE160" s="252"/>
      <c r="CF160" s="249" t="s">
        <v>4</v>
      </c>
      <c r="CG160" s="249" t="s">
        <v>4</v>
      </c>
      <c r="CH160" s="249" t="s">
        <v>4</v>
      </c>
      <c r="CI160" s="249" t="s">
        <v>4</v>
      </c>
      <c r="CJ160" s="252"/>
      <c r="CK160" s="249" t="s">
        <v>4</v>
      </c>
      <c r="CL160" s="249" t="s">
        <v>4</v>
      </c>
      <c r="CM160" s="249" t="s">
        <v>4</v>
      </c>
      <c r="CN160" s="249" t="s">
        <v>4</v>
      </c>
      <c r="CO160" s="252"/>
      <c r="CP160" s="249" t="s">
        <v>4</v>
      </c>
      <c r="CQ160" s="249" t="s">
        <v>4</v>
      </c>
      <c r="CR160" s="249" t="s">
        <v>4</v>
      </c>
      <c r="CS160" s="249" t="s">
        <v>4</v>
      </c>
      <c r="CT160" s="252"/>
      <c r="CU160" s="249"/>
      <c r="CV160" s="249"/>
      <c r="CW160" s="249"/>
      <c r="CX160" s="249"/>
      <c r="CY160" s="252"/>
      <c r="CZ160" s="249"/>
      <c r="DA160" s="249"/>
      <c r="DB160" s="249"/>
      <c r="DC160" s="249"/>
      <c r="DD160" s="252"/>
      <c r="DE160" s="249"/>
      <c r="DF160" s="249"/>
      <c r="DG160" s="249"/>
      <c r="DH160" s="249"/>
      <c r="DI160" s="252"/>
    </row>
    <row r="161" spans="1:113" s="117" customFormat="1" ht="12" hidden="1" customHeight="1" outlineLevel="1">
      <c r="A161" s="239"/>
      <c r="B161" s="272" t="s">
        <v>23</v>
      </c>
      <c r="C161" s="275"/>
      <c r="D161" s="276"/>
      <c r="E161" s="275"/>
      <c r="F161" s="276"/>
      <c r="G161" s="275"/>
      <c r="H161" s="276"/>
      <c r="I161" s="275"/>
      <c r="J161" s="276"/>
      <c r="K161" s="275"/>
      <c r="L161" s="276"/>
      <c r="M161" s="275"/>
      <c r="N161" s="276"/>
      <c r="O161" s="276"/>
      <c r="P161" s="275"/>
      <c r="Q161" s="276"/>
      <c r="R161" s="275">
        <f>SUM(R148:R150, R158:R159)</f>
        <v>211.99999999999977</v>
      </c>
      <c r="S161" s="275">
        <f>SUM(S148:S150, S158:S159)</f>
        <v>647</v>
      </c>
      <c r="T161" s="275">
        <f>SUM(T148:T150, T158:T159)</f>
        <v>970</v>
      </c>
      <c r="U161" s="275">
        <f>SUM(U148:U150, U158:U159)</f>
        <v>1812</v>
      </c>
      <c r="V161" s="276"/>
      <c r="W161" s="275">
        <f>SUM(W148:W150, W158:W159)</f>
        <v>87</v>
      </c>
      <c r="X161" s="275">
        <f>SUM(X148:X150, X158:X159)</f>
        <v>597</v>
      </c>
      <c r="Y161" s="275">
        <f>SUM(Y148:Y150, Y158,Y159)</f>
        <v>925</v>
      </c>
      <c r="Z161" s="275">
        <f>SUM(Z148:Z150, Z158,Z159)</f>
        <v>1899</v>
      </c>
      <c r="AA161" s="276"/>
      <c r="AB161" s="276"/>
      <c r="AC161" s="275">
        <f>SUM(AC148:AC150, AC158,AC159)</f>
        <v>535</v>
      </c>
      <c r="AD161" s="275">
        <f>SUM(AD148:AD150, AD158,AD159)</f>
        <v>1245</v>
      </c>
      <c r="AE161" s="275">
        <f>SUM(AE148:AE150, AE158,AE159)+AE151</f>
        <v>1668</v>
      </c>
      <c r="AF161" s="275">
        <f>SUM(AF148:AF151, AF158,AF159)</f>
        <v>3027</v>
      </c>
      <c r="AG161" s="276"/>
      <c r="AH161" s="275">
        <f>SUM(AH148:AH151, AH158,AH159)</f>
        <v>596</v>
      </c>
      <c r="AI161" s="275">
        <f>SUM(AI148:AI151, AI158,AI159)</f>
        <v>925</v>
      </c>
      <c r="AJ161" s="275">
        <f>SUM(AJ148:AJ151, AJ158,AJ159)</f>
        <v>1685</v>
      </c>
      <c r="AK161" s="275">
        <f>SUM(AK148:AK151, AK158,AK159)</f>
        <v>3003</v>
      </c>
      <c r="AL161" s="276"/>
      <c r="AM161" s="275">
        <f>SUM(AM148:AM151, AM158,AM159)</f>
        <v>588</v>
      </c>
      <c r="AN161" s="275">
        <f>SUM(AN148:AN151, AN158,AN159)</f>
        <v>1235</v>
      </c>
      <c r="AO161" s="275">
        <f>SUM(AO148:AO151, AO158,AO159)</f>
        <v>3338</v>
      </c>
      <c r="AP161" s="275">
        <f>SUM(AP148:AP151, AP158,AP159)</f>
        <v>4680</v>
      </c>
      <c r="AQ161" s="277"/>
      <c r="AR161" s="278">
        <f>SUM(AR148:AR151, AR158,AR159)</f>
        <v>491</v>
      </c>
      <c r="AS161" s="278">
        <f>SUM(AS148:AS151, AS158,AS159)</f>
        <v>1036</v>
      </c>
      <c r="AT161" s="278">
        <f>SUM(AT148:AT151, AT158,AT159)</f>
        <v>1912</v>
      </c>
      <c r="AU161" s="278">
        <f>SUM(AU148:AU151, AU158,AU159)</f>
        <v>3096</v>
      </c>
      <c r="AV161" s="276"/>
      <c r="AW161" s="275">
        <f>SUM(AW148:AW151, AW158,AW159)</f>
        <v>721</v>
      </c>
      <c r="AX161" s="275">
        <f>SUM(AX148:AX151, AX158,AX159)</f>
        <v>1684</v>
      </c>
      <c r="AY161" s="275">
        <f>SUM(AY148:AY151, AY158,AY159)</f>
        <v>2751</v>
      </c>
      <c r="AZ161" s="275">
        <f>SUM(AZ148:AZ151, AZ158,AZ159)</f>
        <v>3640</v>
      </c>
      <c r="BA161" s="276"/>
      <c r="BB161" s="275">
        <f>SUM(BB148:BB151, BB158,BB159)</f>
        <v>575</v>
      </c>
      <c r="BC161" s="275">
        <f>SUM(BC148:BC151, BC158,BC159)</f>
        <v>1898</v>
      </c>
      <c r="BD161" s="275">
        <f>SUM(BD148:BD151, BD158,BD159)</f>
        <v>2685</v>
      </c>
      <c r="BE161" s="275">
        <f>SUM(BE148:BE151, BE158,BE159)</f>
        <v>4955</v>
      </c>
      <c r="BF161" s="276"/>
      <c r="BG161" s="275">
        <f>SUM(BG148:BG151, BG158,BG159)</f>
        <v>1301</v>
      </c>
      <c r="BH161" s="275">
        <f>SUM(BH148:BH151, BH158,BH159)</f>
        <v>2825</v>
      </c>
      <c r="BI161" s="275">
        <f>SUM(BI148:BI151, BI158,BI159)</f>
        <v>3893</v>
      </c>
      <c r="BJ161" s="275">
        <f>SUM(BJ148:BJ151, BJ158,BJ159)</f>
        <v>5903</v>
      </c>
      <c r="BK161" s="276"/>
      <c r="BL161" s="275">
        <f>SUM(BL148:BL151, BL158,BL159)</f>
        <v>394</v>
      </c>
      <c r="BM161" s="275">
        <f>SUM(BM148:BM151, BM158,BM159)</f>
        <v>1306</v>
      </c>
      <c r="BN161" s="275">
        <f>SUM(BN148:BN151, BN158,BN159)</f>
        <v>2486</v>
      </c>
      <c r="BO161" s="275">
        <f>SUM(BO148:BO151, BO158,BO159)</f>
        <v>2485</v>
      </c>
      <c r="BP161" s="276"/>
      <c r="BQ161" s="275">
        <f>SUM(BQ148:BQ151, BQ158,BQ159)</f>
        <v>882</v>
      </c>
      <c r="BR161" s="275">
        <f>SUM(BR148:BR151, BR158,BR159)</f>
        <v>3355</v>
      </c>
      <c r="BS161" s="275">
        <f>SUM(BS148:BS151, BS158,BS159)</f>
        <v>4645</v>
      </c>
      <c r="BT161" s="275">
        <f>SUM(BT148:BT151, BT158,BT159)</f>
        <v>6657</v>
      </c>
      <c r="BU161" s="276"/>
      <c r="BV161" s="275">
        <f>SUM(BV148:BV151, BV158,BV159)</f>
        <v>1111</v>
      </c>
      <c r="BW161" s="275">
        <f>SUM(BW148:BW151, BW158,BW159)</f>
        <v>3868</v>
      </c>
      <c r="BX161" s="275">
        <f>SUM(BX148:BX151, BX158,BX159)</f>
        <v>4037</v>
      </c>
      <c r="BY161" s="275">
        <f>SUM(BY148:BY151, BY158,BY159)</f>
        <v>5188</v>
      </c>
      <c r="BZ161" s="276"/>
      <c r="CA161" s="275">
        <f>SUM(CA148:CA151, CA158,CA159)</f>
        <v>357</v>
      </c>
      <c r="CB161" s="275">
        <f>SUM(CB148:CB151, CB158,CB159)</f>
        <v>1358</v>
      </c>
      <c r="CC161" s="275">
        <f>SUM(CC148:CC151, CC158,CC159)</f>
        <v>3588</v>
      </c>
      <c r="CD161" s="275">
        <f>SUM(CD148:CD151, CD158,CD159)</f>
        <v>5841</v>
      </c>
      <c r="CE161" s="276"/>
      <c r="CF161" s="275">
        <f>SUM(CF148:CF151, CF158,CF159)</f>
        <v>-66</v>
      </c>
      <c r="CG161" s="275">
        <f>SUM(CG148:CG151, CG158,CG159)</f>
        <v>2751</v>
      </c>
      <c r="CH161" s="275">
        <f>SUM(CH148:CH151, CH158,CH159)</f>
        <v>4810</v>
      </c>
      <c r="CI161" s="275">
        <f>SUM(CI148:CI151, CI158,CI159)</f>
        <v>7429</v>
      </c>
      <c r="CJ161" s="276"/>
      <c r="CK161" s="275">
        <f>SUM(CK148:CK151, CK158,CK159)</f>
        <v>394</v>
      </c>
      <c r="CL161" s="275">
        <f>SUM(CL148:CL151, CL158,CL159)</f>
        <v>1443</v>
      </c>
      <c r="CM161" s="275">
        <f>SUM(CM148:CM151, CM158,CM159)</f>
        <v>3235</v>
      </c>
      <c r="CN161" s="275">
        <f>SUM(CN148:CN151, CN158,CN159)</f>
        <v>3698</v>
      </c>
      <c r="CO161" s="276"/>
      <c r="CP161" s="275">
        <f>SUM(CP148:CP151, CP158,CP159)</f>
        <v>222</v>
      </c>
      <c r="CQ161" s="275">
        <f>SUM(CQ148:CQ151, CQ158,CQ159)</f>
        <v>801</v>
      </c>
      <c r="CR161" s="275">
        <f>SUM(CR148:CR151, CR158,CR159)</f>
        <v>1231</v>
      </c>
      <c r="CS161" s="275">
        <f>SUM(CS148:CS151, CS158,CS159)</f>
        <v>2868</v>
      </c>
      <c r="CT161" s="276"/>
      <c r="CU161" s="275"/>
      <c r="CV161" s="275"/>
      <c r="CW161" s="275"/>
      <c r="CX161" s="275"/>
      <c r="CY161" s="276"/>
      <c r="CZ161" s="275"/>
      <c r="DA161" s="275"/>
      <c r="DB161" s="275"/>
      <c r="DC161" s="275"/>
      <c r="DD161" s="276"/>
      <c r="DE161" s="275"/>
      <c r="DF161" s="275"/>
      <c r="DG161" s="275"/>
      <c r="DH161" s="275"/>
      <c r="DI161" s="276"/>
    </row>
    <row r="162" spans="1:113" s="7" customFormat="1" ht="12" hidden="1" customHeight="1" outlineLevel="1">
      <c r="A162" s="239"/>
      <c r="B162" s="274"/>
      <c r="C162" s="249"/>
      <c r="D162" s="252"/>
      <c r="E162" s="249"/>
      <c r="F162" s="252"/>
      <c r="G162" s="249"/>
      <c r="H162" s="252"/>
      <c r="I162" s="249"/>
      <c r="J162" s="252"/>
      <c r="K162" s="249"/>
      <c r="L162" s="252"/>
      <c r="M162" s="249"/>
      <c r="N162" s="252"/>
      <c r="O162" s="252"/>
      <c r="P162" s="249"/>
      <c r="Q162" s="252"/>
      <c r="R162" s="249"/>
      <c r="S162" s="249"/>
      <c r="T162" s="249"/>
      <c r="U162" s="249"/>
      <c r="V162" s="252"/>
      <c r="W162" s="249"/>
      <c r="X162" s="249"/>
      <c r="Y162" s="249"/>
      <c r="Z162" s="249"/>
      <c r="AA162" s="252"/>
      <c r="AB162" s="252"/>
      <c r="AC162" s="249"/>
      <c r="AD162" s="249"/>
      <c r="AE162" s="249"/>
      <c r="AF162" s="249"/>
      <c r="AG162" s="252"/>
      <c r="AH162" s="249"/>
      <c r="AI162" s="249"/>
      <c r="AJ162" s="249"/>
      <c r="AK162" s="249"/>
      <c r="AL162" s="252"/>
      <c r="AM162" s="249"/>
      <c r="AN162" s="249"/>
      <c r="AO162" s="249"/>
      <c r="AP162" s="249"/>
      <c r="AQ162" s="273"/>
      <c r="AR162" s="254"/>
      <c r="AS162" s="254"/>
      <c r="AT162" s="254"/>
      <c r="AU162" s="254"/>
      <c r="AV162" s="252"/>
      <c r="AW162" s="249"/>
      <c r="AX162" s="249"/>
      <c r="AY162" s="249"/>
      <c r="AZ162" s="249"/>
      <c r="BA162" s="252"/>
      <c r="BB162" s="249"/>
      <c r="BC162" s="249"/>
      <c r="BD162" s="249"/>
      <c r="BE162" s="249"/>
      <c r="BF162" s="252"/>
      <c r="BG162" s="249"/>
      <c r="BH162" s="249"/>
      <c r="BI162" s="249"/>
      <c r="BJ162" s="249"/>
      <c r="BK162" s="252"/>
      <c r="BL162" s="249"/>
      <c r="BM162" s="249"/>
      <c r="BN162" s="249"/>
      <c r="BO162" s="249"/>
      <c r="BP162" s="252"/>
      <c r="BQ162" s="249"/>
      <c r="BR162" s="249"/>
      <c r="BS162" s="249"/>
      <c r="BT162" s="249"/>
      <c r="BU162" s="252"/>
      <c r="BV162" s="249"/>
      <c r="BW162" s="249"/>
      <c r="BX162" s="249"/>
      <c r="BY162" s="249"/>
      <c r="BZ162" s="252"/>
      <c r="CA162" s="249"/>
      <c r="CB162" s="249"/>
      <c r="CC162" s="249"/>
      <c r="CD162" s="249"/>
      <c r="CE162" s="252"/>
      <c r="CF162" s="249"/>
      <c r="CG162" s="249"/>
      <c r="CH162" s="249"/>
      <c r="CI162" s="249"/>
      <c r="CJ162" s="252"/>
      <c r="CK162" s="249"/>
      <c r="CL162" s="249"/>
      <c r="CM162" s="249"/>
      <c r="CN162" s="249"/>
      <c r="CO162" s="252"/>
      <c r="CP162" s="249"/>
      <c r="CQ162" s="249"/>
      <c r="CR162" s="249"/>
      <c r="CS162" s="249"/>
      <c r="CT162" s="252"/>
      <c r="CU162" s="249"/>
      <c r="CV162" s="249"/>
      <c r="CW162" s="249"/>
      <c r="CX162" s="249"/>
      <c r="CY162" s="252"/>
      <c r="CZ162" s="249"/>
      <c r="DA162" s="249"/>
      <c r="DB162" s="249"/>
      <c r="DC162" s="249"/>
      <c r="DD162" s="252"/>
      <c r="DE162" s="249"/>
      <c r="DF162" s="249"/>
      <c r="DG162" s="249"/>
      <c r="DH162" s="249"/>
      <c r="DI162" s="252"/>
    </row>
    <row r="163" spans="1:113" s="7" customFormat="1" ht="12" hidden="1" customHeight="1" outlineLevel="1">
      <c r="A163" s="239"/>
      <c r="B163" s="274" t="s">
        <v>24</v>
      </c>
      <c r="C163" s="249"/>
      <c r="D163" s="252"/>
      <c r="E163" s="249"/>
      <c r="F163" s="252"/>
      <c r="G163" s="249"/>
      <c r="H163" s="252"/>
      <c r="I163" s="249"/>
      <c r="J163" s="252"/>
      <c r="K163" s="249"/>
      <c r="L163" s="252"/>
      <c r="M163" s="249"/>
      <c r="N163" s="252"/>
      <c r="O163" s="252"/>
      <c r="P163" s="249"/>
      <c r="Q163" s="252"/>
      <c r="R163" s="249">
        <v>-89</v>
      </c>
      <c r="S163" s="249">
        <v>-191</v>
      </c>
      <c r="T163" s="249">
        <f>-303+1</f>
        <v>-302</v>
      </c>
      <c r="U163" s="249">
        <f>-432+1</f>
        <v>-431</v>
      </c>
      <c r="V163" s="252"/>
      <c r="W163" s="249">
        <f>-114+1</f>
        <v>-113</v>
      </c>
      <c r="X163" s="249">
        <f>-259+1</f>
        <v>-258</v>
      </c>
      <c r="Y163" s="249">
        <f>-379+1</f>
        <v>-378</v>
      </c>
      <c r="Z163" s="249">
        <f>-597+2</f>
        <v>-595</v>
      </c>
      <c r="AA163" s="252"/>
      <c r="AB163" s="252"/>
      <c r="AC163" s="249">
        <v>-107</v>
      </c>
      <c r="AD163" s="249">
        <v>-250</v>
      </c>
      <c r="AE163" s="249">
        <v>-401</v>
      </c>
      <c r="AF163" s="249">
        <v>-636</v>
      </c>
      <c r="AG163" s="252"/>
      <c r="AH163" s="249">
        <v>-215</v>
      </c>
      <c r="AI163" s="249">
        <f>-428</f>
        <v>-428</v>
      </c>
      <c r="AJ163" s="249">
        <f>-670</f>
        <v>-670</v>
      </c>
      <c r="AK163" s="249">
        <f>-880+3</f>
        <v>-877</v>
      </c>
      <c r="AL163" s="252"/>
      <c r="AM163" s="249">
        <f>-262</f>
        <v>-262</v>
      </c>
      <c r="AN163" s="249">
        <f>-487</f>
        <v>-487</v>
      </c>
      <c r="AO163" s="249">
        <f>-723+3</f>
        <v>-720</v>
      </c>
      <c r="AP163" s="249">
        <f>-963+3</f>
        <v>-960</v>
      </c>
      <c r="AQ163" s="273"/>
      <c r="AR163" s="254">
        <v>-327</v>
      </c>
      <c r="AS163" s="254">
        <v>-615</v>
      </c>
      <c r="AT163" s="254">
        <v>-901</v>
      </c>
      <c r="AU163" s="254">
        <f>-1143+10</f>
        <v>-1133</v>
      </c>
      <c r="AV163" s="252"/>
      <c r="AW163" s="249">
        <f>-277</f>
        <v>-277</v>
      </c>
      <c r="AX163" s="249">
        <f>-512+12</f>
        <v>-500</v>
      </c>
      <c r="AY163" s="249">
        <f>-776+13</f>
        <v>-763</v>
      </c>
      <c r="AZ163" s="249">
        <f>-1105</f>
        <v>-1105</v>
      </c>
      <c r="BA163" s="252"/>
      <c r="BB163" s="249">
        <v>-270</v>
      </c>
      <c r="BC163" s="249">
        <f>-498+1</f>
        <v>-497</v>
      </c>
      <c r="BD163" s="249">
        <v>-728</v>
      </c>
      <c r="BE163" s="249">
        <v>-1028</v>
      </c>
      <c r="BF163" s="252"/>
      <c r="BG163" s="249">
        <v>-343</v>
      </c>
      <c r="BH163" s="249">
        <f>-630+4</f>
        <v>-626</v>
      </c>
      <c r="BI163" s="249">
        <f>-846</f>
        <v>-846</v>
      </c>
      <c r="BJ163" s="249">
        <f>-1119</f>
        <v>-1119</v>
      </c>
      <c r="BK163" s="252"/>
      <c r="BL163" s="249">
        <v>-284</v>
      </c>
      <c r="BM163" s="249">
        <v>-522</v>
      </c>
      <c r="BN163" s="249">
        <v>-797</v>
      </c>
      <c r="BO163" s="249">
        <v>-1086</v>
      </c>
      <c r="BP163" s="252"/>
      <c r="BQ163" s="249">
        <v>-176</v>
      </c>
      <c r="BR163" s="249">
        <v>-344</v>
      </c>
      <c r="BS163" s="249">
        <v>-521</v>
      </c>
      <c r="BT163" s="249">
        <v>-695</v>
      </c>
      <c r="BU163" s="252"/>
      <c r="BV163" s="249">
        <v>-184</v>
      </c>
      <c r="BW163" s="249">
        <v>-362</v>
      </c>
      <c r="BX163" s="249">
        <v>-516</v>
      </c>
      <c r="BY163" s="249">
        <v>-758</v>
      </c>
      <c r="BZ163" s="252"/>
      <c r="CA163" s="249">
        <v>-264</v>
      </c>
      <c r="CB163" s="249">
        <v>-500</v>
      </c>
      <c r="CC163" s="249">
        <v>-700</v>
      </c>
      <c r="CD163" s="249">
        <v>-969</v>
      </c>
      <c r="CE163" s="252"/>
      <c r="CF163" s="249">
        <v>-253</v>
      </c>
      <c r="CG163" s="249">
        <v>-458</v>
      </c>
      <c r="CH163" s="249">
        <v>-599</v>
      </c>
      <c r="CI163" s="249">
        <v>-812</v>
      </c>
      <c r="CJ163" s="252"/>
      <c r="CK163" s="249">
        <v>-120</v>
      </c>
      <c r="CL163" s="249">
        <v>-249</v>
      </c>
      <c r="CM163" s="249">
        <v>-330</v>
      </c>
      <c r="CN163" s="249">
        <v>-430</v>
      </c>
      <c r="CO163" s="252"/>
      <c r="CP163" s="249">
        <v>-207</v>
      </c>
      <c r="CQ163" s="249">
        <v>-400</v>
      </c>
      <c r="CR163" s="249">
        <v>-546</v>
      </c>
      <c r="CS163" s="249">
        <v>-684</v>
      </c>
      <c r="CT163" s="252"/>
      <c r="CU163" s="249"/>
      <c r="CV163" s="249"/>
      <c r="CW163" s="249"/>
      <c r="CX163" s="249"/>
      <c r="CY163" s="252"/>
      <c r="CZ163" s="249"/>
      <c r="DA163" s="249"/>
      <c r="DB163" s="249"/>
      <c r="DC163" s="249"/>
      <c r="DD163" s="252"/>
      <c r="DE163" s="249"/>
      <c r="DF163" s="249"/>
      <c r="DG163" s="249"/>
      <c r="DH163" s="249"/>
      <c r="DI163" s="252"/>
    </row>
    <row r="164" spans="1:113" s="7" customFormat="1" ht="12" hidden="1" customHeight="1" outlineLevel="1">
      <c r="A164" s="239"/>
      <c r="B164" s="274" t="s">
        <v>25</v>
      </c>
      <c r="C164" s="249"/>
      <c r="D164" s="252"/>
      <c r="E164" s="249"/>
      <c r="F164" s="252"/>
      <c r="G164" s="249"/>
      <c r="H164" s="252"/>
      <c r="I164" s="249"/>
      <c r="J164" s="252"/>
      <c r="K164" s="249"/>
      <c r="L164" s="252"/>
      <c r="M164" s="249"/>
      <c r="N164" s="252"/>
      <c r="O164" s="252"/>
      <c r="P164" s="249"/>
      <c r="Q164" s="252"/>
      <c r="R164" s="249">
        <v>0</v>
      </c>
      <c r="S164" s="249">
        <v>0</v>
      </c>
      <c r="T164" s="249">
        <v>0</v>
      </c>
      <c r="U164" s="249">
        <v>0</v>
      </c>
      <c r="V164" s="252"/>
      <c r="W164" s="249">
        <v>0</v>
      </c>
      <c r="X164" s="249">
        <v>0</v>
      </c>
      <c r="Y164" s="249">
        <v>0</v>
      </c>
      <c r="Z164" s="249">
        <v>0</v>
      </c>
      <c r="AA164" s="252"/>
      <c r="AB164" s="252"/>
      <c r="AC164" s="249">
        <v>0</v>
      </c>
      <c r="AD164" s="249">
        <v>0</v>
      </c>
      <c r="AE164" s="249">
        <v>786</v>
      </c>
      <c r="AF164" s="249">
        <v>786</v>
      </c>
      <c r="AG164" s="252"/>
      <c r="AH164" s="249">
        <v>0</v>
      </c>
      <c r="AI164" s="249">
        <v>0</v>
      </c>
      <c r="AJ164" s="249">
        <v>0</v>
      </c>
      <c r="AK164" s="249">
        <v>0</v>
      </c>
      <c r="AL164" s="252"/>
      <c r="AM164" s="249">
        <v>0</v>
      </c>
      <c r="AN164" s="249">
        <v>0</v>
      </c>
      <c r="AO164" s="249">
        <v>0</v>
      </c>
      <c r="AP164" s="249">
        <v>0</v>
      </c>
      <c r="AQ164" s="273"/>
      <c r="AR164" s="254">
        <v>0</v>
      </c>
      <c r="AS164" s="254">
        <v>0</v>
      </c>
      <c r="AT164" s="254">
        <v>0</v>
      </c>
      <c r="AU164" s="254">
        <v>0</v>
      </c>
      <c r="AV164" s="252"/>
      <c r="AW164" s="249">
        <v>0</v>
      </c>
      <c r="AX164" s="249">
        <v>0</v>
      </c>
      <c r="AY164" s="249">
        <v>0</v>
      </c>
      <c r="AZ164" s="249">
        <v>0</v>
      </c>
      <c r="BA164" s="252"/>
      <c r="BB164" s="249">
        <v>0</v>
      </c>
      <c r="BC164" s="249">
        <v>0</v>
      </c>
      <c r="BD164" s="249">
        <v>0</v>
      </c>
      <c r="BE164" s="249">
        <v>0</v>
      </c>
      <c r="BF164" s="252"/>
      <c r="BG164" s="249">
        <v>0</v>
      </c>
      <c r="BH164" s="249">
        <v>0</v>
      </c>
      <c r="BI164" s="249">
        <v>5</v>
      </c>
      <c r="BJ164" s="249">
        <v>5</v>
      </c>
      <c r="BK164" s="252"/>
      <c r="BL164" s="249">
        <v>0</v>
      </c>
      <c r="BM164" s="249">
        <v>0</v>
      </c>
      <c r="BN164" s="249">
        <v>30</v>
      </c>
      <c r="BO164" s="249">
        <v>31</v>
      </c>
      <c r="BP164" s="252"/>
      <c r="BQ164" s="249">
        <v>0</v>
      </c>
      <c r="BR164" s="249">
        <v>0</v>
      </c>
      <c r="BS164" s="249">
        <v>184</v>
      </c>
      <c r="BT164" s="249">
        <v>171</v>
      </c>
      <c r="BU164" s="252"/>
      <c r="BV164" s="249">
        <v>0</v>
      </c>
      <c r="BW164" s="249">
        <v>0</v>
      </c>
      <c r="BX164" s="249">
        <v>-39</v>
      </c>
      <c r="BY164" s="249">
        <v>0</v>
      </c>
      <c r="BZ164" s="252"/>
      <c r="CA164" s="249">
        <v>0</v>
      </c>
      <c r="CB164" s="249">
        <v>0</v>
      </c>
      <c r="CC164" s="249">
        <v>0</v>
      </c>
      <c r="CD164" s="249">
        <v>0</v>
      </c>
      <c r="CE164" s="252"/>
      <c r="CF164" s="249">
        <v>0</v>
      </c>
      <c r="CG164" s="249">
        <v>0</v>
      </c>
      <c r="CH164" s="249">
        <v>0</v>
      </c>
      <c r="CI164" s="249">
        <v>0</v>
      </c>
      <c r="CJ164" s="252"/>
      <c r="CK164" s="249">
        <v>0</v>
      </c>
      <c r="CL164" s="249">
        <v>0</v>
      </c>
      <c r="CM164" s="249">
        <v>0</v>
      </c>
      <c r="CN164" s="249">
        <v>0</v>
      </c>
      <c r="CO164" s="252"/>
      <c r="CP164" s="249">
        <v>0</v>
      </c>
      <c r="CQ164" s="249">
        <v>0</v>
      </c>
      <c r="CR164" s="249">
        <v>0</v>
      </c>
      <c r="CS164" s="249">
        <v>0</v>
      </c>
      <c r="CT164" s="252"/>
      <c r="CU164" s="249"/>
      <c r="CV164" s="249"/>
      <c r="CW164" s="249"/>
      <c r="CX164" s="249"/>
      <c r="CY164" s="252"/>
      <c r="CZ164" s="249"/>
      <c r="DA164" s="249"/>
      <c r="DB164" s="249"/>
      <c r="DC164" s="249"/>
      <c r="DD164" s="252"/>
      <c r="DE164" s="249"/>
      <c r="DF164" s="249"/>
      <c r="DG164" s="249"/>
      <c r="DH164" s="249"/>
      <c r="DI164" s="252"/>
    </row>
    <row r="165" spans="1:113" s="7" customFormat="1" ht="12" hidden="1" customHeight="1" outlineLevel="1">
      <c r="A165" s="239"/>
      <c r="B165" s="274" t="s">
        <v>26</v>
      </c>
      <c r="C165" s="249"/>
      <c r="D165" s="252"/>
      <c r="E165" s="249"/>
      <c r="F165" s="252"/>
      <c r="G165" s="249"/>
      <c r="H165" s="252"/>
      <c r="I165" s="249"/>
      <c r="J165" s="252"/>
      <c r="K165" s="249"/>
      <c r="L165" s="252"/>
      <c r="M165" s="249"/>
      <c r="N165" s="252"/>
      <c r="O165" s="252"/>
      <c r="P165" s="249"/>
      <c r="Q165" s="252"/>
      <c r="R165" s="249">
        <f>-1753+775+364-3+22</f>
        <v>-595</v>
      </c>
      <c r="S165" s="249">
        <f>-3363+1838+561-4-12</f>
        <v>-980</v>
      </c>
      <c r="T165" s="249">
        <f>-6029+3129+2618-10-8</f>
        <v>-300</v>
      </c>
      <c r="U165" s="249">
        <f>-7616+4313+2766-30-23</f>
        <v>-590</v>
      </c>
      <c r="V165" s="252"/>
      <c r="W165" s="249">
        <f>-1197+792+889-32-22</f>
        <v>430</v>
      </c>
      <c r="X165" s="249">
        <f>-1523+1582+1076-37-8</f>
        <v>1090</v>
      </c>
      <c r="Y165" s="249">
        <f>-1901+2101+1192-30+14</f>
        <v>1376</v>
      </c>
      <c r="Z165" s="249">
        <f>-2705+2585+1244-37+22</f>
        <v>1109</v>
      </c>
      <c r="AA165" s="252"/>
      <c r="AB165" s="252"/>
      <c r="AC165" s="249">
        <f>-654+324+663-5</f>
        <v>328</v>
      </c>
      <c r="AD165" s="249">
        <f>-1379+672+904+225-12</f>
        <v>410</v>
      </c>
      <c r="AE165" s="249">
        <f>-1881+885+938+1-18</f>
        <v>-75</v>
      </c>
      <c r="AF165" s="249">
        <f>-3702+1501+998+14-28</f>
        <v>-1217</v>
      </c>
      <c r="AG165" s="252"/>
      <c r="AH165" s="249">
        <f>-1328+818+436-100+1-4</f>
        <v>-177</v>
      </c>
      <c r="AI165" s="249">
        <f>-2759+1602+517-100-10+1</f>
        <v>-749</v>
      </c>
      <c r="AJ165" s="249">
        <f>-4235+2885+789+1-1</f>
        <v>-561</v>
      </c>
      <c r="AK165" s="249">
        <f>-5386+3932+1126-2</f>
        <v>-330</v>
      </c>
      <c r="AL165" s="252"/>
      <c r="AM165" s="249">
        <f>-1296+1074+762+2</f>
        <v>542</v>
      </c>
      <c r="AN165" s="249">
        <f>-2588+1862+1045+2</f>
        <v>321</v>
      </c>
      <c r="AO165" s="249">
        <f>-3754+2624+1718-250</f>
        <v>338</v>
      </c>
      <c r="AP165" s="249">
        <f>-150+2216+3655-4936</f>
        <v>785</v>
      </c>
      <c r="AQ165" s="273"/>
      <c r="AR165" s="254">
        <f>-1188+721+450-50+9</f>
        <v>-58</v>
      </c>
      <c r="AS165" s="254">
        <f>-2851+1510+1250+9</f>
        <v>-82</v>
      </c>
      <c r="AT165" s="254">
        <f>-3759+2021+1939+150+9-3</f>
        <v>357</v>
      </c>
      <c r="AU165" s="254">
        <f>-5367+2924+2386+150+6</f>
        <v>99</v>
      </c>
      <c r="AV165" s="252"/>
      <c r="AW165" s="249">
        <f>-1279+562+960-42</f>
        <v>201</v>
      </c>
      <c r="AX165" s="249">
        <f>-2358+1743+1404-53</f>
        <v>736</v>
      </c>
      <c r="AY165" s="249">
        <f>-4029+2433+1905-34</f>
        <v>275</v>
      </c>
      <c r="AZ165" s="249">
        <f>-5928+3623+2423+13-34</f>
        <v>97</v>
      </c>
      <c r="BA165" s="252"/>
      <c r="BB165" s="249">
        <f>-1663+1403+518</f>
        <v>258</v>
      </c>
      <c r="BC165" s="249">
        <f>-3002+2229+1044</f>
        <v>271</v>
      </c>
      <c r="BD165" s="249">
        <f>-3644+3101+1797</f>
        <v>1254</v>
      </c>
      <c r="BE165" s="249">
        <f>-4783+3613+2496+3-25</f>
        <v>1304</v>
      </c>
      <c r="BF165" s="252"/>
      <c r="BG165" s="249">
        <f>-980+400+586+4</f>
        <v>10</v>
      </c>
      <c r="BH165" s="249">
        <f>-1771+1181+971</f>
        <v>381</v>
      </c>
      <c r="BI165" s="249">
        <f>-2384+1613+1491</f>
        <v>720</v>
      </c>
      <c r="BJ165" s="249">
        <f>-2937+1715+2072</f>
        <v>850</v>
      </c>
      <c r="BK165" s="252"/>
      <c r="BL165" s="249">
        <f>-504+16+533-109</f>
        <v>-64</v>
      </c>
      <c r="BM165" s="249">
        <f>-1157+19+981-109</f>
        <v>-266</v>
      </c>
      <c r="BN165" s="249">
        <f>-1775+20+1764</f>
        <v>9</v>
      </c>
      <c r="BO165" s="249">
        <f>-2426+74+2379</f>
        <v>27</v>
      </c>
      <c r="BP165" s="252"/>
      <c r="BQ165" s="249">
        <f>-1401+302+384+2</f>
        <v>-713</v>
      </c>
      <c r="BR165" s="249">
        <f>-4505+802+914+256</f>
        <v>-2533</v>
      </c>
      <c r="BS165" s="249">
        <f>-7441+2203+1588</f>
        <v>-3650</v>
      </c>
      <c r="BT165" s="249">
        <f>-9961+4236+2449</f>
        <v>-3276</v>
      </c>
      <c r="BU165" s="252"/>
      <c r="BV165" s="249">
        <f>-2550+2096+1037+102</f>
        <v>685</v>
      </c>
      <c r="BW165" s="249">
        <f>-6699+3891+2032+33</f>
        <v>-743</v>
      </c>
      <c r="BX165" s="249">
        <f>-9229+5152+2921</f>
        <v>-1156</v>
      </c>
      <c r="BY165" s="249">
        <f>-12913+8199+3967-19</f>
        <v>-766</v>
      </c>
      <c r="BZ165" s="252"/>
      <c r="CA165" s="249">
        <f>139-2469+1432+948</f>
        <v>50</v>
      </c>
      <c r="CB165" s="249">
        <f>-3500+1951+1972+54</f>
        <v>477</v>
      </c>
      <c r="CC165" s="249">
        <f>-4844+2470+3149+62</f>
        <v>837</v>
      </c>
      <c r="CD165" s="249">
        <f>-6059+3356+4184+52</f>
        <v>1533</v>
      </c>
      <c r="CE165" s="252"/>
      <c r="CF165" s="249">
        <f>-1144+778+1038-1</f>
        <v>671</v>
      </c>
      <c r="CG165" s="249">
        <f>-2206+1477+2072-10</f>
        <v>1333</v>
      </c>
      <c r="CH165" s="249">
        <f>2036+3093-3337-9</f>
        <v>1783</v>
      </c>
      <c r="CI165" s="249">
        <f>-4767+2269+4219-15</f>
        <v>1706</v>
      </c>
      <c r="CJ165" s="252"/>
      <c r="CK165" s="249">
        <f>-968+144+778</f>
        <v>-46</v>
      </c>
      <c r="CL165" s="249">
        <f>-2084+197+1886+10</f>
        <v>9</v>
      </c>
      <c r="CM165" s="249">
        <f>-2664+258+2439+8</f>
        <v>41</v>
      </c>
      <c r="CN165" s="249">
        <f>-3234+319+3062+8</f>
        <v>155</v>
      </c>
      <c r="CO165" s="252"/>
      <c r="CP165" s="249">
        <f>-355+209+294</f>
        <v>148</v>
      </c>
      <c r="CQ165" s="249">
        <f>-636+395+536-3</f>
        <v>292</v>
      </c>
      <c r="CR165" s="249">
        <f>-889+478+744-63</f>
        <v>270</v>
      </c>
      <c r="CS165" s="249">
        <f>-1316+556+1021-65</f>
        <v>196</v>
      </c>
      <c r="CT165" s="252"/>
      <c r="CU165" s="249"/>
      <c r="CV165" s="249"/>
      <c r="CW165" s="249"/>
      <c r="CX165" s="249"/>
      <c r="CY165" s="252"/>
      <c r="CZ165" s="249"/>
      <c r="DA165" s="249"/>
      <c r="DB165" s="249"/>
      <c r="DC165" s="249"/>
      <c r="DD165" s="252"/>
      <c r="DE165" s="249"/>
      <c r="DF165" s="249"/>
      <c r="DG165" s="249"/>
      <c r="DH165" s="249"/>
      <c r="DI165" s="252"/>
    </row>
    <row r="166" spans="1:113" s="7" customFormat="1" ht="12" hidden="1" customHeight="1" outlineLevel="1">
      <c r="A166" s="239"/>
      <c r="B166" s="274"/>
      <c r="C166" s="249"/>
      <c r="D166" s="252"/>
      <c r="E166" s="249"/>
      <c r="F166" s="252"/>
      <c r="G166" s="249"/>
      <c r="H166" s="252"/>
      <c r="I166" s="249"/>
      <c r="J166" s="252"/>
      <c r="K166" s="249"/>
      <c r="L166" s="252"/>
      <c r="M166" s="249"/>
      <c r="N166" s="252"/>
      <c r="O166" s="252"/>
      <c r="P166" s="249"/>
      <c r="Q166" s="252"/>
      <c r="R166" s="249" t="s">
        <v>4</v>
      </c>
      <c r="S166" s="249" t="s">
        <v>4</v>
      </c>
      <c r="T166" s="249" t="s">
        <v>4</v>
      </c>
      <c r="U166" s="249" t="s">
        <v>4</v>
      </c>
      <c r="V166" s="252"/>
      <c r="W166" s="249" t="s">
        <v>4</v>
      </c>
      <c r="X166" s="249" t="s">
        <v>4</v>
      </c>
      <c r="Y166" s="249" t="s">
        <v>4</v>
      </c>
      <c r="Z166" s="249" t="s">
        <v>4</v>
      </c>
      <c r="AA166" s="252"/>
      <c r="AB166" s="252"/>
      <c r="AC166" s="249" t="s">
        <v>4</v>
      </c>
      <c r="AD166" s="249" t="s">
        <v>4</v>
      </c>
      <c r="AE166" s="249" t="s">
        <v>4</v>
      </c>
      <c r="AF166" s="249" t="s">
        <v>4</v>
      </c>
      <c r="AG166" s="252"/>
      <c r="AH166" s="249" t="s">
        <v>4</v>
      </c>
      <c r="AI166" s="249" t="s">
        <v>4</v>
      </c>
      <c r="AJ166" s="249" t="s">
        <v>4</v>
      </c>
      <c r="AK166" s="249" t="s">
        <v>4</v>
      </c>
      <c r="AL166" s="252"/>
      <c r="AM166" s="249" t="s">
        <v>4</v>
      </c>
      <c r="AN166" s="249" t="s">
        <v>4</v>
      </c>
      <c r="AO166" s="249" t="s">
        <v>4</v>
      </c>
      <c r="AP166" s="249" t="s">
        <v>4</v>
      </c>
      <c r="AQ166" s="273"/>
      <c r="AR166" s="254" t="s">
        <v>4</v>
      </c>
      <c r="AS166" s="254" t="s">
        <v>4</v>
      </c>
      <c r="AT166" s="254" t="s">
        <v>4</v>
      </c>
      <c r="AU166" s="254" t="s">
        <v>4</v>
      </c>
      <c r="AV166" s="252"/>
      <c r="AW166" s="249" t="s">
        <v>4</v>
      </c>
      <c r="AX166" s="249" t="s">
        <v>4</v>
      </c>
      <c r="AY166" s="249" t="s">
        <v>4</v>
      </c>
      <c r="AZ166" s="249" t="s">
        <v>4</v>
      </c>
      <c r="BA166" s="252"/>
      <c r="BB166" s="249" t="s">
        <v>4</v>
      </c>
      <c r="BC166" s="249" t="s">
        <v>4</v>
      </c>
      <c r="BD166" s="249" t="s">
        <v>4</v>
      </c>
      <c r="BE166" s="249" t="s">
        <v>4</v>
      </c>
      <c r="BF166" s="252"/>
      <c r="BG166" s="249" t="s">
        <v>4</v>
      </c>
      <c r="BH166" s="249" t="s">
        <v>4</v>
      </c>
      <c r="BI166" s="249" t="s">
        <v>4</v>
      </c>
      <c r="BJ166" s="249" t="s">
        <v>4</v>
      </c>
      <c r="BK166" s="252"/>
      <c r="BL166" s="249" t="s">
        <v>4</v>
      </c>
      <c r="BM166" s="249" t="s">
        <v>4</v>
      </c>
      <c r="BN166" s="249" t="s">
        <v>4</v>
      </c>
      <c r="BO166" s="249" t="s">
        <v>4</v>
      </c>
      <c r="BP166" s="252"/>
      <c r="BQ166" s="249" t="s">
        <v>4</v>
      </c>
      <c r="BR166" s="249" t="s">
        <v>4</v>
      </c>
      <c r="BS166" s="249" t="s">
        <v>4</v>
      </c>
      <c r="BT166" s="249" t="s">
        <v>4</v>
      </c>
      <c r="BU166" s="252"/>
      <c r="BV166" s="249" t="s">
        <v>4</v>
      </c>
      <c r="BW166" s="249" t="s">
        <v>4</v>
      </c>
      <c r="BX166" s="249" t="s">
        <v>4</v>
      </c>
      <c r="BY166" s="249" t="s">
        <v>4</v>
      </c>
      <c r="BZ166" s="252"/>
      <c r="CA166" s="249" t="s">
        <v>4</v>
      </c>
      <c r="CB166" s="249" t="s">
        <v>4</v>
      </c>
      <c r="CC166" s="249" t="s">
        <v>4</v>
      </c>
      <c r="CD166" s="249" t="s">
        <v>4</v>
      </c>
      <c r="CE166" s="252"/>
      <c r="CF166" s="249" t="s">
        <v>4</v>
      </c>
      <c r="CG166" s="249" t="s">
        <v>4</v>
      </c>
      <c r="CH166" s="249" t="s">
        <v>4</v>
      </c>
      <c r="CI166" s="249" t="s">
        <v>4</v>
      </c>
      <c r="CJ166" s="252"/>
      <c r="CK166" s="249" t="s">
        <v>4</v>
      </c>
      <c r="CL166" s="249" t="s">
        <v>4</v>
      </c>
      <c r="CM166" s="249" t="s">
        <v>4</v>
      </c>
      <c r="CN166" s="249" t="s">
        <v>4</v>
      </c>
      <c r="CO166" s="252"/>
      <c r="CP166" s="249" t="s">
        <v>4</v>
      </c>
      <c r="CQ166" s="249" t="s">
        <v>4</v>
      </c>
      <c r="CR166" s="249" t="s">
        <v>4</v>
      </c>
      <c r="CS166" s="249" t="s">
        <v>4</v>
      </c>
      <c r="CT166" s="252"/>
      <c r="CU166" s="249"/>
      <c r="CV166" s="249"/>
      <c r="CW166" s="249"/>
      <c r="CX166" s="249"/>
      <c r="CY166" s="252"/>
      <c r="CZ166" s="249"/>
      <c r="DA166" s="249"/>
      <c r="DB166" s="249"/>
      <c r="DC166" s="249"/>
      <c r="DD166" s="252"/>
      <c r="DE166" s="249"/>
      <c r="DF166" s="249"/>
      <c r="DG166" s="249"/>
      <c r="DH166" s="249"/>
      <c r="DI166" s="252"/>
    </row>
    <row r="167" spans="1:113" s="117" customFormat="1" ht="12" hidden="1" customHeight="1" outlineLevel="1">
      <c r="A167" s="239"/>
      <c r="B167" s="272" t="s">
        <v>27</v>
      </c>
      <c r="C167" s="275"/>
      <c r="D167" s="276"/>
      <c r="E167" s="275"/>
      <c r="F167" s="276"/>
      <c r="G167" s="275"/>
      <c r="H167" s="276"/>
      <c r="I167" s="275"/>
      <c r="J167" s="276"/>
      <c r="K167" s="275"/>
      <c r="L167" s="276"/>
      <c r="M167" s="275"/>
      <c r="N167" s="276"/>
      <c r="O167" s="276"/>
      <c r="P167" s="275"/>
      <c r="Q167" s="276"/>
      <c r="R167" s="275">
        <f>SUM(R163:R165)</f>
        <v>-684</v>
      </c>
      <c r="S167" s="275">
        <f>SUM(S163:S165)</f>
        <v>-1171</v>
      </c>
      <c r="T167" s="275">
        <f>SUM(T163:T165)</f>
        <v>-602</v>
      </c>
      <c r="U167" s="275">
        <f>SUM(U163:U165)</f>
        <v>-1021</v>
      </c>
      <c r="V167" s="276"/>
      <c r="W167" s="275">
        <f>SUM(W163:W165)</f>
        <v>317</v>
      </c>
      <c r="X167" s="275">
        <f>SUM(X163:X165)</f>
        <v>832</v>
      </c>
      <c r="Y167" s="275">
        <f>SUM(Y163:Y165)</f>
        <v>998</v>
      </c>
      <c r="Z167" s="275">
        <f>SUM(Z163:Z165)</f>
        <v>514</v>
      </c>
      <c r="AA167" s="276"/>
      <c r="AB167" s="276"/>
      <c r="AC167" s="275">
        <f>SUM(AC163:AC165)</f>
        <v>221</v>
      </c>
      <c r="AD167" s="275">
        <f>SUM(AD163:AD165)</f>
        <v>160</v>
      </c>
      <c r="AE167" s="275">
        <f>SUM(AE163:AE165)</f>
        <v>310</v>
      </c>
      <c r="AF167" s="275">
        <f>SUM(AF163:AF165)</f>
        <v>-1067</v>
      </c>
      <c r="AG167" s="276"/>
      <c r="AH167" s="275">
        <f>SUM(AH163:AH165)</f>
        <v>-392</v>
      </c>
      <c r="AI167" s="275">
        <f>SUM(AI163:AI165)</f>
        <v>-1177</v>
      </c>
      <c r="AJ167" s="275">
        <f>SUM(AJ163:AJ165)</f>
        <v>-1231</v>
      </c>
      <c r="AK167" s="275">
        <f>SUM(AK163:AK165)</f>
        <v>-1207</v>
      </c>
      <c r="AL167" s="276"/>
      <c r="AM167" s="275">
        <f>SUM(AM163:AM165)</f>
        <v>280</v>
      </c>
      <c r="AN167" s="275">
        <f>SUM(AN163:AN165)</f>
        <v>-166</v>
      </c>
      <c r="AO167" s="275">
        <f>SUM(AO163:AO165)</f>
        <v>-382</v>
      </c>
      <c r="AP167" s="275">
        <f>SUM(AP163:AP165)</f>
        <v>-175</v>
      </c>
      <c r="AQ167" s="277"/>
      <c r="AR167" s="278">
        <f>SUM(AR163:AR165)</f>
        <v>-385</v>
      </c>
      <c r="AS167" s="278">
        <f>SUM(AS163:AS165)</f>
        <v>-697</v>
      </c>
      <c r="AT167" s="278">
        <f>SUM(AT163:AT165)</f>
        <v>-544</v>
      </c>
      <c r="AU167" s="278">
        <f>SUM(AU163:AU165)</f>
        <v>-1034</v>
      </c>
      <c r="AV167" s="276"/>
      <c r="AW167" s="275">
        <f>SUM(AW163:AW165)</f>
        <v>-76</v>
      </c>
      <c r="AX167" s="275">
        <f>SUM(AX163:AX165)</f>
        <v>236</v>
      </c>
      <c r="AY167" s="275">
        <f>SUM(AY163:AY165)</f>
        <v>-488</v>
      </c>
      <c r="AZ167" s="275">
        <f>SUM(AZ163:AZ165)</f>
        <v>-1008</v>
      </c>
      <c r="BA167" s="276"/>
      <c r="BB167" s="275">
        <f>SUM(BB163:BB165)</f>
        <v>-12</v>
      </c>
      <c r="BC167" s="275">
        <f>SUM(BC163:BC165)</f>
        <v>-226</v>
      </c>
      <c r="BD167" s="275">
        <f>SUM(BD163:BD165)</f>
        <v>526</v>
      </c>
      <c r="BE167" s="275">
        <f>SUM(BE163:BE165)</f>
        <v>276</v>
      </c>
      <c r="BF167" s="276"/>
      <c r="BG167" s="275">
        <f>SUM(BG163:BG165)</f>
        <v>-333</v>
      </c>
      <c r="BH167" s="275">
        <f>SUM(BH163:BH165)</f>
        <v>-245</v>
      </c>
      <c r="BI167" s="275">
        <f>SUM(BI163:BI165)</f>
        <v>-121</v>
      </c>
      <c r="BJ167" s="275">
        <f>SUM(BJ163:BJ165)</f>
        <v>-264</v>
      </c>
      <c r="BK167" s="276"/>
      <c r="BL167" s="275">
        <f>SUM(BL163:BL165)</f>
        <v>-348</v>
      </c>
      <c r="BM167" s="275">
        <f>SUM(BM163:BM165)</f>
        <v>-788</v>
      </c>
      <c r="BN167" s="275">
        <f>SUM(BN163:BN165)</f>
        <v>-758</v>
      </c>
      <c r="BO167" s="275">
        <f>SUM(BO163:BO165)</f>
        <v>-1028</v>
      </c>
      <c r="BP167" s="276"/>
      <c r="BQ167" s="275">
        <f>SUM(BQ163:BQ165)</f>
        <v>-889</v>
      </c>
      <c r="BR167" s="275">
        <f>SUM(BR163:BR165)</f>
        <v>-2877</v>
      </c>
      <c r="BS167" s="275">
        <f>SUM(BS163:BS165)</f>
        <v>-3987</v>
      </c>
      <c r="BT167" s="275">
        <f>SUM(BT163:BT165)</f>
        <v>-3800</v>
      </c>
      <c r="BU167" s="276"/>
      <c r="BV167" s="275">
        <f>SUM(BV163:BV165)</f>
        <v>501</v>
      </c>
      <c r="BW167" s="275">
        <f>SUM(BW163:BW165)</f>
        <v>-1105</v>
      </c>
      <c r="BX167" s="275">
        <f>SUM(BX163:BX165)</f>
        <v>-1711</v>
      </c>
      <c r="BY167" s="275">
        <f>SUM(BY163:BY165)</f>
        <v>-1524</v>
      </c>
      <c r="BZ167" s="276"/>
      <c r="CA167" s="275">
        <f>SUM(CA163:CA165)</f>
        <v>-214</v>
      </c>
      <c r="CB167" s="275">
        <f>SUM(CB163:CB165)</f>
        <v>-23</v>
      </c>
      <c r="CC167" s="275">
        <f>SUM(CC163:CC165)</f>
        <v>137</v>
      </c>
      <c r="CD167" s="275">
        <f>SUM(CD163:CD165)</f>
        <v>564</v>
      </c>
      <c r="CE167" s="276"/>
      <c r="CF167" s="275">
        <f>SUM(CF163:CF165)</f>
        <v>418</v>
      </c>
      <c r="CG167" s="275">
        <f>SUM(CG163:CG165)</f>
        <v>875</v>
      </c>
      <c r="CH167" s="275">
        <f>SUM(CH163:CH165)</f>
        <v>1184</v>
      </c>
      <c r="CI167" s="275">
        <f>SUM(CI163:CI165)</f>
        <v>894</v>
      </c>
      <c r="CJ167" s="276"/>
      <c r="CK167" s="275">
        <f>SUM(CK163:CK165)</f>
        <v>-166</v>
      </c>
      <c r="CL167" s="275">
        <f>SUM(CL163:CL165)</f>
        <v>-240</v>
      </c>
      <c r="CM167" s="275">
        <f>SUM(CM163:CM165)</f>
        <v>-289</v>
      </c>
      <c r="CN167" s="275">
        <f>SUM(CN163:CN165)</f>
        <v>-275</v>
      </c>
      <c r="CO167" s="276"/>
      <c r="CP167" s="275">
        <f>SUM(CP163:CP165)</f>
        <v>-59</v>
      </c>
      <c r="CQ167" s="275">
        <f>SUM(CQ163:CQ165)</f>
        <v>-108</v>
      </c>
      <c r="CR167" s="275">
        <f>SUM(CR163:CR165)</f>
        <v>-276</v>
      </c>
      <c r="CS167" s="275">
        <f>SUM(CS163:CS165)</f>
        <v>-488</v>
      </c>
      <c r="CT167" s="276"/>
      <c r="CU167" s="275"/>
      <c r="CV167" s="275"/>
      <c r="CW167" s="275"/>
      <c r="CX167" s="275"/>
      <c r="CY167" s="276"/>
      <c r="CZ167" s="275"/>
      <c r="DA167" s="275"/>
      <c r="DB167" s="275"/>
      <c r="DC167" s="275"/>
      <c r="DD167" s="276"/>
      <c r="DE167" s="275"/>
      <c r="DF167" s="275"/>
      <c r="DG167" s="275"/>
      <c r="DH167" s="275"/>
      <c r="DI167" s="276"/>
    </row>
    <row r="168" spans="1:113" s="7" customFormat="1" ht="12" hidden="1" customHeight="1" outlineLevel="1">
      <c r="A168" s="239"/>
      <c r="B168" s="272" t="s">
        <v>28</v>
      </c>
      <c r="C168" s="249"/>
      <c r="D168" s="252"/>
      <c r="E168" s="249"/>
      <c r="F168" s="252"/>
      <c r="G168" s="249"/>
      <c r="H168" s="252"/>
      <c r="I168" s="249"/>
      <c r="J168" s="252"/>
      <c r="K168" s="249"/>
      <c r="L168" s="252"/>
      <c r="M168" s="249"/>
      <c r="N168" s="252"/>
      <c r="O168" s="252"/>
      <c r="P168" s="249"/>
      <c r="Q168" s="252"/>
      <c r="R168" s="249">
        <f>R161+R163</f>
        <v>122.99999999999977</v>
      </c>
      <c r="S168" s="249">
        <f>S161+S163</f>
        <v>456</v>
      </c>
      <c r="T168" s="249">
        <f>T161+T163</f>
        <v>668</v>
      </c>
      <c r="U168" s="249">
        <f>U161+U163</f>
        <v>1381</v>
      </c>
      <c r="V168" s="252"/>
      <c r="W168" s="249">
        <f>W161+W163</f>
        <v>-26</v>
      </c>
      <c r="X168" s="249">
        <f>X161+X163</f>
        <v>339</v>
      </c>
      <c r="Y168" s="249">
        <f>Y161+Y163</f>
        <v>547</v>
      </c>
      <c r="Z168" s="249">
        <f>Z161+Z163</f>
        <v>1304</v>
      </c>
      <c r="AA168" s="252"/>
      <c r="AB168" s="252"/>
      <c r="AC168" s="249">
        <f>AC161+AC163</f>
        <v>428</v>
      </c>
      <c r="AD168" s="249">
        <f>AD161+AD163</f>
        <v>995</v>
      </c>
      <c r="AE168" s="249">
        <f>AE161+AE163</f>
        <v>1267</v>
      </c>
      <c r="AF168" s="249">
        <f>AF161+AF163</f>
        <v>2391</v>
      </c>
      <c r="AG168" s="252"/>
      <c r="AH168" s="249">
        <f>AH161+AH163</f>
        <v>381</v>
      </c>
      <c r="AI168" s="249">
        <f>AI161+AI163</f>
        <v>497</v>
      </c>
      <c r="AJ168" s="249">
        <f>AJ161+AJ163</f>
        <v>1015</v>
      </c>
      <c r="AK168" s="249">
        <f>AK161+AK163</f>
        <v>2126</v>
      </c>
      <c r="AL168" s="252"/>
      <c r="AM168" s="249">
        <f>AM161+AM163</f>
        <v>326</v>
      </c>
      <c r="AN168" s="249">
        <f>AN161+AN163</f>
        <v>748</v>
      </c>
      <c r="AO168" s="249">
        <f>AO161+AO163</f>
        <v>2618</v>
      </c>
      <c r="AP168" s="249">
        <f>AP161+AP163</f>
        <v>3720</v>
      </c>
      <c r="AQ168" s="273"/>
      <c r="AR168" s="254">
        <f>AR161+AR163</f>
        <v>164</v>
      </c>
      <c r="AS168" s="254">
        <f>AS161+AS163</f>
        <v>421</v>
      </c>
      <c r="AT168" s="254">
        <f>AT161+AT163</f>
        <v>1011</v>
      </c>
      <c r="AU168" s="254">
        <f>AU161+AU163</f>
        <v>1963</v>
      </c>
      <c r="AV168" s="252"/>
      <c r="AW168" s="249">
        <f>AW161+AW163</f>
        <v>444</v>
      </c>
      <c r="AX168" s="249">
        <f>AX161+AX163</f>
        <v>1184</v>
      </c>
      <c r="AY168" s="249">
        <f>AY161+AY163</f>
        <v>1988</v>
      </c>
      <c r="AZ168" s="249">
        <f>AZ161+AZ163</f>
        <v>2535</v>
      </c>
      <c r="BA168" s="252"/>
      <c r="BB168" s="249">
        <f>BB161+BB163</f>
        <v>305</v>
      </c>
      <c r="BC168" s="249">
        <f>BC161+BC163</f>
        <v>1401</v>
      </c>
      <c r="BD168" s="249">
        <f>BD161+BD163</f>
        <v>1957</v>
      </c>
      <c r="BE168" s="249">
        <f>BE161+BE163</f>
        <v>3927</v>
      </c>
      <c r="BF168" s="252"/>
      <c r="BG168" s="249">
        <f>BG161+BG163</f>
        <v>958</v>
      </c>
      <c r="BH168" s="249">
        <f>BH161+BH163</f>
        <v>2199</v>
      </c>
      <c r="BI168" s="249">
        <f>BI161+BI163</f>
        <v>3047</v>
      </c>
      <c r="BJ168" s="249">
        <f>BJ161+BJ163</f>
        <v>4784</v>
      </c>
      <c r="BK168" s="252"/>
      <c r="BL168" s="249">
        <f>BL161+BL163</f>
        <v>110</v>
      </c>
      <c r="BM168" s="249">
        <f>BM161+BM163</f>
        <v>784</v>
      </c>
      <c r="BN168" s="249">
        <f>BN161+BN163</f>
        <v>1689</v>
      </c>
      <c r="BO168" s="249">
        <f>BO161+BO163</f>
        <v>1399</v>
      </c>
      <c r="BP168" s="252"/>
      <c r="BQ168" s="249">
        <f>BQ161+BQ163</f>
        <v>706</v>
      </c>
      <c r="BR168" s="249">
        <f>BR161+BR163</f>
        <v>3011</v>
      </c>
      <c r="BS168" s="249">
        <f>BS161+BS163</f>
        <v>4124</v>
      </c>
      <c r="BT168" s="249">
        <f>BT161+BT163</f>
        <v>5962</v>
      </c>
      <c r="BU168" s="252"/>
      <c r="BV168" s="249">
        <f>BV161+BV163</f>
        <v>927</v>
      </c>
      <c r="BW168" s="249">
        <f>BW161+BW163</f>
        <v>3506</v>
      </c>
      <c r="BX168" s="249">
        <f>BX161+BX163</f>
        <v>3521</v>
      </c>
      <c r="BY168" s="249">
        <f>BY161+BY163</f>
        <v>4430</v>
      </c>
      <c r="BZ168" s="252"/>
      <c r="CA168" s="249">
        <f>CA161+CA163</f>
        <v>93</v>
      </c>
      <c r="CB168" s="249">
        <f>CB161+CB163</f>
        <v>858</v>
      </c>
      <c r="CC168" s="249">
        <f>CC161+CC163</f>
        <v>2888</v>
      </c>
      <c r="CD168" s="249">
        <f>CD161+CD163</f>
        <v>4872</v>
      </c>
      <c r="CE168" s="252"/>
      <c r="CF168" s="249">
        <f>CF161+CF163</f>
        <v>-319</v>
      </c>
      <c r="CG168" s="249">
        <f>CG161+CG163</f>
        <v>2293</v>
      </c>
      <c r="CH168" s="249">
        <f>CH161+CH163</f>
        <v>4211</v>
      </c>
      <c r="CI168" s="249">
        <f>CI161+CI163</f>
        <v>6617</v>
      </c>
      <c r="CJ168" s="252"/>
      <c r="CK168" s="249">
        <f>CK161+CK163</f>
        <v>274</v>
      </c>
      <c r="CL168" s="249">
        <f>CL161+CL163</f>
        <v>1194</v>
      </c>
      <c r="CM168" s="249">
        <f>CM161+CM163</f>
        <v>2905</v>
      </c>
      <c r="CN168" s="249">
        <f>CN161+CN163</f>
        <v>3268</v>
      </c>
      <c r="CO168" s="252"/>
      <c r="CP168" s="249">
        <f>CP161+CP163</f>
        <v>15</v>
      </c>
      <c r="CQ168" s="249">
        <f>CQ161+CQ163</f>
        <v>401</v>
      </c>
      <c r="CR168" s="249">
        <f>CR161+CR163</f>
        <v>685</v>
      </c>
      <c r="CS168" s="249">
        <f>CS161+CS163</f>
        <v>2184</v>
      </c>
      <c r="CT168" s="252"/>
      <c r="CU168" s="249"/>
      <c r="CV168" s="249"/>
      <c r="CW168" s="249"/>
      <c r="CX168" s="249"/>
      <c r="CY168" s="252"/>
      <c r="CZ168" s="249"/>
      <c r="DA168" s="249"/>
      <c r="DB168" s="249"/>
      <c r="DC168" s="249"/>
      <c r="DD168" s="252"/>
      <c r="DE168" s="249"/>
      <c r="DF168" s="249"/>
      <c r="DG168" s="249"/>
      <c r="DH168" s="249"/>
      <c r="DI168" s="252"/>
    </row>
    <row r="169" spans="1:113" s="7" customFormat="1" ht="12" hidden="1" customHeight="1" outlineLevel="1">
      <c r="A169" s="239"/>
      <c r="B169" s="274"/>
      <c r="C169" s="249"/>
      <c r="D169" s="252"/>
      <c r="E169" s="249"/>
      <c r="F169" s="252"/>
      <c r="G169" s="249"/>
      <c r="H169" s="252"/>
      <c r="I169" s="249"/>
      <c r="J169" s="252"/>
      <c r="K169" s="249"/>
      <c r="L169" s="252"/>
      <c r="M169" s="249"/>
      <c r="N169" s="252"/>
      <c r="O169" s="252"/>
      <c r="P169" s="249"/>
      <c r="Q169" s="252"/>
      <c r="R169" s="249"/>
      <c r="S169" s="249"/>
      <c r="T169" s="249"/>
      <c r="U169" s="249"/>
      <c r="V169" s="252"/>
      <c r="W169" s="249"/>
      <c r="X169" s="249"/>
      <c r="Y169" s="249"/>
      <c r="Z169" s="249"/>
      <c r="AA169" s="252"/>
      <c r="AB169" s="252"/>
      <c r="AC169" s="249"/>
      <c r="AD169" s="249"/>
      <c r="AE169" s="249"/>
      <c r="AF169" s="249"/>
      <c r="AG169" s="252"/>
      <c r="AH169" s="249"/>
      <c r="AI169" s="249"/>
      <c r="AJ169" s="249"/>
      <c r="AK169" s="249"/>
      <c r="AL169" s="252"/>
      <c r="AM169" s="249"/>
      <c r="AN169" s="249"/>
      <c r="AO169" s="249"/>
      <c r="AP169" s="249"/>
      <c r="AQ169" s="273"/>
      <c r="AR169" s="254"/>
      <c r="AS169" s="254"/>
      <c r="AT169" s="254"/>
      <c r="AU169" s="254"/>
      <c r="AV169" s="252"/>
      <c r="AW169" s="249"/>
      <c r="AX169" s="249"/>
      <c r="AY169" s="249"/>
      <c r="AZ169" s="249"/>
      <c r="BA169" s="252"/>
      <c r="BB169" s="249"/>
      <c r="BC169" s="249"/>
      <c r="BD169" s="249"/>
      <c r="BE169" s="249"/>
      <c r="BF169" s="252"/>
      <c r="BG169" s="249"/>
      <c r="BH169" s="249"/>
      <c r="BI169" s="249"/>
      <c r="BJ169" s="249"/>
      <c r="BK169" s="252"/>
      <c r="BL169" s="249"/>
      <c r="BM169" s="249"/>
      <c r="BN169" s="249"/>
      <c r="BO169" s="249"/>
      <c r="BP169" s="252"/>
      <c r="BQ169" s="249"/>
      <c r="BR169" s="249"/>
      <c r="BS169" s="249"/>
      <c r="BT169" s="249"/>
      <c r="BU169" s="252"/>
      <c r="BV169" s="249"/>
      <c r="BW169" s="249"/>
      <c r="BX169" s="249"/>
      <c r="BY169" s="249"/>
      <c r="BZ169" s="252"/>
      <c r="CA169" s="249"/>
      <c r="CB169" s="249"/>
      <c r="CC169" s="249"/>
      <c r="CD169" s="249"/>
      <c r="CE169" s="252"/>
      <c r="CF169" s="249"/>
      <c r="CG169" s="249"/>
      <c r="CH169" s="249"/>
      <c r="CI169" s="249"/>
      <c r="CJ169" s="252"/>
      <c r="CK169" s="249"/>
      <c r="CL169" s="249"/>
      <c r="CM169" s="249"/>
      <c r="CN169" s="249"/>
      <c r="CO169" s="252"/>
      <c r="CP169" s="249"/>
      <c r="CQ169" s="249"/>
      <c r="CR169" s="249"/>
      <c r="CS169" s="249"/>
      <c r="CT169" s="252"/>
      <c r="CU169" s="249"/>
      <c r="CV169" s="249"/>
      <c r="CW169" s="249"/>
      <c r="CX169" s="249"/>
      <c r="CY169" s="252"/>
      <c r="CZ169" s="249"/>
      <c r="DA169" s="249"/>
      <c r="DB169" s="249"/>
      <c r="DC169" s="249"/>
      <c r="DD169" s="252"/>
      <c r="DE169" s="249"/>
      <c r="DF169" s="249"/>
      <c r="DG169" s="249"/>
      <c r="DH169" s="249"/>
      <c r="DI169" s="252"/>
    </row>
    <row r="170" spans="1:113" s="7" customFormat="1" ht="12" hidden="1" customHeight="1" outlineLevel="1">
      <c r="A170" s="239"/>
      <c r="B170" s="274" t="s">
        <v>29</v>
      </c>
      <c r="C170" s="249"/>
      <c r="D170" s="252"/>
      <c r="E170" s="249"/>
      <c r="F170" s="252"/>
      <c r="G170" s="249"/>
      <c r="H170" s="252"/>
      <c r="I170" s="249"/>
      <c r="J170" s="252"/>
      <c r="K170" s="249"/>
      <c r="L170" s="252"/>
      <c r="M170" s="249"/>
      <c r="N170" s="252"/>
      <c r="O170" s="252"/>
      <c r="P170" s="249"/>
      <c r="Q170" s="252"/>
      <c r="R170" s="249">
        <f>-2-32</f>
        <v>-34</v>
      </c>
      <c r="S170" s="249">
        <f>-4-15</f>
        <v>-19</v>
      </c>
      <c r="T170" s="249">
        <f>-6-5</f>
        <v>-11</v>
      </c>
      <c r="U170" s="249">
        <f>-8+41</f>
        <v>33</v>
      </c>
      <c r="V170" s="252"/>
      <c r="W170" s="249">
        <f>-132-18</f>
        <v>-150</v>
      </c>
      <c r="X170" s="249">
        <f>-134-49</f>
        <v>-183</v>
      </c>
      <c r="Y170" s="249">
        <f>-201-87</f>
        <v>-288</v>
      </c>
      <c r="Z170" s="249">
        <f>-203-65</f>
        <v>-268</v>
      </c>
      <c r="AA170" s="252"/>
      <c r="AB170" s="252"/>
      <c r="AC170" s="249">
        <f>-42+19</f>
        <v>-23</v>
      </c>
      <c r="AD170" s="249">
        <f>-45-10</f>
        <v>-55</v>
      </c>
      <c r="AE170" s="249">
        <v>-47</v>
      </c>
      <c r="AF170" s="249">
        <f>-49+986</f>
        <v>937</v>
      </c>
      <c r="AG170" s="252"/>
      <c r="AH170" s="249">
        <f>-2-3</f>
        <v>-5</v>
      </c>
      <c r="AI170" s="249">
        <f>-57+66</f>
        <v>9</v>
      </c>
      <c r="AJ170" s="249">
        <f>-58+37</f>
        <v>-21</v>
      </c>
      <c r="AK170" s="249">
        <f>-60+75</f>
        <v>15</v>
      </c>
      <c r="AL170" s="252"/>
      <c r="AM170" s="249">
        <f>-2-17</f>
        <v>-19</v>
      </c>
      <c r="AN170" s="249">
        <f>-4-58</f>
        <v>-62</v>
      </c>
      <c r="AO170" s="249">
        <f>-5-83</f>
        <v>-88</v>
      </c>
      <c r="AP170" s="249">
        <f>-7-63</f>
        <v>-70</v>
      </c>
      <c r="AQ170" s="273"/>
      <c r="AR170" s="254">
        <f>-1-48</f>
        <v>-49</v>
      </c>
      <c r="AS170" s="254">
        <f>+-103+33+981</f>
        <v>911</v>
      </c>
      <c r="AT170" s="254">
        <f>981-104-68</f>
        <v>809</v>
      </c>
      <c r="AU170" s="254">
        <f>981-106-67</f>
        <v>808</v>
      </c>
      <c r="AV170" s="252"/>
      <c r="AW170" s="249">
        <f>-2+21</f>
        <v>19</v>
      </c>
      <c r="AX170" s="249">
        <f>1482-3+21</f>
        <v>1500</v>
      </c>
      <c r="AY170" s="249">
        <f>1482-43+24</f>
        <v>1463</v>
      </c>
      <c r="AZ170" s="249">
        <f>1482-44+327-17</f>
        <v>1748</v>
      </c>
      <c r="BA170" s="252"/>
      <c r="BB170" s="249">
        <f>-1+9-6</f>
        <v>2</v>
      </c>
      <c r="BC170" s="249">
        <f>-3+904-11</f>
        <v>890</v>
      </c>
      <c r="BD170" s="249">
        <f>0-4-314</f>
        <v>-318</v>
      </c>
      <c r="BE170" s="249">
        <f>-6+13-23</f>
        <v>-16</v>
      </c>
      <c r="BF170" s="252"/>
      <c r="BG170" s="249">
        <f>-1-321-6</f>
        <v>-328</v>
      </c>
      <c r="BH170" s="249">
        <f>-3-327-14</f>
        <v>-344</v>
      </c>
      <c r="BI170" s="249">
        <f>-5-320</f>
        <v>-325</v>
      </c>
      <c r="BJ170" s="249">
        <f>-6-325</f>
        <v>-331</v>
      </c>
      <c r="BK170" s="252"/>
      <c r="BL170" s="249">
        <f>241</f>
        <v>241</v>
      </c>
      <c r="BM170" s="249">
        <v>291</v>
      </c>
      <c r="BN170" s="249">
        <v>0</v>
      </c>
      <c r="BO170" s="249">
        <f>6134+49</f>
        <v>6183</v>
      </c>
      <c r="BP170" s="252"/>
      <c r="BQ170" s="249">
        <f>-30-83</f>
        <v>-113</v>
      </c>
      <c r="BR170" s="249">
        <f>-37-173</f>
        <v>-210</v>
      </c>
      <c r="BS170" s="249">
        <f>-51-196</f>
        <v>-247</v>
      </c>
      <c r="BT170" s="249">
        <v>-52</v>
      </c>
      <c r="BU170" s="252"/>
      <c r="BV170" s="249">
        <v>13</v>
      </c>
      <c r="BW170" s="249">
        <v>13</v>
      </c>
      <c r="BX170" s="249">
        <v>4</v>
      </c>
      <c r="BY170" s="249">
        <v>15</v>
      </c>
      <c r="BZ170" s="252"/>
      <c r="CA170" s="249">
        <v>-1</v>
      </c>
      <c r="CB170" s="249">
        <v>-3</v>
      </c>
      <c r="CC170" s="249">
        <v>4</v>
      </c>
      <c r="CD170" s="249">
        <f>-4-500</f>
        <v>-504</v>
      </c>
      <c r="CE170" s="252"/>
      <c r="CF170" s="249">
        <v>0</v>
      </c>
      <c r="CG170" s="249">
        <v>0</v>
      </c>
      <c r="CH170" s="249">
        <v>0</v>
      </c>
      <c r="CI170" s="249">
        <v>0</v>
      </c>
      <c r="CJ170" s="252"/>
      <c r="CK170" s="249">
        <v>6</v>
      </c>
      <c r="CL170" s="249">
        <v>43</v>
      </c>
      <c r="CM170" s="249">
        <v>-2</v>
      </c>
      <c r="CN170" s="249">
        <f>-1-1000</f>
        <v>-1001</v>
      </c>
      <c r="CO170" s="252"/>
      <c r="CP170" s="249">
        <v>-1</v>
      </c>
      <c r="CQ170" s="249">
        <v>-4</v>
      </c>
      <c r="CR170" s="249">
        <v>-4</v>
      </c>
      <c r="CS170" s="249">
        <v>0</v>
      </c>
      <c r="CT170" s="252"/>
      <c r="CU170" s="249"/>
      <c r="CV170" s="249"/>
      <c r="CW170" s="249"/>
      <c r="CX170" s="249"/>
      <c r="CY170" s="252"/>
      <c r="CZ170" s="249"/>
      <c r="DA170" s="249"/>
      <c r="DB170" s="249"/>
      <c r="DC170" s="249"/>
      <c r="DD170" s="252"/>
      <c r="DE170" s="249"/>
      <c r="DF170" s="249"/>
      <c r="DG170" s="249"/>
      <c r="DH170" s="249"/>
      <c r="DI170" s="252"/>
    </row>
    <row r="171" spans="1:113" s="7" customFormat="1" ht="12" hidden="1" customHeight="1" outlineLevel="1">
      <c r="A171" s="239"/>
      <c r="B171" s="274" t="s">
        <v>30</v>
      </c>
      <c r="C171" s="249"/>
      <c r="D171" s="252"/>
      <c r="E171" s="249"/>
      <c r="F171" s="252"/>
      <c r="G171" s="249"/>
      <c r="H171" s="252"/>
      <c r="I171" s="249"/>
      <c r="J171" s="252"/>
      <c r="K171" s="249"/>
      <c r="L171" s="252"/>
      <c r="M171" s="249"/>
      <c r="N171" s="252"/>
      <c r="O171" s="252"/>
      <c r="P171" s="249"/>
      <c r="Q171" s="252"/>
      <c r="R171" s="249">
        <v>-488</v>
      </c>
      <c r="S171" s="249">
        <v>-785</v>
      </c>
      <c r="T171" s="249">
        <v>-1252</v>
      </c>
      <c r="U171" s="249">
        <v>-1859</v>
      </c>
      <c r="V171" s="252"/>
      <c r="W171" s="249">
        <v>-626</v>
      </c>
      <c r="X171" s="249">
        <v>-1325</v>
      </c>
      <c r="Y171" s="249">
        <v>-1585</v>
      </c>
      <c r="Z171" s="249">
        <v>-1814</v>
      </c>
      <c r="AA171" s="252"/>
      <c r="AB171" s="252"/>
      <c r="AC171" s="249">
        <v>-766</v>
      </c>
      <c r="AD171" s="249">
        <v>-1179</v>
      </c>
      <c r="AE171" s="249">
        <v>-1432</v>
      </c>
      <c r="AF171" s="249">
        <v>-1674</v>
      </c>
      <c r="AG171" s="252"/>
      <c r="AH171" s="249">
        <v>-526</v>
      </c>
      <c r="AI171" s="249">
        <v>-928</v>
      </c>
      <c r="AJ171" s="249">
        <v>-1716</v>
      </c>
      <c r="AK171" s="249">
        <v>-2628</v>
      </c>
      <c r="AL171" s="252"/>
      <c r="AM171" s="249">
        <v>-819</v>
      </c>
      <c r="AN171" s="249">
        <v>-1243</v>
      </c>
      <c r="AO171" s="249">
        <v>-1855</v>
      </c>
      <c r="AP171" s="249">
        <v>-2534</v>
      </c>
      <c r="AQ171" s="273"/>
      <c r="AR171" s="254">
        <v>-588</v>
      </c>
      <c r="AS171" s="254">
        <v>-1240</v>
      </c>
      <c r="AT171" s="254">
        <v>-2698</v>
      </c>
      <c r="AU171" s="254">
        <v>-3238</v>
      </c>
      <c r="AV171" s="252"/>
      <c r="AW171" s="249">
        <v>-1054</v>
      </c>
      <c r="AX171" s="249">
        <v>-1954</v>
      </c>
      <c r="AY171" s="249">
        <v>-2429</v>
      </c>
      <c r="AZ171" s="249">
        <v>-3223</v>
      </c>
      <c r="BA171" s="252"/>
      <c r="BB171" s="249">
        <v>-804</v>
      </c>
      <c r="BC171" s="249">
        <v>-1776</v>
      </c>
      <c r="BD171" s="249">
        <v>-2694</v>
      </c>
      <c r="BE171" s="249">
        <v>-4254</v>
      </c>
      <c r="BF171" s="252"/>
      <c r="BG171" s="249">
        <v>-1360</v>
      </c>
      <c r="BH171" s="249">
        <v>-2637</v>
      </c>
      <c r="BI171" s="249">
        <v>-3405</v>
      </c>
      <c r="BJ171" s="249">
        <v>-4286</v>
      </c>
      <c r="BK171" s="252"/>
      <c r="BL171" s="249">
        <v>-999</v>
      </c>
      <c r="BM171" s="249">
        <v>-1921</v>
      </c>
      <c r="BN171" s="249">
        <v>-2865</v>
      </c>
      <c r="BO171" s="249">
        <v>-3067</v>
      </c>
      <c r="BP171" s="252"/>
      <c r="BQ171" s="249">
        <v>0</v>
      </c>
      <c r="BR171" s="249">
        <v>0</v>
      </c>
      <c r="BS171" s="249">
        <v>0</v>
      </c>
      <c r="BT171" s="249">
        <v>-608</v>
      </c>
      <c r="BU171" s="252"/>
      <c r="BV171" s="249">
        <v>-752</v>
      </c>
      <c r="BW171" s="249">
        <v>-1723</v>
      </c>
      <c r="BX171" s="249">
        <v>-2923</v>
      </c>
      <c r="BY171" s="249">
        <v>-4014</v>
      </c>
      <c r="BZ171" s="252"/>
      <c r="CA171" s="249">
        <v>-983</v>
      </c>
      <c r="CB171" s="249">
        <v>-2550</v>
      </c>
      <c r="CC171" s="249">
        <v>-4101</v>
      </c>
      <c r="CD171" s="249">
        <v>-5480</v>
      </c>
      <c r="CE171" s="252"/>
      <c r="CF171" s="249">
        <v>-1133</v>
      </c>
      <c r="CG171" s="249">
        <v>-2331</v>
      </c>
      <c r="CH171" s="249">
        <v>-3214</v>
      </c>
      <c r="CI171" s="249">
        <v>-4250</v>
      </c>
      <c r="CJ171" s="252"/>
      <c r="CK171" s="249">
        <v>-1184</v>
      </c>
      <c r="CL171" s="249">
        <v>-2280</v>
      </c>
      <c r="CM171" s="249">
        <v>-2786</v>
      </c>
      <c r="CN171" s="249">
        <v>-2985</v>
      </c>
      <c r="CO171" s="252"/>
      <c r="CP171" s="249">
        <v>-126</v>
      </c>
      <c r="CQ171" s="249">
        <v>-146</v>
      </c>
      <c r="CR171" s="249">
        <v>-146</v>
      </c>
      <c r="CS171" s="249">
        <v>-146</v>
      </c>
      <c r="CT171" s="252"/>
      <c r="CU171" s="249"/>
      <c r="CV171" s="249"/>
      <c r="CW171" s="249"/>
      <c r="CX171" s="249"/>
      <c r="CY171" s="252"/>
      <c r="CZ171" s="249"/>
      <c r="DA171" s="249"/>
      <c r="DB171" s="249"/>
      <c r="DC171" s="249"/>
      <c r="DD171" s="252"/>
      <c r="DE171" s="249"/>
      <c r="DF171" s="249"/>
      <c r="DG171" s="249"/>
      <c r="DH171" s="249"/>
      <c r="DI171" s="252"/>
    </row>
    <row r="172" spans="1:113" s="7" customFormat="1" ht="12" hidden="1" customHeight="1" outlineLevel="1">
      <c r="A172" s="239"/>
      <c r="B172" s="274" t="s">
        <v>31</v>
      </c>
      <c r="C172" s="249"/>
      <c r="D172" s="252"/>
      <c r="E172" s="249"/>
      <c r="F172" s="252"/>
      <c r="G172" s="249"/>
      <c r="H172" s="252"/>
      <c r="I172" s="249"/>
      <c r="J172" s="252"/>
      <c r="K172" s="249"/>
      <c r="L172" s="252"/>
      <c r="M172" s="249"/>
      <c r="N172" s="252"/>
      <c r="O172" s="252"/>
      <c r="P172" s="249"/>
      <c r="Q172" s="252"/>
      <c r="R172" s="249">
        <v>47</v>
      </c>
      <c r="S172" s="249">
        <v>228</v>
      </c>
      <c r="T172" s="249">
        <v>279</v>
      </c>
      <c r="U172" s="249">
        <v>345</v>
      </c>
      <c r="V172" s="252"/>
      <c r="W172" s="249">
        <v>147</v>
      </c>
      <c r="X172" s="249">
        <v>284</v>
      </c>
      <c r="Y172" s="249">
        <v>372</v>
      </c>
      <c r="Z172" s="249">
        <v>468</v>
      </c>
      <c r="AA172" s="252"/>
      <c r="AB172" s="252"/>
      <c r="AC172" s="249">
        <v>39</v>
      </c>
      <c r="AD172" s="249">
        <v>116</v>
      </c>
      <c r="AE172" s="249">
        <f>34+184-7</f>
        <v>211</v>
      </c>
      <c r="AF172" s="249">
        <f>15+313+72</f>
        <v>400</v>
      </c>
      <c r="AG172" s="252"/>
      <c r="AH172" s="249">
        <f>94+27</f>
        <v>121</v>
      </c>
      <c r="AI172" s="249">
        <f>233+71</f>
        <v>304</v>
      </c>
      <c r="AJ172" s="249">
        <f>108+308-9</f>
        <v>407</v>
      </c>
      <c r="AK172" s="249">
        <f>132+383</f>
        <v>515</v>
      </c>
      <c r="AL172" s="252"/>
      <c r="AM172" s="249">
        <f>44+127-6</f>
        <v>165</v>
      </c>
      <c r="AN172" s="249">
        <f>-12+313+116</f>
        <v>417</v>
      </c>
      <c r="AO172" s="249">
        <f>-16+372+150</f>
        <v>506</v>
      </c>
      <c r="AP172" s="249">
        <f>514+218</f>
        <v>732</v>
      </c>
      <c r="AQ172" s="273"/>
      <c r="AR172" s="254">
        <v>0</v>
      </c>
      <c r="AS172" s="254">
        <f>-3+328+201</f>
        <v>526</v>
      </c>
      <c r="AT172" s="254">
        <f>370+231</f>
        <v>601</v>
      </c>
      <c r="AU172" s="254">
        <f>507+281</f>
        <v>788</v>
      </c>
      <c r="AV172" s="252"/>
      <c r="AW172" s="249">
        <f>112+59</f>
        <v>171</v>
      </c>
      <c r="AX172" s="249">
        <f>238+78</f>
        <v>316</v>
      </c>
      <c r="AY172" s="249">
        <f>339+125</f>
        <v>464</v>
      </c>
      <c r="AZ172" s="249">
        <f>489+177</f>
        <v>666</v>
      </c>
      <c r="BA172" s="252"/>
      <c r="BB172" s="249">
        <v>158</v>
      </c>
      <c r="BC172" s="249">
        <v>320</v>
      </c>
      <c r="BD172" s="249">
        <f>554-54</f>
        <v>500</v>
      </c>
      <c r="BE172" s="249">
        <v>733</v>
      </c>
      <c r="BF172" s="252"/>
      <c r="BG172" s="249">
        <v>187</v>
      </c>
      <c r="BH172" s="249">
        <v>340</v>
      </c>
      <c r="BI172" s="249">
        <f>-21+487</f>
        <v>466</v>
      </c>
      <c r="BJ172" s="249">
        <v>700</v>
      </c>
      <c r="BK172" s="252"/>
      <c r="BL172" s="249">
        <v>111</v>
      </c>
      <c r="BM172" s="249">
        <v>483</v>
      </c>
      <c r="BN172" s="249">
        <v>678</v>
      </c>
      <c r="BO172" s="249">
        <v>885</v>
      </c>
      <c r="BP172" s="252"/>
      <c r="BQ172" s="249">
        <v>302</v>
      </c>
      <c r="BR172" s="249">
        <v>781</v>
      </c>
      <c r="BS172" s="249">
        <v>969</v>
      </c>
      <c r="BT172" s="249">
        <v>1172</v>
      </c>
      <c r="BU172" s="252"/>
      <c r="BV172" s="249">
        <v>473</v>
      </c>
      <c r="BW172" s="249">
        <v>846</v>
      </c>
      <c r="BX172" s="249">
        <v>959</v>
      </c>
      <c r="BY172" s="249">
        <v>1151</v>
      </c>
      <c r="BZ172" s="252"/>
      <c r="CA172" s="249">
        <v>82</v>
      </c>
      <c r="CB172" s="249">
        <v>260</v>
      </c>
      <c r="CC172" s="249">
        <v>413</v>
      </c>
      <c r="CD172" s="249">
        <v>651</v>
      </c>
      <c r="CE172" s="252"/>
      <c r="CF172" s="249">
        <v>99</v>
      </c>
      <c r="CG172" s="249">
        <v>327</v>
      </c>
      <c r="CH172" s="249">
        <v>477</v>
      </c>
      <c r="CI172" s="249">
        <v>667</v>
      </c>
      <c r="CJ172" s="252"/>
      <c r="CK172" s="249">
        <v>131</v>
      </c>
      <c r="CL172" s="249">
        <v>345</v>
      </c>
      <c r="CM172" s="249">
        <v>400</v>
      </c>
      <c r="CN172" s="249">
        <v>551</v>
      </c>
      <c r="CO172" s="252"/>
      <c r="CP172" s="249">
        <v>127</v>
      </c>
      <c r="CQ172" s="249">
        <v>234</v>
      </c>
      <c r="CR172" s="249">
        <v>251</v>
      </c>
      <c r="CS172" s="249">
        <v>354</v>
      </c>
      <c r="CT172" s="252"/>
      <c r="CU172" s="249"/>
      <c r="CV172" s="249"/>
      <c r="CW172" s="249"/>
      <c r="CX172" s="249"/>
      <c r="CY172" s="252"/>
      <c r="CZ172" s="249"/>
      <c r="DA172" s="249"/>
      <c r="DB172" s="249"/>
      <c r="DC172" s="249"/>
      <c r="DD172" s="252"/>
      <c r="DE172" s="249"/>
      <c r="DF172" s="249"/>
      <c r="DG172" s="249"/>
      <c r="DH172" s="249"/>
      <c r="DI172" s="252"/>
    </row>
    <row r="173" spans="1:113" s="7" customFormat="1" ht="12" hidden="1" customHeight="1" outlineLevel="1">
      <c r="A173" s="239"/>
      <c r="B173" s="274" t="s">
        <v>32</v>
      </c>
      <c r="C173" s="249"/>
      <c r="D173" s="252"/>
      <c r="E173" s="249"/>
      <c r="F173" s="252"/>
      <c r="G173" s="249"/>
      <c r="H173" s="252"/>
      <c r="I173" s="249"/>
      <c r="J173" s="252"/>
      <c r="K173" s="249"/>
      <c r="L173" s="252"/>
      <c r="M173" s="249"/>
      <c r="N173" s="252"/>
      <c r="O173" s="252"/>
      <c r="P173" s="249"/>
      <c r="Q173" s="252"/>
      <c r="R173" s="249">
        <v>-131</v>
      </c>
      <c r="S173" s="249">
        <v>-260</v>
      </c>
      <c r="T173" s="249">
        <v>-408</v>
      </c>
      <c r="U173" s="249">
        <v>-555</v>
      </c>
      <c r="V173" s="252"/>
      <c r="W173" s="249">
        <v>-145</v>
      </c>
      <c r="X173" s="249">
        <v>-289</v>
      </c>
      <c r="Y173" s="249">
        <v>-454</v>
      </c>
      <c r="Z173" s="249">
        <v>-619</v>
      </c>
      <c r="AA173" s="252"/>
      <c r="AB173" s="252"/>
      <c r="AC173" s="249">
        <v>-165</v>
      </c>
      <c r="AD173" s="249">
        <v>-327</v>
      </c>
      <c r="AE173" s="249">
        <v>-515</v>
      </c>
      <c r="AF173" s="249">
        <v>-703</v>
      </c>
      <c r="AG173" s="252"/>
      <c r="AH173" s="249">
        <v>-188</v>
      </c>
      <c r="AI173" s="249">
        <v>-375</v>
      </c>
      <c r="AJ173" s="249">
        <v>-587</v>
      </c>
      <c r="AK173" s="249">
        <v>-799</v>
      </c>
      <c r="AL173" s="252"/>
      <c r="AM173" s="249">
        <v>-209</v>
      </c>
      <c r="AN173" s="249">
        <v>-416</v>
      </c>
      <c r="AO173" s="249">
        <v>-658</v>
      </c>
      <c r="AP173" s="249">
        <v>-899</v>
      </c>
      <c r="AQ173" s="273"/>
      <c r="AR173" s="254">
        <v>-240</v>
      </c>
      <c r="AS173" s="254">
        <v>-479</v>
      </c>
      <c r="AT173" s="254">
        <v>-752</v>
      </c>
      <c r="AU173" s="254">
        <v>-1022</v>
      </c>
      <c r="AV173" s="252"/>
      <c r="AW173" s="249">
        <v>-269</v>
      </c>
      <c r="AX173" s="249">
        <f>-536</f>
        <v>-536</v>
      </c>
      <c r="AY173" s="249">
        <v>-834</v>
      </c>
      <c r="AZ173" s="249">
        <v>-1133</v>
      </c>
      <c r="BA173" s="252"/>
      <c r="BB173" s="249">
        <v>-300</v>
      </c>
      <c r="BC173" s="249">
        <v>-595</v>
      </c>
      <c r="BD173" s="249">
        <v>-920</v>
      </c>
      <c r="BE173" s="249">
        <v>-1243</v>
      </c>
      <c r="BF173" s="252"/>
      <c r="BG173" s="249">
        <v>-320</v>
      </c>
      <c r="BH173" s="249">
        <v>-638</v>
      </c>
      <c r="BI173" s="249">
        <v>-986</v>
      </c>
      <c r="BJ173" s="249">
        <v>-1332</v>
      </c>
      <c r="BK173" s="252"/>
      <c r="BL173" s="249">
        <v>-345</v>
      </c>
      <c r="BM173" s="249">
        <v>-689</v>
      </c>
      <c r="BN173" s="249">
        <v>-1071</v>
      </c>
      <c r="BO173" s="249">
        <v>-1452</v>
      </c>
      <c r="BP173" s="252"/>
      <c r="BQ173" s="249">
        <v>-384</v>
      </c>
      <c r="BR173" s="249">
        <v>-769</v>
      </c>
      <c r="BS173" s="249">
        <v>-1203</v>
      </c>
      <c r="BT173" s="249">
        <v>-1638</v>
      </c>
      <c r="BU173" s="252"/>
      <c r="BV173" s="249">
        <v>-435</v>
      </c>
      <c r="BW173" s="249">
        <v>-873</v>
      </c>
      <c r="BX173" s="249">
        <v>-1356</v>
      </c>
      <c r="BY173" s="249">
        <v>-1837</v>
      </c>
      <c r="BZ173" s="252"/>
      <c r="CA173" s="249">
        <v>-480</v>
      </c>
      <c r="CB173" s="249">
        <v>-960</v>
      </c>
      <c r="CC173" s="249">
        <v>-1488</v>
      </c>
      <c r="CD173" s="249">
        <v>-2012</v>
      </c>
      <c r="CE173" s="252"/>
      <c r="CF173" s="249">
        <v>-524</v>
      </c>
      <c r="CG173" s="249">
        <v>-1047</v>
      </c>
      <c r="CH173" s="249">
        <v>-1609</v>
      </c>
      <c r="CI173" s="249">
        <v>-2169</v>
      </c>
      <c r="CJ173" s="252"/>
      <c r="CK173" s="249">
        <v>-558</v>
      </c>
      <c r="CL173" s="249">
        <v>-1115</v>
      </c>
      <c r="CM173" s="249">
        <v>-1709</v>
      </c>
      <c r="CN173" s="249">
        <v>-2300</v>
      </c>
      <c r="CO173" s="252"/>
      <c r="CP173" s="249">
        <v>-591</v>
      </c>
      <c r="CQ173" s="249">
        <v>-1189</v>
      </c>
      <c r="CR173" s="249">
        <v>-1798</v>
      </c>
      <c r="CS173" s="249">
        <v>-2407</v>
      </c>
      <c r="CT173" s="252"/>
      <c r="CU173" s="249"/>
      <c r="CV173" s="249"/>
      <c r="CW173" s="249"/>
      <c r="CX173" s="249"/>
      <c r="CY173" s="252"/>
      <c r="CZ173" s="249"/>
      <c r="DA173" s="249"/>
      <c r="DB173" s="249"/>
      <c r="DC173" s="249"/>
      <c r="DD173" s="252"/>
      <c r="DE173" s="249"/>
      <c r="DF173" s="249"/>
      <c r="DG173" s="249"/>
      <c r="DH173" s="249"/>
      <c r="DI173" s="252"/>
    </row>
    <row r="174" spans="1:113" s="7" customFormat="1" ht="12" hidden="1" customHeight="1" outlineLevel="1">
      <c r="A174" s="239"/>
      <c r="B174" s="274" t="s">
        <v>26</v>
      </c>
      <c r="C174" s="249"/>
      <c r="D174" s="252"/>
      <c r="E174" s="249"/>
      <c r="F174" s="252"/>
      <c r="G174" s="249"/>
      <c r="H174" s="252"/>
      <c r="I174" s="249"/>
      <c r="J174" s="252"/>
      <c r="K174" s="249"/>
      <c r="L174" s="252"/>
      <c r="M174" s="249"/>
      <c r="N174" s="252"/>
      <c r="O174" s="252"/>
      <c r="P174" s="249"/>
      <c r="Q174" s="252"/>
      <c r="R174" s="249">
        <v>6</v>
      </c>
      <c r="S174" s="249">
        <v>40</v>
      </c>
      <c r="T174" s="249">
        <v>54</v>
      </c>
      <c r="U174" s="249">
        <f>64</f>
        <v>64</v>
      </c>
      <c r="V174" s="252"/>
      <c r="W174" s="249">
        <v>30</v>
      </c>
      <c r="X174" s="249">
        <v>59</v>
      </c>
      <c r="Y174" s="249">
        <f>85</f>
        <v>85</v>
      </c>
      <c r="Z174" s="249">
        <f>115</f>
        <v>115</v>
      </c>
      <c r="AA174" s="252"/>
      <c r="AB174" s="252"/>
      <c r="AC174" s="249">
        <v>8</v>
      </c>
      <c r="AD174" s="249">
        <f>14</f>
        <v>14</v>
      </c>
      <c r="AE174" s="249">
        <v>0</v>
      </c>
      <c r="AF174" s="249">
        <v>0</v>
      </c>
      <c r="AG174" s="252"/>
      <c r="AH174" s="249">
        <v>2</v>
      </c>
      <c r="AI174" s="249">
        <v>5</v>
      </c>
      <c r="AJ174" s="249">
        <v>0</v>
      </c>
      <c r="AK174" s="249">
        <f>-17</f>
        <v>-17</v>
      </c>
      <c r="AL174" s="252"/>
      <c r="AM174" s="249">
        <v>0</v>
      </c>
      <c r="AN174" s="249">
        <v>0</v>
      </c>
      <c r="AO174" s="249">
        <v>0</v>
      </c>
      <c r="AP174" s="249">
        <v>-19</v>
      </c>
      <c r="AQ174" s="273"/>
      <c r="AR174" s="254">
        <f>75+128</f>
        <v>203</v>
      </c>
      <c r="AS174" s="254">
        <v>0</v>
      </c>
      <c r="AT174" s="254">
        <v>-5</v>
      </c>
      <c r="AU174" s="254">
        <v>-7</v>
      </c>
      <c r="AV174" s="252"/>
      <c r="AW174" s="249">
        <v>-2</v>
      </c>
      <c r="AX174" s="249">
        <f>-6</f>
        <v>-6</v>
      </c>
      <c r="AY174" s="249">
        <f>-14</f>
        <v>-14</v>
      </c>
      <c r="AZ174" s="249">
        <v>0</v>
      </c>
      <c r="BA174" s="252"/>
      <c r="BB174" s="249">
        <f>-54</f>
        <v>-54</v>
      </c>
      <c r="BC174" s="249">
        <v>-53</v>
      </c>
      <c r="BD174" s="249">
        <v>-16</v>
      </c>
      <c r="BE174" s="249">
        <v>-55</v>
      </c>
      <c r="BF174" s="252"/>
      <c r="BG174" s="249">
        <v>-11</v>
      </c>
      <c r="BH174" s="249">
        <v>-11</v>
      </c>
      <c r="BI174" s="249">
        <v>-17</v>
      </c>
      <c r="BJ174" s="249">
        <f>-27-17</f>
        <v>-44</v>
      </c>
      <c r="BK174" s="252"/>
      <c r="BL174" s="249">
        <v>-18</v>
      </c>
      <c r="BM174" s="249">
        <v>-32</v>
      </c>
      <c r="BN174" s="249">
        <v>-52</v>
      </c>
      <c r="BO174" s="249">
        <v>-58</v>
      </c>
      <c r="BP174" s="252"/>
      <c r="BQ174" s="249">
        <v>-53</v>
      </c>
      <c r="BR174" s="249">
        <v>-94</v>
      </c>
      <c r="BS174" s="249">
        <v>-131</v>
      </c>
      <c r="BT174" s="249">
        <f>-136-197</f>
        <v>-333</v>
      </c>
      <c r="BU174" s="252"/>
      <c r="BV174" s="249">
        <v>-42</v>
      </c>
      <c r="BW174" s="249">
        <v>-109</v>
      </c>
      <c r="BX174" s="249">
        <v>-140</v>
      </c>
      <c r="BY174" s="249">
        <v>-151</v>
      </c>
      <c r="BZ174" s="252"/>
      <c r="CA174" s="249">
        <v>-22</v>
      </c>
      <c r="CB174" s="249">
        <v>-68</v>
      </c>
      <c r="CC174" s="249">
        <v>-94</v>
      </c>
      <c r="CD174" s="249">
        <v>-102</v>
      </c>
      <c r="CE174" s="252"/>
      <c r="CF174" s="249">
        <v>-41</v>
      </c>
      <c r="CG174" s="249">
        <v>-100</v>
      </c>
      <c r="CH174" s="249">
        <v>-122</v>
      </c>
      <c r="CI174" s="249">
        <v>-136</v>
      </c>
      <c r="CJ174" s="252"/>
      <c r="CK174" s="249">
        <v>-17</v>
      </c>
      <c r="CL174" s="249">
        <v>-63</v>
      </c>
      <c r="CM174" s="249">
        <v>-79</v>
      </c>
      <c r="CN174" s="249">
        <v>-85</v>
      </c>
      <c r="CO174" s="252"/>
      <c r="CP174" s="249">
        <v>-7</v>
      </c>
      <c r="CQ174" s="249">
        <v>-72</v>
      </c>
      <c r="CR174" s="249">
        <f>-81</f>
        <v>-81</v>
      </c>
      <c r="CS174" s="249">
        <v>-93</v>
      </c>
      <c r="CT174" s="252"/>
      <c r="CU174" s="249"/>
      <c r="CV174" s="249"/>
      <c r="CW174" s="249"/>
      <c r="CX174" s="249"/>
      <c r="CY174" s="252"/>
      <c r="CZ174" s="249"/>
      <c r="DA174" s="249"/>
      <c r="DB174" s="249"/>
      <c r="DC174" s="249"/>
      <c r="DD174" s="252"/>
      <c r="DE174" s="249"/>
      <c r="DF174" s="249"/>
      <c r="DG174" s="249"/>
      <c r="DH174" s="249"/>
      <c r="DI174" s="252"/>
    </row>
    <row r="175" spans="1:113" s="7" customFormat="1" ht="12" hidden="1" customHeight="1" outlineLevel="1">
      <c r="A175" s="239"/>
      <c r="B175" s="274"/>
      <c r="C175" s="249"/>
      <c r="D175" s="252"/>
      <c r="E175" s="249"/>
      <c r="F175" s="252"/>
      <c r="G175" s="249"/>
      <c r="H175" s="252"/>
      <c r="I175" s="249"/>
      <c r="J175" s="252"/>
      <c r="K175" s="249"/>
      <c r="L175" s="252"/>
      <c r="M175" s="249"/>
      <c r="N175" s="252"/>
      <c r="O175" s="252"/>
      <c r="P175" s="249"/>
      <c r="Q175" s="252"/>
      <c r="R175" s="249" t="s">
        <v>4</v>
      </c>
      <c r="S175" s="249" t="s">
        <v>4</v>
      </c>
      <c r="T175" s="249" t="s">
        <v>4</v>
      </c>
      <c r="U175" s="249" t="s">
        <v>4</v>
      </c>
      <c r="V175" s="252"/>
      <c r="W175" s="249" t="s">
        <v>4</v>
      </c>
      <c r="X175" s="249" t="s">
        <v>4</v>
      </c>
      <c r="Y175" s="249" t="s">
        <v>4</v>
      </c>
      <c r="Z175" s="249" t="s">
        <v>4</v>
      </c>
      <c r="AA175" s="252"/>
      <c r="AB175" s="252"/>
      <c r="AC175" s="249" t="s">
        <v>4</v>
      </c>
      <c r="AD175" s="249" t="s">
        <v>4</v>
      </c>
      <c r="AE175" s="249" t="s">
        <v>4</v>
      </c>
      <c r="AF175" s="249" t="s">
        <v>4</v>
      </c>
      <c r="AG175" s="252"/>
      <c r="AH175" s="249" t="s">
        <v>4</v>
      </c>
      <c r="AI175" s="249" t="s">
        <v>4</v>
      </c>
      <c r="AJ175" s="249" t="s">
        <v>4</v>
      </c>
      <c r="AK175" s="249" t="s">
        <v>4</v>
      </c>
      <c r="AL175" s="252"/>
      <c r="AM175" s="249" t="s">
        <v>4</v>
      </c>
      <c r="AN175" s="249" t="s">
        <v>4</v>
      </c>
      <c r="AO175" s="249" t="s">
        <v>4</v>
      </c>
      <c r="AP175" s="249" t="s">
        <v>4</v>
      </c>
      <c r="AQ175" s="273"/>
      <c r="AR175" s="254" t="s">
        <v>4</v>
      </c>
      <c r="AS175" s="254" t="s">
        <v>4</v>
      </c>
      <c r="AT175" s="254" t="s">
        <v>4</v>
      </c>
      <c r="AU175" s="254" t="s">
        <v>4</v>
      </c>
      <c r="AV175" s="252"/>
      <c r="AW175" s="249" t="s">
        <v>4</v>
      </c>
      <c r="AX175" s="249" t="s">
        <v>4</v>
      </c>
      <c r="AY175" s="249" t="s">
        <v>4</v>
      </c>
      <c r="AZ175" s="249" t="s">
        <v>4</v>
      </c>
      <c r="BA175" s="252"/>
      <c r="BB175" s="249" t="s">
        <v>4</v>
      </c>
      <c r="BC175" s="249" t="s">
        <v>4</v>
      </c>
      <c r="BD175" s="249" t="s">
        <v>4</v>
      </c>
      <c r="BE175" s="249" t="s">
        <v>4</v>
      </c>
      <c r="BF175" s="252"/>
      <c r="BG175" s="249" t="s">
        <v>4</v>
      </c>
      <c r="BH175" s="249" t="s">
        <v>4</v>
      </c>
      <c r="BI175" s="249" t="s">
        <v>4</v>
      </c>
      <c r="BJ175" s="249" t="s">
        <v>4</v>
      </c>
      <c r="BK175" s="252"/>
      <c r="BL175" s="249" t="s">
        <v>4</v>
      </c>
      <c r="BM175" s="249" t="s">
        <v>4</v>
      </c>
      <c r="BN175" s="249" t="s">
        <v>4</v>
      </c>
      <c r="BO175" s="249" t="s">
        <v>4</v>
      </c>
      <c r="BP175" s="252"/>
      <c r="BQ175" s="249" t="s">
        <v>4</v>
      </c>
      <c r="BR175" s="249" t="s">
        <v>4</v>
      </c>
      <c r="BS175" s="249" t="s">
        <v>4</v>
      </c>
      <c r="BT175" s="249" t="s">
        <v>4</v>
      </c>
      <c r="BU175" s="252"/>
      <c r="BV175" s="249" t="s">
        <v>4</v>
      </c>
      <c r="BW175" s="249" t="s">
        <v>4</v>
      </c>
      <c r="BX175" s="249" t="s">
        <v>4</v>
      </c>
      <c r="BY175" s="249" t="s">
        <v>4</v>
      </c>
      <c r="BZ175" s="252"/>
      <c r="CA175" s="249" t="s">
        <v>4</v>
      </c>
      <c r="CB175" s="249" t="s">
        <v>4</v>
      </c>
      <c r="CC175" s="249" t="s">
        <v>4</v>
      </c>
      <c r="CD175" s="249" t="s">
        <v>4</v>
      </c>
      <c r="CE175" s="252"/>
      <c r="CF175" s="249" t="s">
        <v>4</v>
      </c>
      <c r="CG175" s="249" t="s">
        <v>4</v>
      </c>
      <c r="CH175" s="249" t="s">
        <v>4</v>
      </c>
      <c r="CI175" s="249" t="s">
        <v>4</v>
      </c>
      <c r="CJ175" s="252"/>
      <c r="CK175" s="249" t="s">
        <v>4</v>
      </c>
      <c r="CL175" s="249" t="s">
        <v>4</v>
      </c>
      <c r="CM175" s="249" t="s">
        <v>4</v>
      </c>
      <c r="CN175" s="249" t="s">
        <v>4</v>
      </c>
      <c r="CO175" s="252"/>
      <c r="CP175" s="249" t="s">
        <v>4</v>
      </c>
      <c r="CQ175" s="249" t="s">
        <v>4</v>
      </c>
      <c r="CR175" s="249" t="s">
        <v>4</v>
      </c>
      <c r="CS175" s="249" t="s">
        <v>4</v>
      </c>
      <c r="CT175" s="252"/>
      <c r="CU175" s="249"/>
      <c r="CV175" s="249"/>
      <c r="CW175" s="249"/>
      <c r="CX175" s="249"/>
      <c r="CY175" s="252"/>
      <c r="CZ175" s="249"/>
      <c r="DA175" s="249"/>
      <c r="DB175" s="249"/>
      <c r="DC175" s="249"/>
      <c r="DD175" s="252"/>
      <c r="DE175" s="249"/>
      <c r="DF175" s="249"/>
      <c r="DG175" s="249"/>
      <c r="DH175" s="249"/>
      <c r="DI175" s="252"/>
    </row>
    <row r="176" spans="1:113" s="117" customFormat="1" ht="12" hidden="1" customHeight="1" outlineLevel="1">
      <c r="A176" s="239"/>
      <c r="B176" s="272" t="s">
        <v>33</v>
      </c>
      <c r="C176" s="275"/>
      <c r="D176" s="276"/>
      <c r="E176" s="275"/>
      <c r="F176" s="276"/>
      <c r="G176" s="275"/>
      <c r="H176" s="276"/>
      <c r="I176" s="275"/>
      <c r="J176" s="276"/>
      <c r="K176" s="275"/>
      <c r="L176" s="276"/>
      <c r="M176" s="275"/>
      <c r="N176" s="276"/>
      <c r="O176" s="276"/>
      <c r="P176" s="275"/>
      <c r="Q176" s="276"/>
      <c r="R176" s="275">
        <f>SUM(R170:R174)</f>
        <v>-600</v>
      </c>
      <c r="S176" s="275">
        <f>SUM(S170:S174)</f>
        <v>-796</v>
      </c>
      <c r="T176" s="275">
        <f>SUM(T170:T174)</f>
        <v>-1338</v>
      </c>
      <c r="U176" s="275">
        <f>SUM(U170:U174)</f>
        <v>-1972</v>
      </c>
      <c r="V176" s="276"/>
      <c r="W176" s="275">
        <f>SUM(W170:W174)</f>
        <v>-744</v>
      </c>
      <c r="X176" s="275">
        <f>SUM(X170:X174)</f>
        <v>-1454</v>
      </c>
      <c r="Y176" s="275">
        <f>SUM(Y170:Y174)</f>
        <v>-1870</v>
      </c>
      <c r="Z176" s="275">
        <f>SUM(Z170:Z174)</f>
        <v>-2118</v>
      </c>
      <c r="AA176" s="276"/>
      <c r="AB176" s="276"/>
      <c r="AC176" s="275">
        <f>SUM(AC170:AC174)</f>
        <v>-907</v>
      </c>
      <c r="AD176" s="275">
        <f>SUM(AD170:AD174)</f>
        <v>-1431</v>
      </c>
      <c r="AE176" s="275">
        <f>SUM(AE170:AE174)</f>
        <v>-1783</v>
      </c>
      <c r="AF176" s="275">
        <f>SUM(AF170:AF174)</f>
        <v>-1040</v>
      </c>
      <c r="AG176" s="276"/>
      <c r="AH176" s="275">
        <f>SUM(AH170:AH174)</f>
        <v>-596</v>
      </c>
      <c r="AI176" s="275">
        <f>SUM(AI170:AI174)</f>
        <v>-985</v>
      </c>
      <c r="AJ176" s="275">
        <f>SUM(AJ170:AJ174)</f>
        <v>-1917</v>
      </c>
      <c r="AK176" s="275">
        <f>SUM(AK170:AK174)</f>
        <v>-2914</v>
      </c>
      <c r="AL176" s="276"/>
      <c r="AM176" s="275">
        <f>SUM(AM170:AM174)</f>
        <v>-882</v>
      </c>
      <c r="AN176" s="275">
        <f>SUM(AN170:AN174)</f>
        <v>-1304</v>
      </c>
      <c r="AO176" s="275">
        <f>SUM(AO170:AO174)</f>
        <v>-2095</v>
      </c>
      <c r="AP176" s="275">
        <f>SUM(AP170:AP174)</f>
        <v>-2790</v>
      </c>
      <c r="AQ176" s="277"/>
      <c r="AR176" s="278">
        <f>SUM(AR170:AR174)</f>
        <v>-674</v>
      </c>
      <c r="AS176" s="278">
        <f>SUM(AS170:AS174)</f>
        <v>-282</v>
      </c>
      <c r="AT176" s="278">
        <f>SUM(AT170:AT174)</f>
        <v>-2045</v>
      </c>
      <c r="AU176" s="278">
        <f>SUM(AU170:AU174)</f>
        <v>-2671</v>
      </c>
      <c r="AV176" s="276"/>
      <c r="AW176" s="275">
        <f>SUM(AW170:AW174)</f>
        <v>-1135</v>
      </c>
      <c r="AX176" s="275">
        <f>SUM(AX170:AX174)</f>
        <v>-680</v>
      </c>
      <c r="AY176" s="275">
        <f>SUM(AY170:AY174)</f>
        <v>-1350</v>
      </c>
      <c r="AZ176" s="275">
        <f>SUM(AZ170:AZ174)</f>
        <v>-1942</v>
      </c>
      <c r="BA176" s="276"/>
      <c r="BB176" s="275">
        <f>SUM(BB170:BB174)</f>
        <v>-998</v>
      </c>
      <c r="BC176" s="275">
        <f>SUM(BC170:BC174)</f>
        <v>-1214</v>
      </c>
      <c r="BD176" s="275">
        <f>SUM(BD170:BD174)</f>
        <v>-3448</v>
      </c>
      <c r="BE176" s="275">
        <f>SUM(BE170:BE174)</f>
        <v>-4835</v>
      </c>
      <c r="BF176" s="276"/>
      <c r="BG176" s="275">
        <f>SUM(BG170:BG174)</f>
        <v>-1832</v>
      </c>
      <c r="BH176" s="275">
        <f>SUM(BH170:BH174)</f>
        <v>-3290</v>
      </c>
      <c r="BI176" s="275">
        <f>SUM(BI170:BI174)</f>
        <v>-4267</v>
      </c>
      <c r="BJ176" s="275">
        <f>SUM(BJ170:BJ174)</f>
        <v>-5293</v>
      </c>
      <c r="BK176" s="276"/>
      <c r="BL176" s="275">
        <f>SUM(BL170:BL174)</f>
        <v>-1010</v>
      </c>
      <c r="BM176" s="275">
        <f>SUM(BM170:BM174)</f>
        <v>-1868</v>
      </c>
      <c r="BN176" s="275">
        <f>SUM(BN170:BN174)</f>
        <v>-3310</v>
      </c>
      <c r="BO176" s="275">
        <f>SUM(BO170:BO174)</f>
        <v>2491</v>
      </c>
      <c r="BP176" s="276"/>
      <c r="BQ176" s="275">
        <f>SUM(BQ170:BQ174)</f>
        <v>-248</v>
      </c>
      <c r="BR176" s="275">
        <f>SUM(BR170:BR174)</f>
        <v>-292</v>
      </c>
      <c r="BS176" s="275">
        <f>SUM(BS170:BS174)</f>
        <v>-612</v>
      </c>
      <c r="BT176" s="275">
        <f>SUM(BT170:BT174)</f>
        <v>-1459</v>
      </c>
      <c r="BU176" s="276"/>
      <c r="BV176" s="275">
        <f>SUM(BV170:BV174)</f>
        <v>-743</v>
      </c>
      <c r="BW176" s="275">
        <f>SUM(BW170:BW174)</f>
        <v>-1846</v>
      </c>
      <c r="BX176" s="275">
        <f>SUM(BX170:BX174)</f>
        <v>-3456</v>
      </c>
      <c r="BY176" s="275">
        <f>SUM(BY170:BY174)</f>
        <v>-4836</v>
      </c>
      <c r="BZ176" s="276"/>
      <c r="CA176" s="275">
        <f>SUM(CA170:CA174)</f>
        <v>-1404</v>
      </c>
      <c r="CB176" s="275">
        <f>SUM(CB170:CB174)</f>
        <v>-3321</v>
      </c>
      <c r="CC176" s="275">
        <f>SUM(CC170:CC174)</f>
        <v>-5266</v>
      </c>
      <c r="CD176" s="275">
        <f>SUM(CD170:CD174)</f>
        <v>-7447</v>
      </c>
      <c r="CE176" s="276"/>
      <c r="CF176" s="275">
        <f>SUM(CF170:CF174)</f>
        <v>-1599</v>
      </c>
      <c r="CG176" s="275">
        <f>SUM(CG170:CG174)</f>
        <v>-3151</v>
      </c>
      <c r="CH176" s="275">
        <f>SUM(CH170:CH174)</f>
        <v>-4468</v>
      </c>
      <c r="CI176" s="275">
        <f>SUM(CI170:CI174)</f>
        <v>-5888</v>
      </c>
      <c r="CJ176" s="276"/>
      <c r="CK176" s="275">
        <f>SUM(CK170:CK174)</f>
        <v>-1622</v>
      </c>
      <c r="CL176" s="275">
        <f>SUM(CL170:CL174)</f>
        <v>-3070</v>
      </c>
      <c r="CM176" s="275">
        <f>SUM(CM170:CM174)</f>
        <v>-4176</v>
      </c>
      <c r="CN176" s="275">
        <f>SUM(CN170:CN174)</f>
        <v>-5820</v>
      </c>
      <c r="CO176" s="276"/>
      <c r="CP176" s="275">
        <f>SUM(CP170:CP174)</f>
        <v>-598</v>
      </c>
      <c r="CQ176" s="275">
        <f>SUM(CQ170:CQ174)</f>
        <v>-1177</v>
      </c>
      <c r="CR176" s="275">
        <f>SUM(CR170:CR174)</f>
        <v>-1778</v>
      </c>
      <c r="CS176" s="275">
        <f>SUM(CS170:CS174)</f>
        <v>-2292</v>
      </c>
      <c r="CT176" s="276"/>
      <c r="CU176" s="275"/>
      <c r="CV176" s="275"/>
      <c r="CW176" s="275"/>
      <c r="CX176" s="275"/>
      <c r="CY176" s="276"/>
      <c r="CZ176" s="275"/>
      <c r="DA176" s="275"/>
      <c r="DB176" s="275"/>
      <c r="DC176" s="275"/>
      <c r="DD176" s="276"/>
      <c r="DE176" s="275"/>
      <c r="DF176" s="275"/>
      <c r="DG176" s="275"/>
      <c r="DH176" s="275"/>
      <c r="DI176" s="276"/>
    </row>
    <row r="177" spans="1:113" s="7" customFormat="1" ht="12" hidden="1" customHeight="1" outlineLevel="1">
      <c r="A177" s="239"/>
      <c r="B177" s="274" t="s">
        <v>34</v>
      </c>
      <c r="C177" s="249"/>
      <c r="D177" s="252"/>
      <c r="E177" s="249"/>
      <c r="F177" s="252"/>
      <c r="G177" s="249"/>
      <c r="H177" s="252"/>
      <c r="I177" s="249"/>
      <c r="J177" s="252"/>
      <c r="K177" s="249"/>
      <c r="L177" s="252"/>
      <c r="M177" s="249"/>
      <c r="N177" s="252"/>
      <c r="O177" s="252"/>
      <c r="P177" s="249"/>
      <c r="Q177" s="252"/>
      <c r="R177" s="249">
        <v>3</v>
      </c>
      <c r="S177" s="249">
        <v>9</v>
      </c>
      <c r="T177" s="249">
        <v>23</v>
      </c>
      <c r="U177" s="249">
        <v>57</v>
      </c>
      <c r="V177" s="252"/>
      <c r="W177" s="249">
        <v>-7</v>
      </c>
      <c r="X177" s="249">
        <v>-1</v>
      </c>
      <c r="Y177" s="249">
        <v>13</v>
      </c>
      <c r="Z177" s="249">
        <v>67</v>
      </c>
      <c r="AA177" s="252"/>
      <c r="AB177" s="252"/>
      <c r="AC177" s="249">
        <v>-1</v>
      </c>
      <c r="AD177" s="249">
        <v>0</v>
      </c>
      <c r="AE177" s="249">
        <v>45</v>
      </c>
      <c r="AF177" s="249">
        <v>100</v>
      </c>
      <c r="AG177" s="252"/>
      <c r="AH177" s="249">
        <v>-9</v>
      </c>
      <c r="AI177" s="249">
        <f>-13-1</f>
        <v>-14</v>
      </c>
      <c r="AJ177" s="249">
        <v>-10</v>
      </c>
      <c r="AK177" s="249">
        <v>1</v>
      </c>
      <c r="AL177" s="252"/>
      <c r="AM177" s="249">
        <v>97</v>
      </c>
      <c r="AN177" s="249">
        <v>288</v>
      </c>
      <c r="AO177" s="249">
        <v>-66</v>
      </c>
      <c r="AP177" s="249">
        <v>-83</v>
      </c>
      <c r="AQ177" s="273"/>
      <c r="AR177" s="254">
        <v>-38</v>
      </c>
      <c r="AS177" s="254">
        <v>-58</v>
      </c>
      <c r="AT177" s="254">
        <v>-131</v>
      </c>
      <c r="AU177" s="254">
        <v>-105</v>
      </c>
      <c r="AV177" s="252"/>
      <c r="AW177" s="249">
        <v>11</v>
      </c>
      <c r="AX177" s="249">
        <v>-39</v>
      </c>
      <c r="AY177" s="249">
        <v>-30</v>
      </c>
      <c r="AZ177" s="249">
        <v>-20</v>
      </c>
      <c r="BA177" s="252"/>
      <c r="BB177" s="249">
        <v>40</v>
      </c>
      <c r="BC177" s="249">
        <v>38</v>
      </c>
      <c r="BD177" s="249">
        <v>91</v>
      </c>
      <c r="BE177" s="249">
        <v>45</v>
      </c>
      <c r="BF177" s="252"/>
      <c r="BG177" s="249">
        <v>-103</v>
      </c>
      <c r="BH177" s="249">
        <v>-116</v>
      </c>
      <c r="BI177" s="249">
        <v>-59</v>
      </c>
      <c r="BJ177" s="249">
        <v>-129</v>
      </c>
      <c r="BK177" s="252"/>
      <c r="BL177" s="249">
        <v>-56</v>
      </c>
      <c r="BM177" s="249">
        <v>-46</v>
      </c>
      <c r="BN177" s="249">
        <v>-21</v>
      </c>
      <c r="BO177" s="249">
        <v>-66</v>
      </c>
      <c r="BP177" s="252"/>
      <c r="BQ177" s="249">
        <v>55</v>
      </c>
      <c r="BR177" s="249">
        <v>101</v>
      </c>
      <c r="BS177" s="249">
        <v>122</v>
      </c>
      <c r="BT177" s="249">
        <v>143</v>
      </c>
      <c r="BU177" s="252"/>
      <c r="BV177" s="249">
        <v>-38</v>
      </c>
      <c r="BW177" s="249">
        <v>-55</v>
      </c>
      <c r="BX177" s="249">
        <v>-55</v>
      </c>
      <c r="BY177" s="249">
        <v>-143</v>
      </c>
      <c r="BZ177" s="252"/>
      <c r="CA177" s="249">
        <v>-87</v>
      </c>
      <c r="CB177" s="249">
        <v>-98</v>
      </c>
      <c r="CC177" s="249">
        <v>-78</v>
      </c>
      <c r="CD177" s="249">
        <v>-91</v>
      </c>
      <c r="CE177" s="252"/>
      <c r="CF177" s="249">
        <v>-16</v>
      </c>
      <c r="CG177" s="249">
        <v>3</v>
      </c>
      <c r="CH177" s="249">
        <v>-7</v>
      </c>
      <c r="CI177" s="249">
        <v>-16</v>
      </c>
      <c r="CJ177" s="252"/>
      <c r="CK177" s="249">
        <v>19</v>
      </c>
      <c r="CL177" s="249">
        <v>-14</v>
      </c>
      <c r="CM177" s="249">
        <v>-29</v>
      </c>
      <c r="CN177" s="249">
        <v>1</v>
      </c>
      <c r="CO177" s="252"/>
      <c r="CP177" s="249">
        <v>-5</v>
      </c>
      <c r="CQ177" s="249">
        <v>-6</v>
      </c>
      <c r="CR177" s="249">
        <v>19</v>
      </c>
      <c r="CS177" s="249">
        <v>11</v>
      </c>
      <c r="CT177" s="252"/>
      <c r="CU177" s="249"/>
      <c r="CV177" s="249"/>
      <c r="CW177" s="249"/>
      <c r="CX177" s="249"/>
      <c r="CY177" s="252"/>
      <c r="CZ177" s="249"/>
      <c r="DA177" s="249"/>
      <c r="DB177" s="249"/>
      <c r="DC177" s="249"/>
      <c r="DD177" s="252"/>
      <c r="DE177" s="249"/>
      <c r="DF177" s="249"/>
      <c r="DG177" s="249"/>
      <c r="DH177" s="249"/>
      <c r="DI177" s="252"/>
    </row>
    <row r="178" spans="1:113" s="7" customFormat="1" ht="12" hidden="1" customHeight="1" outlineLevel="1">
      <c r="A178" s="239"/>
      <c r="B178" s="274"/>
      <c r="C178" s="249"/>
      <c r="D178" s="252"/>
      <c r="E178" s="249"/>
      <c r="F178" s="252"/>
      <c r="G178" s="249"/>
      <c r="H178" s="252"/>
      <c r="I178" s="249"/>
      <c r="J178" s="252"/>
      <c r="K178" s="249"/>
      <c r="L178" s="252"/>
      <c r="M178" s="249"/>
      <c r="N178" s="252"/>
      <c r="O178" s="252"/>
      <c r="P178" s="249"/>
      <c r="Q178" s="252"/>
      <c r="R178" s="249" t="s">
        <v>4</v>
      </c>
      <c r="S178" s="249" t="s">
        <v>4</v>
      </c>
      <c r="T178" s="249" t="s">
        <v>4</v>
      </c>
      <c r="U178" s="249" t="s">
        <v>4</v>
      </c>
      <c r="V178" s="252"/>
      <c r="W178" s="249" t="s">
        <v>4</v>
      </c>
      <c r="X178" s="249" t="s">
        <v>4</v>
      </c>
      <c r="Y178" s="249" t="s">
        <v>4</v>
      </c>
      <c r="Z178" s="249" t="s">
        <v>4</v>
      </c>
      <c r="AA178" s="252"/>
      <c r="AB178" s="252"/>
      <c r="AC178" s="249" t="s">
        <v>4</v>
      </c>
      <c r="AD178" s="249" t="s">
        <v>4</v>
      </c>
      <c r="AE178" s="249" t="s">
        <v>4</v>
      </c>
      <c r="AF178" s="249" t="s">
        <v>4</v>
      </c>
      <c r="AG178" s="252"/>
      <c r="AH178" s="249" t="s">
        <v>4</v>
      </c>
      <c r="AI178" s="249" t="s">
        <v>4</v>
      </c>
      <c r="AJ178" s="249" t="s">
        <v>4</v>
      </c>
      <c r="AK178" s="249" t="s">
        <v>4</v>
      </c>
      <c r="AL178" s="252"/>
      <c r="AM178" s="249" t="s">
        <v>4</v>
      </c>
      <c r="AN178" s="249" t="s">
        <v>4</v>
      </c>
      <c r="AO178" s="249" t="s">
        <v>4</v>
      </c>
      <c r="AP178" s="249" t="s">
        <v>4</v>
      </c>
      <c r="AQ178" s="273"/>
      <c r="AR178" s="254" t="s">
        <v>4</v>
      </c>
      <c r="AS178" s="254" t="s">
        <v>4</v>
      </c>
      <c r="AT178" s="254" t="s">
        <v>4</v>
      </c>
      <c r="AU178" s="254" t="s">
        <v>4</v>
      </c>
      <c r="AV178" s="252"/>
      <c r="AW178" s="249" t="s">
        <v>4</v>
      </c>
      <c r="AX178" s="249" t="s">
        <v>4</v>
      </c>
      <c r="AY178" s="249" t="s">
        <v>4</v>
      </c>
      <c r="AZ178" s="249" t="s">
        <v>4</v>
      </c>
      <c r="BA178" s="252"/>
      <c r="BB178" s="249" t="s">
        <v>4</v>
      </c>
      <c r="BC178" s="249" t="s">
        <v>4</v>
      </c>
      <c r="BD178" s="249" t="s">
        <v>4</v>
      </c>
      <c r="BE178" s="249" t="s">
        <v>4</v>
      </c>
      <c r="BF178" s="252"/>
      <c r="BG178" s="249" t="s">
        <v>4</v>
      </c>
      <c r="BH178" s="249" t="s">
        <v>4</v>
      </c>
      <c r="BI178" s="249" t="s">
        <v>4</v>
      </c>
      <c r="BJ178" s="249" t="s">
        <v>4</v>
      </c>
      <c r="BK178" s="252"/>
      <c r="BL178" s="249" t="s">
        <v>4</v>
      </c>
      <c r="BM178" s="249" t="s">
        <v>4</v>
      </c>
      <c r="BN178" s="249" t="s">
        <v>4</v>
      </c>
      <c r="BO178" s="249" t="s">
        <v>4</v>
      </c>
      <c r="BP178" s="252"/>
      <c r="BQ178" s="249" t="s">
        <v>4</v>
      </c>
      <c r="BR178" s="249" t="s">
        <v>4</v>
      </c>
      <c r="BS178" s="249" t="s">
        <v>4</v>
      </c>
      <c r="BT178" s="249" t="s">
        <v>4</v>
      </c>
      <c r="BU178" s="252"/>
      <c r="BV178" s="249" t="s">
        <v>4</v>
      </c>
      <c r="BW178" s="249" t="s">
        <v>4</v>
      </c>
      <c r="BX178" s="249" t="s">
        <v>4</v>
      </c>
      <c r="BY178" s="249" t="s">
        <v>4</v>
      </c>
      <c r="BZ178" s="252"/>
      <c r="CA178" s="249" t="s">
        <v>4</v>
      </c>
      <c r="CB178" s="249" t="s">
        <v>4</v>
      </c>
      <c r="CC178" s="249" t="s">
        <v>4</v>
      </c>
      <c r="CD178" s="249" t="s">
        <v>4</v>
      </c>
      <c r="CE178" s="252"/>
      <c r="CF178" s="249" t="s">
        <v>4</v>
      </c>
      <c r="CG178" s="249" t="s">
        <v>4</v>
      </c>
      <c r="CH178" s="249" t="s">
        <v>4</v>
      </c>
      <c r="CI178" s="249" t="s">
        <v>4</v>
      </c>
      <c r="CJ178" s="252"/>
      <c r="CK178" s="249" t="s">
        <v>4</v>
      </c>
      <c r="CL178" s="249" t="s">
        <v>4</v>
      </c>
      <c r="CM178" s="249" t="s">
        <v>4</v>
      </c>
      <c r="CN178" s="249" t="s">
        <v>4</v>
      </c>
      <c r="CO178" s="252"/>
      <c r="CP178" s="249" t="s">
        <v>4</v>
      </c>
      <c r="CQ178" s="249" t="s">
        <v>4</v>
      </c>
      <c r="CR178" s="249" t="s">
        <v>4</v>
      </c>
      <c r="CS178" s="249" t="s">
        <v>4</v>
      </c>
      <c r="CT178" s="252"/>
      <c r="CU178" s="249"/>
      <c r="CV178" s="249"/>
      <c r="CW178" s="249"/>
      <c r="CX178" s="249"/>
      <c r="CY178" s="252"/>
      <c r="CZ178" s="249"/>
      <c r="DA178" s="249"/>
      <c r="DB178" s="249"/>
      <c r="DC178" s="249"/>
      <c r="DD178" s="252"/>
      <c r="DE178" s="249"/>
      <c r="DF178" s="249"/>
      <c r="DG178" s="249"/>
      <c r="DH178" s="249"/>
      <c r="DI178" s="252"/>
    </row>
    <row r="179" spans="1:113" s="7" customFormat="1" ht="12" hidden="1" customHeight="1" outlineLevel="1">
      <c r="A179" s="239"/>
      <c r="B179" s="274" t="s">
        <v>35</v>
      </c>
      <c r="C179" s="249"/>
      <c r="D179" s="252"/>
      <c r="E179" s="249"/>
      <c r="F179" s="252"/>
      <c r="G179" s="249"/>
      <c r="H179" s="252"/>
      <c r="I179" s="249"/>
      <c r="J179" s="252"/>
      <c r="K179" s="249"/>
      <c r="L179" s="252"/>
      <c r="M179" s="249"/>
      <c r="N179" s="252"/>
      <c r="O179" s="252"/>
      <c r="P179" s="249"/>
      <c r="Q179" s="252"/>
      <c r="R179" s="249">
        <f>R161+R167+R176+R177</f>
        <v>-1069.0000000000002</v>
      </c>
      <c r="S179" s="249">
        <f>S161+S167+S176+S177</f>
        <v>-1311</v>
      </c>
      <c r="T179" s="249">
        <f>T161+T167+T176+T177</f>
        <v>-947</v>
      </c>
      <c r="U179" s="249">
        <f>U161+U167+U176+U177</f>
        <v>-1124</v>
      </c>
      <c r="V179" s="252"/>
      <c r="W179" s="249">
        <f>W161+W167+W176+W177</f>
        <v>-347</v>
      </c>
      <c r="X179" s="249">
        <f>X161+X167+X176+X177</f>
        <v>-26</v>
      </c>
      <c r="Y179" s="249">
        <f>Y161+Y167+Y176+Y177</f>
        <v>66</v>
      </c>
      <c r="Z179" s="249">
        <f>Z161+Z167+Z176+Z177</f>
        <v>362</v>
      </c>
      <c r="AA179" s="252" t="s">
        <v>434</v>
      </c>
      <c r="AB179" s="252"/>
      <c r="AC179" s="249">
        <f>AC161+AC167+AC176+AC177</f>
        <v>-152</v>
      </c>
      <c r="AD179" s="249">
        <f>AD161+AD167+AD176+AD177</f>
        <v>-26</v>
      </c>
      <c r="AE179" s="249">
        <f>AE161+AE167+AE176+AE177</f>
        <v>240</v>
      </c>
      <c r="AF179" s="249">
        <f>AF161+AF167+AF176+AF177</f>
        <v>1020</v>
      </c>
      <c r="AG179" s="252"/>
      <c r="AH179" s="249">
        <f>AH161+AH167+AH176+AH177</f>
        <v>-401</v>
      </c>
      <c r="AI179" s="249">
        <f>AI161+AI167+AI176+AI177</f>
        <v>-1251</v>
      </c>
      <c r="AJ179" s="249">
        <f>AJ161+AJ167+AJ176+AJ177</f>
        <v>-1473</v>
      </c>
      <c r="AK179" s="249">
        <f>AK161+AK167+AK176+AK177</f>
        <v>-1117</v>
      </c>
      <c r="AL179" s="252"/>
      <c r="AM179" s="249">
        <f>AM161+AM167+AM176+AM177</f>
        <v>83</v>
      </c>
      <c r="AN179" s="249">
        <f>AN161+AN167+AN176+AN177</f>
        <v>53</v>
      </c>
      <c r="AO179" s="249">
        <f>AO161+AO167+AO176+AO177</f>
        <v>795</v>
      </c>
      <c r="AP179" s="249">
        <f>AP161+AP167+AP176+AP177</f>
        <v>1632</v>
      </c>
      <c r="AQ179" s="273"/>
      <c r="AR179" s="254">
        <f>AR161+AR167+AR176+AR177</f>
        <v>-606</v>
      </c>
      <c r="AS179" s="254">
        <f>AS161+AS167+AS176+AS177</f>
        <v>-1</v>
      </c>
      <c r="AT179" s="254">
        <f>AT161+AT167+AT176+AT177</f>
        <v>-808</v>
      </c>
      <c r="AU179" s="254">
        <f>AU161+AU167+AU176+AU177</f>
        <v>-714</v>
      </c>
      <c r="AV179" s="252"/>
      <c r="AW179" s="249">
        <f>AW161+AW167+AW176+AW177</f>
        <v>-479</v>
      </c>
      <c r="AX179" s="249">
        <f>AX161+AX167+AX176+AX177</f>
        <v>1201</v>
      </c>
      <c r="AY179" s="249">
        <f>AY161+AY167+AY176+AY177</f>
        <v>883</v>
      </c>
      <c r="AZ179" s="249">
        <f>AZ161+AZ167+AZ176+AZ177</f>
        <v>670</v>
      </c>
      <c r="BA179" s="252"/>
      <c r="BB179" s="249">
        <f>BB161+BB167+BB176+BB177</f>
        <v>-395</v>
      </c>
      <c r="BC179" s="249">
        <f>BC161+BC167+BC176+BC177</f>
        <v>496</v>
      </c>
      <c r="BD179" s="249">
        <f>BD161+BD167+BD176+BD177</f>
        <v>-146</v>
      </c>
      <c r="BE179" s="249">
        <f>BE161+BE167+BE176+BE177</f>
        <v>441</v>
      </c>
      <c r="BF179" s="252"/>
      <c r="BG179" s="249">
        <f>BG161+BG167+BG176+BG177</f>
        <v>-967</v>
      </c>
      <c r="BH179" s="249">
        <f>BH161+BH167+BH176+BH177</f>
        <v>-826</v>
      </c>
      <c r="BI179" s="249">
        <f>BI161+BI167+BI176+BI177</f>
        <v>-554</v>
      </c>
      <c r="BJ179" s="249">
        <f>BJ161+BJ167+BJ176+BJ177</f>
        <v>217</v>
      </c>
      <c r="BK179" s="252"/>
      <c r="BL179" s="249">
        <f>BL161+BL167+BL176+BL177</f>
        <v>-1020</v>
      </c>
      <c r="BM179" s="249">
        <f>BM161+BM167+BM176+BM177</f>
        <v>-1396</v>
      </c>
      <c r="BN179" s="249">
        <f>BN161+BN167+BN176+BN177</f>
        <v>-1603</v>
      </c>
      <c r="BO179" s="249">
        <f>BO161+BO167+BO176+BO177</f>
        <v>3882</v>
      </c>
      <c r="BP179" s="252"/>
      <c r="BQ179" s="249">
        <f>BQ161+BQ167+BQ176+BQ177</f>
        <v>-200</v>
      </c>
      <c r="BR179" s="249">
        <f>BR161+BR167+BR176+BR177</f>
        <v>287</v>
      </c>
      <c r="BS179" s="249">
        <f>BS161+BS167+BS176+BS177</f>
        <v>168</v>
      </c>
      <c r="BT179" s="249">
        <f>BT161+BT167+BT176+BT177</f>
        <v>1541</v>
      </c>
      <c r="BU179" s="252"/>
      <c r="BV179" s="249">
        <f>BV161+BV167+BV176+BV177</f>
        <v>831</v>
      </c>
      <c r="BW179" s="249">
        <f>BW161+BW167+BW176+BW177</f>
        <v>862</v>
      </c>
      <c r="BX179" s="249">
        <f>BX161+BX167+BX176+BX177</f>
        <v>-1185</v>
      </c>
      <c r="BY179" s="249">
        <f>BY161+BY167+BY176+BY177</f>
        <v>-1315</v>
      </c>
      <c r="BZ179" s="252"/>
      <c r="CA179" s="249">
        <f>CA161+CA167+CA176+CA177</f>
        <v>-1348</v>
      </c>
      <c r="CB179" s="249">
        <f>CB161+CB167+CB176+CB177</f>
        <v>-2084</v>
      </c>
      <c r="CC179" s="249">
        <f>CC161+CC167+CC176+CC177</f>
        <v>-1619</v>
      </c>
      <c r="CD179" s="249">
        <f>CD161+CD167+CD176+CD177</f>
        <v>-1133</v>
      </c>
      <c r="CE179" s="252"/>
      <c r="CF179" s="249">
        <f>CF161+CF167+CF176+CF177</f>
        <v>-1263</v>
      </c>
      <c r="CG179" s="249">
        <f>CG161+CG167+CG176+CG177</f>
        <v>478</v>
      </c>
      <c r="CH179" s="249">
        <f>CH161+CH167+CH176+CH177</f>
        <v>1519</v>
      </c>
      <c r="CI179" s="249">
        <f>CI161+CI167+CI176+CI177</f>
        <v>2419</v>
      </c>
      <c r="CJ179" s="252"/>
      <c r="CK179" s="249">
        <f>CK161+CK167+CK176+CK177</f>
        <v>-1375</v>
      </c>
      <c r="CL179" s="249">
        <f>CL161+CL167+CL176+CL177</f>
        <v>-1881</v>
      </c>
      <c r="CM179" s="249">
        <f>CM161+CM167+CM176+CM177</f>
        <v>-1259</v>
      </c>
      <c r="CN179" s="249">
        <f>CN161+CN167+CN176+CN177</f>
        <v>-2396</v>
      </c>
      <c r="CO179" s="252"/>
      <c r="CP179" s="249">
        <f>CP161+CP167+CP176+CP177</f>
        <v>-440</v>
      </c>
      <c r="CQ179" s="249">
        <f>CQ161+CQ167+CQ176+CQ177</f>
        <v>-490</v>
      </c>
      <c r="CR179" s="249">
        <f>CR161+CR167+CR176+CR177</f>
        <v>-804</v>
      </c>
      <c r="CS179" s="249">
        <f>CS161+CS167+CS176+CS177</f>
        <v>99</v>
      </c>
      <c r="CT179" s="252"/>
      <c r="CU179" s="249"/>
      <c r="CV179" s="249"/>
      <c r="CW179" s="249"/>
      <c r="CX179" s="249"/>
      <c r="CY179" s="252"/>
      <c r="CZ179" s="249"/>
      <c r="DA179" s="249"/>
      <c r="DB179" s="249"/>
      <c r="DC179" s="249"/>
      <c r="DD179" s="252"/>
      <c r="DE179" s="249"/>
      <c r="DF179" s="249"/>
      <c r="DG179" s="249"/>
      <c r="DH179" s="249"/>
      <c r="DI179" s="252"/>
    </row>
    <row r="180" spans="1:113" s="7" customFormat="1" ht="12" hidden="1" customHeight="1" outlineLevel="1">
      <c r="A180" s="239"/>
      <c r="B180" s="274" t="s">
        <v>36</v>
      </c>
      <c r="C180" s="249"/>
      <c r="D180" s="252"/>
      <c r="E180" s="249"/>
      <c r="F180" s="252"/>
      <c r="G180" s="249"/>
      <c r="H180" s="252"/>
      <c r="I180" s="249"/>
      <c r="J180" s="252"/>
      <c r="K180" s="249"/>
      <c r="L180" s="252"/>
      <c r="M180" s="249"/>
      <c r="N180" s="252"/>
      <c r="O180" s="252"/>
      <c r="P180" s="249"/>
      <c r="Q180" s="252"/>
      <c r="R180" s="249">
        <v>3079</v>
      </c>
      <c r="S180" s="249">
        <v>3079</v>
      </c>
      <c r="T180" s="249">
        <v>3079</v>
      </c>
      <c r="U180" s="249">
        <v>3079</v>
      </c>
      <c r="V180" s="252"/>
      <c r="W180" s="249">
        <v>1955</v>
      </c>
      <c r="X180" s="249">
        <v>1955</v>
      </c>
      <c r="Y180" s="249">
        <v>1955</v>
      </c>
      <c r="Z180" s="249">
        <v>1955</v>
      </c>
      <c r="AA180" s="252"/>
      <c r="AB180" s="252"/>
      <c r="AC180" s="249">
        <f>+Z181</f>
        <v>2317</v>
      </c>
      <c r="AD180" s="249">
        <f>+Z181</f>
        <v>2317</v>
      </c>
      <c r="AE180" s="249">
        <f>Z181</f>
        <v>2317</v>
      </c>
      <c r="AF180" s="249">
        <f>Z181</f>
        <v>2317</v>
      </c>
      <c r="AG180" s="252"/>
      <c r="AH180" s="249">
        <f>+AF181</f>
        <v>3337</v>
      </c>
      <c r="AI180" s="249">
        <f>AF181</f>
        <v>3337</v>
      </c>
      <c r="AJ180" s="249">
        <f>AF181</f>
        <v>3337</v>
      </c>
      <c r="AK180" s="249">
        <f>AF181</f>
        <v>3337</v>
      </c>
      <c r="AL180" s="252"/>
      <c r="AM180" s="249">
        <f>+AK181</f>
        <v>2220</v>
      </c>
      <c r="AN180" s="249">
        <f>+AK181</f>
        <v>2220</v>
      </c>
      <c r="AO180" s="249">
        <f>+AK181</f>
        <v>2220</v>
      </c>
      <c r="AP180" s="249">
        <f>+AK181</f>
        <v>2220</v>
      </c>
      <c r="AQ180" s="273"/>
      <c r="AR180" s="254">
        <f>AP181</f>
        <v>3852</v>
      </c>
      <c r="AS180" s="254">
        <f>AP181</f>
        <v>3852</v>
      </c>
      <c r="AT180" s="254">
        <f>+AP181</f>
        <v>3852</v>
      </c>
      <c r="AU180" s="254">
        <f>+AP181</f>
        <v>3852</v>
      </c>
      <c r="AV180" s="252"/>
      <c r="AW180" s="249">
        <f>AU181</f>
        <v>3138</v>
      </c>
      <c r="AX180" s="249">
        <f>AU181</f>
        <v>3138</v>
      </c>
      <c r="AY180" s="249">
        <f>+AU181</f>
        <v>3138</v>
      </c>
      <c r="AZ180" s="249">
        <f>+AU181</f>
        <v>3138</v>
      </c>
      <c r="BA180" s="252"/>
      <c r="BB180" s="249">
        <f>AZ181</f>
        <v>3808</v>
      </c>
      <c r="BC180" s="249">
        <f>AZ181</f>
        <v>3808</v>
      </c>
      <c r="BD180" s="249">
        <f>+AZ181</f>
        <v>3808</v>
      </c>
      <c r="BE180" s="249">
        <f>+AZ181</f>
        <v>3808</v>
      </c>
      <c r="BF180" s="252"/>
      <c r="BG180" s="249">
        <f>BE181</f>
        <v>4249</v>
      </c>
      <c r="BH180" s="249">
        <f>BE181</f>
        <v>4249</v>
      </c>
      <c r="BI180" s="249">
        <f>BE181</f>
        <v>4249</v>
      </c>
      <c r="BJ180" s="249">
        <f>+BE181</f>
        <v>4249</v>
      </c>
      <c r="BK180" s="252"/>
      <c r="BL180" s="249">
        <f>BJ181</f>
        <v>4466</v>
      </c>
      <c r="BM180" s="249">
        <f>BJ181</f>
        <v>4466</v>
      </c>
      <c r="BN180" s="249">
        <f>BM180</f>
        <v>4466</v>
      </c>
      <c r="BO180" s="249">
        <f>+BJ181</f>
        <v>4466</v>
      </c>
      <c r="BP180" s="252"/>
      <c r="BQ180" s="249">
        <f>BO181</f>
        <v>8348</v>
      </c>
      <c r="BR180" s="249">
        <f>BO181</f>
        <v>8348</v>
      </c>
      <c r="BS180" s="249">
        <f>BO181</f>
        <v>8348</v>
      </c>
      <c r="BT180" s="249">
        <f>+BO181</f>
        <v>8348</v>
      </c>
      <c r="BU180" s="252"/>
      <c r="BV180" s="249">
        <f>BT181</f>
        <v>9889</v>
      </c>
      <c r="BW180" s="249">
        <f>BT181</f>
        <v>9889</v>
      </c>
      <c r="BX180" s="249">
        <f>BT181</f>
        <v>9889</v>
      </c>
      <c r="BY180" s="249">
        <f>+BT181</f>
        <v>9889</v>
      </c>
      <c r="BZ180" s="252"/>
      <c r="CA180" s="249">
        <f>BY181</f>
        <v>8574</v>
      </c>
      <c r="CB180" s="249">
        <f>BY181</f>
        <v>8574</v>
      </c>
      <c r="CC180" s="249">
        <f>BY181</f>
        <v>8574</v>
      </c>
      <c r="CD180" s="249">
        <f>+BY181</f>
        <v>8574</v>
      </c>
      <c r="CE180" s="252"/>
      <c r="CF180" s="249">
        <f>CD181</f>
        <v>7441</v>
      </c>
      <c r="CG180" s="249">
        <f>CD181</f>
        <v>7441</v>
      </c>
      <c r="CH180" s="249">
        <f>CD181</f>
        <v>7441</v>
      </c>
      <c r="CI180" s="249">
        <f>+CD181</f>
        <v>7441</v>
      </c>
      <c r="CJ180" s="252"/>
      <c r="CK180" s="249">
        <f>CI181</f>
        <v>9860</v>
      </c>
      <c r="CL180" s="249">
        <f>CI181</f>
        <v>9860</v>
      </c>
      <c r="CM180" s="249">
        <f>CI181</f>
        <v>9860</v>
      </c>
      <c r="CN180" s="249">
        <f>+CI181</f>
        <v>9860</v>
      </c>
      <c r="CO180" s="252"/>
      <c r="CP180" s="249">
        <f>CN181</f>
        <v>7464</v>
      </c>
      <c r="CQ180" s="249">
        <f>CN181</f>
        <v>7464</v>
      </c>
      <c r="CR180" s="249">
        <f>CN181</f>
        <v>7464</v>
      </c>
      <c r="CS180" s="249">
        <f>+CN181</f>
        <v>7464</v>
      </c>
      <c r="CT180" s="252"/>
      <c r="CU180" s="249"/>
      <c r="CV180" s="249"/>
      <c r="CW180" s="249"/>
      <c r="CX180" s="249"/>
      <c r="CY180" s="252"/>
      <c r="CZ180" s="249"/>
      <c r="DA180" s="249"/>
      <c r="DB180" s="249"/>
      <c r="DC180" s="249"/>
      <c r="DD180" s="252"/>
      <c r="DE180" s="249"/>
      <c r="DF180" s="249"/>
      <c r="DG180" s="249"/>
      <c r="DH180" s="249"/>
      <c r="DI180" s="252"/>
    </row>
    <row r="181" spans="1:113" s="7" customFormat="1" ht="12" hidden="1" customHeight="1" outlineLevel="1">
      <c r="A181" s="239"/>
      <c r="B181" s="280" t="s">
        <v>37</v>
      </c>
      <c r="C181" s="281"/>
      <c r="D181" s="282"/>
      <c r="E181" s="281"/>
      <c r="F181" s="282"/>
      <c r="G181" s="281"/>
      <c r="H181" s="282"/>
      <c r="I181" s="281"/>
      <c r="J181" s="282"/>
      <c r="K181" s="281"/>
      <c r="L181" s="282"/>
      <c r="M181" s="281"/>
      <c r="N181" s="282"/>
      <c r="O181" s="282"/>
      <c r="P181" s="281"/>
      <c r="Q181" s="282"/>
      <c r="R181" s="281">
        <f>R180+R179</f>
        <v>2009.9999999999998</v>
      </c>
      <c r="S181" s="281">
        <f>S180+S179</f>
        <v>1768</v>
      </c>
      <c r="T181" s="281">
        <f>T180+T179</f>
        <v>2132</v>
      </c>
      <c r="U181" s="281">
        <f>U180+U179</f>
        <v>1955</v>
      </c>
      <c r="V181" s="282"/>
      <c r="W181" s="281">
        <f>W180+W179</f>
        <v>1608</v>
      </c>
      <c r="X181" s="281">
        <f>X180+X179</f>
        <v>1929</v>
      </c>
      <c r="Y181" s="281">
        <f>Y180+Y179</f>
        <v>2021</v>
      </c>
      <c r="Z181" s="281">
        <f>Z180+Z179</f>
        <v>2317</v>
      </c>
      <c r="AA181" s="282"/>
      <c r="AB181" s="282"/>
      <c r="AC181" s="281">
        <f>AC180+AC179</f>
        <v>2165</v>
      </c>
      <c r="AD181" s="281">
        <f>AD180+AD179</f>
        <v>2291</v>
      </c>
      <c r="AE181" s="281">
        <f>AE180+AE179</f>
        <v>2557</v>
      </c>
      <c r="AF181" s="281">
        <f>AF180+AF179</f>
        <v>3337</v>
      </c>
      <c r="AG181" s="282"/>
      <c r="AH181" s="281">
        <f>AH180+AH179</f>
        <v>2936</v>
      </c>
      <c r="AI181" s="281">
        <f>AI180+AI179</f>
        <v>2086</v>
      </c>
      <c r="AJ181" s="281">
        <f>AJ180+AJ179</f>
        <v>1864</v>
      </c>
      <c r="AK181" s="281">
        <f>AK180+AK179</f>
        <v>2220</v>
      </c>
      <c r="AL181" s="282"/>
      <c r="AM181" s="281">
        <f>AM180+AM179</f>
        <v>2303</v>
      </c>
      <c r="AN181" s="281">
        <f>AN180+AN179</f>
        <v>2273</v>
      </c>
      <c r="AO181" s="281">
        <f>AO180+AO179</f>
        <v>3015</v>
      </c>
      <c r="AP181" s="281">
        <f>AP180+AP179</f>
        <v>3852</v>
      </c>
      <c r="AQ181" s="283"/>
      <c r="AR181" s="255">
        <f>AR180+AR179</f>
        <v>3246</v>
      </c>
      <c r="AS181" s="255">
        <f>AS180+AS179</f>
        <v>3851</v>
      </c>
      <c r="AT181" s="255">
        <f>AT180+AT179</f>
        <v>3044</v>
      </c>
      <c r="AU181" s="255">
        <f>AU180+AU179</f>
        <v>3138</v>
      </c>
      <c r="AV181" s="282"/>
      <c r="AW181" s="281">
        <f>AW180+AW179</f>
        <v>2659</v>
      </c>
      <c r="AX181" s="281">
        <f>AX180+AX179</f>
        <v>4339</v>
      </c>
      <c r="AY181" s="281">
        <f>AY180+AY179</f>
        <v>4021</v>
      </c>
      <c r="AZ181" s="281">
        <f>AZ180+AZ179</f>
        <v>3808</v>
      </c>
      <c r="BA181" s="282"/>
      <c r="BB181" s="281">
        <f>BB180+BB179</f>
        <v>3413</v>
      </c>
      <c r="BC181" s="281">
        <f>BC180+BC179</f>
        <v>4304</v>
      </c>
      <c r="BD181" s="281">
        <f>BD180+BD179</f>
        <v>3662</v>
      </c>
      <c r="BE181" s="281">
        <f>BE180+BE179</f>
        <v>4249</v>
      </c>
      <c r="BF181" s="282"/>
      <c r="BG181" s="281">
        <f>BG180+BG179</f>
        <v>3282</v>
      </c>
      <c r="BH181" s="281">
        <f>BH180+BH179</f>
        <v>3423</v>
      </c>
      <c r="BI181" s="281">
        <f>BI180+BI179</f>
        <v>3695</v>
      </c>
      <c r="BJ181" s="281">
        <f>BJ180+BJ179</f>
        <v>4466</v>
      </c>
      <c r="BK181" s="282"/>
      <c r="BL181" s="281">
        <f>BL180+BL179</f>
        <v>3446</v>
      </c>
      <c r="BM181" s="281">
        <f>BM180+BM179</f>
        <v>3070</v>
      </c>
      <c r="BN181" s="281">
        <f>BN180+BN179</f>
        <v>2863</v>
      </c>
      <c r="BO181" s="281">
        <f>BO180+BO179</f>
        <v>8348</v>
      </c>
      <c r="BP181" s="282"/>
      <c r="BQ181" s="281">
        <f>BQ180+BQ179</f>
        <v>8148</v>
      </c>
      <c r="BR181" s="281">
        <f>BR180+BR179</f>
        <v>8635</v>
      </c>
      <c r="BS181" s="281">
        <f>BS180+BS179</f>
        <v>8516</v>
      </c>
      <c r="BT181" s="281">
        <f>BT180+BT179</f>
        <v>9889</v>
      </c>
      <c r="BU181" s="282"/>
      <c r="BV181" s="281">
        <f>BV180+BV179</f>
        <v>10720</v>
      </c>
      <c r="BW181" s="281">
        <f>BW180+BW179</f>
        <v>10751</v>
      </c>
      <c r="BX181" s="281">
        <f>BX180+BX179</f>
        <v>8704</v>
      </c>
      <c r="BY181" s="281">
        <f>BY180+BY179</f>
        <v>8574</v>
      </c>
      <c r="BZ181" s="282"/>
      <c r="CA181" s="281">
        <f>CA180+CA179</f>
        <v>7226</v>
      </c>
      <c r="CB181" s="281">
        <f>CB180+CB179</f>
        <v>6490</v>
      </c>
      <c r="CC181" s="281">
        <f>CC180+CC179</f>
        <v>6955</v>
      </c>
      <c r="CD181" s="281">
        <f>CD180+CD179</f>
        <v>7441</v>
      </c>
      <c r="CE181" s="282"/>
      <c r="CF181" s="281">
        <f>CF180+CF179</f>
        <v>6178</v>
      </c>
      <c r="CG181" s="281">
        <f>CG180+CG179</f>
        <v>7919</v>
      </c>
      <c r="CH181" s="281">
        <f>CH180+CH179</f>
        <v>8960</v>
      </c>
      <c r="CI181" s="281">
        <f>CI180+CI179</f>
        <v>9860</v>
      </c>
      <c r="CJ181" s="282"/>
      <c r="CK181" s="281">
        <f>CK180+CK179</f>
        <v>8485</v>
      </c>
      <c r="CL181" s="281">
        <f>CL180+CL179</f>
        <v>7979</v>
      </c>
      <c r="CM181" s="281">
        <f>CM180+CM179</f>
        <v>8601</v>
      </c>
      <c r="CN181" s="281">
        <f>CN180+CN179</f>
        <v>7464</v>
      </c>
      <c r="CO181" s="282"/>
      <c r="CP181" s="281">
        <f>CP180+CP179</f>
        <v>7024</v>
      </c>
      <c r="CQ181" s="281">
        <f>CQ180+CQ179</f>
        <v>6974</v>
      </c>
      <c r="CR181" s="281">
        <f>CR180+CR179</f>
        <v>6660</v>
      </c>
      <c r="CS181" s="281">
        <f>CS180+CS179</f>
        <v>7563</v>
      </c>
      <c r="CT181" s="282"/>
      <c r="CU181" s="281"/>
      <c r="CV181" s="281"/>
      <c r="CW181" s="281"/>
      <c r="CX181" s="281"/>
      <c r="CY181" s="282"/>
      <c r="CZ181" s="281"/>
      <c r="DA181" s="281"/>
      <c r="DB181" s="281"/>
      <c r="DC181" s="281"/>
      <c r="DD181" s="282"/>
      <c r="DE181" s="281"/>
      <c r="DF181" s="281"/>
      <c r="DG181" s="281"/>
      <c r="DH181" s="281"/>
      <c r="DI181" s="282"/>
    </row>
    <row r="182" spans="1:113" ht="12" customHeight="1" collapsed="1">
      <c r="A182" s="5"/>
      <c r="B182" s="309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10"/>
      <c r="AG182" s="310"/>
      <c r="AH182" s="310"/>
      <c r="AI182" s="310"/>
      <c r="AJ182" s="310"/>
      <c r="AK182" s="310"/>
      <c r="AL182" s="310"/>
      <c r="AM182" s="310"/>
      <c r="AN182" s="310"/>
      <c r="AO182" s="310"/>
      <c r="AP182" s="310"/>
      <c r="AQ182" s="310"/>
      <c r="AR182" s="310"/>
      <c r="AS182" s="310"/>
      <c r="AT182" s="310"/>
      <c r="AU182" s="310"/>
      <c r="AV182" s="310"/>
      <c r="AW182" s="310"/>
      <c r="AX182" s="310"/>
      <c r="AY182" s="310"/>
      <c r="AZ182" s="310"/>
      <c r="BA182" s="310"/>
      <c r="BB182" s="310"/>
      <c r="BC182" s="310"/>
      <c r="BD182" s="310"/>
      <c r="BE182" s="310"/>
      <c r="BF182" s="310"/>
      <c r="BG182" s="310"/>
      <c r="BH182" s="310"/>
      <c r="BI182" s="310"/>
      <c r="BJ182" s="310"/>
      <c r="BK182" s="310"/>
      <c r="BL182" s="310"/>
      <c r="BM182" s="310"/>
      <c r="BN182" s="310"/>
      <c r="BO182" s="310"/>
      <c r="BP182" s="310"/>
      <c r="BQ182" s="310"/>
      <c r="BR182" s="310"/>
      <c r="BS182" s="310"/>
      <c r="BT182" s="310"/>
      <c r="BU182" s="310"/>
      <c r="BV182" s="310"/>
      <c r="BW182" s="310"/>
      <c r="BX182" s="310"/>
      <c r="BY182" s="310"/>
      <c r="BZ182" s="310"/>
      <c r="CA182" s="310"/>
      <c r="CB182" s="310"/>
      <c r="CC182" s="310"/>
      <c r="CD182" s="310"/>
      <c r="CE182" s="310"/>
      <c r="CF182" s="310"/>
      <c r="CG182" s="310"/>
      <c r="CH182" s="310"/>
      <c r="CI182" s="310"/>
      <c r="CJ182" s="310"/>
      <c r="CK182" s="310"/>
      <c r="CL182" s="310"/>
      <c r="CM182" s="310"/>
      <c r="CN182" s="310"/>
      <c r="CO182" s="310"/>
      <c r="CP182" s="310"/>
      <c r="CQ182" s="310"/>
      <c r="CR182" s="310"/>
      <c r="CS182" s="310"/>
      <c r="CT182" s="310"/>
      <c r="CU182" s="310"/>
      <c r="CV182" s="310"/>
      <c r="CW182" s="310"/>
      <c r="CX182" s="310"/>
      <c r="CY182" s="310"/>
      <c r="CZ182" s="310"/>
      <c r="DA182" s="310"/>
      <c r="DB182" s="310"/>
      <c r="DC182" s="310"/>
      <c r="DD182" s="310"/>
      <c r="DE182" s="310"/>
      <c r="DF182" s="310"/>
      <c r="DG182" s="310"/>
      <c r="DH182" s="310"/>
      <c r="DI182" s="311"/>
    </row>
    <row r="183" spans="1:113" s="4" customFormat="1" ht="12" customHeight="1">
      <c r="A183" s="5"/>
      <c r="B183" s="78" t="s">
        <v>239</v>
      </c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215"/>
      <c r="CZ183" s="80"/>
      <c r="DA183" s="80"/>
      <c r="DB183" s="80"/>
      <c r="DC183" s="80"/>
      <c r="DD183" s="215"/>
      <c r="DE183" s="80"/>
      <c r="DF183" s="80"/>
      <c r="DG183" s="80"/>
      <c r="DH183" s="80"/>
      <c r="DI183" s="215"/>
    </row>
    <row r="184" spans="1:113" ht="12" customHeight="1">
      <c r="A184" s="219"/>
      <c r="B184" s="449"/>
      <c r="C184" s="9"/>
      <c r="D184" s="41"/>
      <c r="E184" s="9"/>
      <c r="F184" s="41"/>
      <c r="G184" s="9"/>
      <c r="H184" s="41"/>
      <c r="I184" s="9"/>
      <c r="J184" s="41"/>
      <c r="K184" s="9"/>
      <c r="L184" s="41"/>
      <c r="M184" s="9"/>
      <c r="N184" s="41"/>
      <c r="O184" s="41"/>
      <c r="P184" s="9"/>
      <c r="Q184" s="41"/>
      <c r="R184" s="9"/>
      <c r="S184" s="9"/>
      <c r="T184" s="9"/>
      <c r="U184" s="9"/>
      <c r="V184" s="41"/>
      <c r="W184" s="9"/>
      <c r="X184" s="9"/>
      <c r="Y184" s="9"/>
      <c r="Z184" s="9"/>
      <c r="AA184" s="41"/>
      <c r="AB184" s="41"/>
      <c r="AC184" s="9"/>
      <c r="AD184" s="9"/>
      <c r="AE184" s="9"/>
      <c r="AF184" s="9"/>
      <c r="AG184" s="36"/>
      <c r="AH184" s="43"/>
      <c r="AI184" s="43"/>
      <c r="AJ184" s="43"/>
      <c r="AK184" s="43"/>
      <c r="AL184" s="36"/>
      <c r="AM184" s="43"/>
      <c r="AN184" s="43"/>
      <c r="AO184" s="43"/>
      <c r="AP184" s="43"/>
      <c r="AQ184" s="15"/>
      <c r="AR184" s="369"/>
      <c r="AS184" s="369"/>
      <c r="AT184" s="369"/>
      <c r="AU184" s="369"/>
      <c r="AV184" s="36"/>
      <c r="AW184" s="43"/>
      <c r="AX184" s="43"/>
      <c r="AY184" s="43"/>
      <c r="AZ184" s="43"/>
      <c r="BA184" s="36"/>
      <c r="BB184" s="43"/>
      <c r="BC184" s="43"/>
      <c r="BD184" s="43"/>
      <c r="BE184" s="43"/>
      <c r="BF184" s="36"/>
      <c r="BG184" s="43"/>
      <c r="BH184" s="43"/>
      <c r="BI184" s="43"/>
      <c r="BJ184" s="43"/>
      <c r="BK184" s="36"/>
      <c r="BL184" s="43"/>
      <c r="BM184" s="43"/>
      <c r="BN184" s="43"/>
      <c r="BO184" s="43"/>
      <c r="BP184" s="36"/>
      <c r="BQ184" s="43"/>
      <c r="BR184" s="43"/>
      <c r="BS184" s="43"/>
      <c r="BT184" s="43"/>
      <c r="BU184" s="36"/>
      <c r="BV184" s="49"/>
      <c r="BW184" s="49"/>
      <c r="BX184" s="49"/>
      <c r="BY184" s="49"/>
      <c r="BZ184" s="42"/>
      <c r="CA184" s="49"/>
      <c r="CB184" s="49"/>
      <c r="CC184" s="49"/>
      <c r="CD184" s="235"/>
      <c r="CE184" s="36"/>
      <c r="CF184" s="43"/>
      <c r="CG184" s="43"/>
      <c r="CH184" s="43"/>
      <c r="CI184" s="43"/>
      <c r="CJ184" s="36"/>
      <c r="CK184" s="43"/>
      <c r="CL184" s="43"/>
      <c r="CM184" s="43"/>
      <c r="CN184" s="43"/>
      <c r="CO184" s="36"/>
      <c r="CP184" s="43"/>
      <c r="CQ184" s="43"/>
      <c r="CR184" s="43"/>
      <c r="CS184" s="43"/>
      <c r="CT184" s="36"/>
      <c r="CU184" s="43"/>
      <c r="CV184" s="43"/>
      <c r="CW184" s="43"/>
      <c r="CX184" s="43"/>
      <c r="CY184" s="36"/>
      <c r="CZ184" s="43"/>
      <c r="DA184" s="43"/>
      <c r="DB184" s="43"/>
      <c r="DC184" s="43"/>
      <c r="DD184" s="36"/>
      <c r="DE184" s="43"/>
      <c r="DF184" s="43"/>
      <c r="DG184" s="43"/>
      <c r="DH184" s="43"/>
      <c r="DI184" s="36"/>
    </row>
    <row r="185" spans="1:113" s="7" customFormat="1" ht="12" customHeight="1">
      <c r="A185" s="239"/>
      <c r="B185" s="450" t="s">
        <v>38</v>
      </c>
      <c r="C185" s="43">
        <v>262.11700000000002</v>
      </c>
      <c r="D185" s="36">
        <v>445.42099999999999</v>
      </c>
      <c r="E185" s="43">
        <v>108.62100000000152</v>
      </c>
      <c r="F185" s="36">
        <v>198.1</v>
      </c>
      <c r="G185" s="43">
        <v>254.3</v>
      </c>
      <c r="H185" s="36">
        <v>304</v>
      </c>
      <c r="I185" s="43">
        <v>575.5</v>
      </c>
      <c r="J185" s="36">
        <v>634</v>
      </c>
      <c r="K185" s="43">
        <v>828</v>
      </c>
      <c r="L185" s="36">
        <v>1388.1</v>
      </c>
      <c r="M185" s="43">
        <v>954.2</v>
      </c>
      <c r="N185" s="36">
        <v>1856.7</v>
      </c>
      <c r="O185" s="36">
        <v>2133.9</v>
      </c>
      <c r="P185" s="43">
        <v>2291.1</v>
      </c>
      <c r="Q185" s="36">
        <v>3079</v>
      </c>
      <c r="R185" s="43">
        <v>2010</v>
      </c>
      <c r="S185" s="43">
        <v>1768</v>
      </c>
      <c r="T185" s="43">
        <v>2132</v>
      </c>
      <c r="U185" s="43">
        <v>1955</v>
      </c>
      <c r="V185" s="36">
        <v>1955</v>
      </c>
      <c r="W185" s="43">
        <v>1608</v>
      </c>
      <c r="X185" s="43">
        <v>1929</v>
      </c>
      <c r="Y185" s="43">
        <v>2021</v>
      </c>
      <c r="Z185" s="43">
        <v>2317</v>
      </c>
      <c r="AA185" s="36">
        <v>2317</v>
      </c>
      <c r="AB185" s="36">
        <v>2317</v>
      </c>
      <c r="AC185" s="43">
        <v>2165</v>
      </c>
      <c r="AD185" s="43">
        <v>2291</v>
      </c>
      <c r="AE185" s="43">
        <v>2557</v>
      </c>
      <c r="AF185" s="43">
        <v>3337</v>
      </c>
      <c r="AG185" s="36">
        <v>3337</v>
      </c>
      <c r="AH185" s="43">
        <v>2936</v>
      </c>
      <c r="AI185" s="43">
        <v>2086</v>
      </c>
      <c r="AJ185" s="43">
        <v>1864</v>
      </c>
      <c r="AK185" s="43">
        <v>2220</v>
      </c>
      <c r="AL185" s="36">
        <v>2220</v>
      </c>
      <c r="AM185" s="43">
        <v>2303</v>
      </c>
      <c r="AN185" s="43">
        <v>2273</v>
      </c>
      <c r="AO185" s="43">
        <v>3015</v>
      </c>
      <c r="AP185" s="43">
        <v>3852</v>
      </c>
      <c r="AQ185" s="36">
        <v>3852</v>
      </c>
      <c r="AR185" s="43">
        <v>3246</v>
      </c>
      <c r="AS185" s="43">
        <v>3851</v>
      </c>
      <c r="AT185" s="43">
        <v>3044</v>
      </c>
      <c r="AU185" s="43">
        <v>3138</v>
      </c>
      <c r="AV185" s="36">
        <v>3138</v>
      </c>
      <c r="AW185" s="43">
        <v>2659</v>
      </c>
      <c r="AX185" s="43">
        <v>4339</v>
      </c>
      <c r="AY185" s="43">
        <v>4021</v>
      </c>
      <c r="AZ185" s="43">
        <v>3808</v>
      </c>
      <c r="BA185" s="36">
        <v>3808</v>
      </c>
      <c r="BB185" s="43">
        <v>3413</v>
      </c>
      <c r="BC185" s="43">
        <v>4304</v>
      </c>
      <c r="BD185" s="43">
        <v>3662</v>
      </c>
      <c r="BE185" s="43">
        <v>4249</v>
      </c>
      <c r="BF185" s="36">
        <f t="shared" ref="BF185:BF190" si="525">+BE185</f>
        <v>4249</v>
      </c>
      <c r="BG185" s="43">
        <v>3282</v>
      </c>
      <c r="BH185" s="43">
        <v>3423</v>
      </c>
      <c r="BI185" s="43">
        <v>3695</v>
      </c>
      <c r="BJ185" s="43">
        <v>4466</v>
      </c>
      <c r="BK185" s="36">
        <f t="shared" ref="BK185:BK190" si="526">+BJ185</f>
        <v>4466</v>
      </c>
      <c r="BL185" s="43">
        <v>3446</v>
      </c>
      <c r="BM185" s="43">
        <v>3070</v>
      </c>
      <c r="BN185" s="43">
        <v>2863</v>
      </c>
      <c r="BO185" s="43">
        <v>8348</v>
      </c>
      <c r="BP185" s="36">
        <f>+BO185</f>
        <v>8348</v>
      </c>
      <c r="BQ185" s="43">
        <v>8148</v>
      </c>
      <c r="BR185" s="43">
        <v>8635</v>
      </c>
      <c r="BS185" s="43">
        <v>8516</v>
      </c>
      <c r="BT185" s="43">
        <v>9889</v>
      </c>
      <c r="BU185" s="36">
        <f>+BT185</f>
        <v>9889</v>
      </c>
      <c r="BV185" s="43">
        <v>10720</v>
      </c>
      <c r="BW185" s="43">
        <v>10751</v>
      </c>
      <c r="BX185" s="43">
        <v>8704</v>
      </c>
      <c r="BY185" s="43">
        <v>8574</v>
      </c>
      <c r="BZ185" s="36">
        <f>+BY185</f>
        <v>8574</v>
      </c>
      <c r="CA185" s="43">
        <v>7226</v>
      </c>
      <c r="CB185" s="43">
        <v>6490</v>
      </c>
      <c r="CC185" s="43">
        <v>6955</v>
      </c>
      <c r="CD185" s="43">
        <v>7441</v>
      </c>
      <c r="CE185" s="36">
        <f>+CD185</f>
        <v>7441</v>
      </c>
      <c r="CF185" s="43">
        <v>6178</v>
      </c>
      <c r="CG185" s="43">
        <v>7919</v>
      </c>
      <c r="CH185" s="43">
        <v>8960</v>
      </c>
      <c r="CI185" s="43">
        <v>9860</v>
      </c>
      <c r="CJ185" s="36">
        <f>+CI185</f>
        <v>9860</v>
      </c>
      <c r="CK185" s="43">
        <v>8485</v>
      </c>
      <c r="CL185" s="9">
        <v>7979</v>
      </c>
      <c r="CM185" s="43">
        <v>8601</v>
      </c>
      <c r="CN185" s="43">
        <v>7464</v>
      </c>
      <c r="CO185" s="36">
        <f>+CN185</f>
        <v>7464</v>
      </c>
      <c r="CP185" s="43">
        <v>7024</v>
      </c>
      <c r="CQ185" s="43">
        <v>6974</v>
      </c>
      <c r="CR185" s="43">
        <v>6660</v>
      </c>
      <c r="CS185" s="43">
        <v>7563</v>
      </c>
      <c r="CT185" s="36">
        <f>+CS185</f>
        <v>7563</v>
      </c>
      <c r="CU185" s="43">
        <v>6903</v>
      </c>
      <c r="CV185" s="43">
        <f>+CU185+'2. Consolidated'!CV138</f>
        <v>7223.167379018716</v>
      </c>
      <c r="CW185" s="43">
        <f>+CV185+'2. Consolidated'!CW138</f>
        <v>7333.9166000844498</v>
      </c>
      <c r="CX185" s="43">
        <f>+CW185+'2. Consolidated'!CX138</f>
        <v>7163.2054911608939</v>
      </c>
      <c r="CY185" s="36">
        <f>+CX185</f>
        <v>7163.2054911608939</v>
      </c>
      <c r="CZ185" s="43">
        <f>+CY185+'2. Consolidated'!CZ138</f>
        <v>7594.5905559875155</v>
      </c>
      <c r="DA185" s="43">
        <f>+CZ185+'2. Consolidated'!DA138</f>
        <v>7634.4065831117759</v>
      </c>
      <c r="DB185" s="43">
        <f>+DA185+'2. Consolidated'!DB138</f>
        <v>7581.4387390015581</v>
      </c>
      <c r="DC185" s="43">
        <f>+DB185+'2. Consolidated'!DC138</f>
        <v>7387.072421635793</v>
      </c>
      <c r="DD185" s="36">
        <f>+DC185</f>
        <v>7387.072421635793</v>
      </c>
      <c r="DE185" s="43">
        <f>+DD185+'2. Consolidated'!DE138</f>
        <v>7399.9843078431386</v>
      </c>
      <c r="DF185" s="43">
        <f>+DE185+'2. Consolidated'!DF138</f>
        <v>7089.0064614100593</v>
      </c>
      <c r="DG185" s="43">
        <f>+DF185+'2. Consolidated'!DG138</f>
        <v>6728.3234318999184</v>
      </c>
      <c r="DH185" s="43">
        <f>+DG185+'2. Consolidated'!DH138</f>
        <v>6221.961004556556</v>
      </c>
      <c r="DI185" s="36">
        <f>+DH185</f>
        <v>6221.961004556556</v>
      </c>
    </row>
    <row r="186" spans="1:113" s="7" customFormat="1" ht="12" customHeight="1">
      <c r="A186" s="239"/>
      <c r="B186" s="450" t="s">
        <v>76</v>
      </c>
      <c r="C186" s="43">
        <v>0</v>
      </c>
      <c r="D186" s="36">
        <v>0</v>
      </c>
      <c r="E186" s="43">
        <v>0</v>
      </c>
      <c r="F186" s="36">
        <v>0</v>
      </c>
      <c r="G186" s="43">
        <v>0</v>
      </c>
      <c r="H186" s="36">
        <v>0</v>
      </c>
      <c r="I186" s="43">
        <v>0</v>
      </c>
      <c r="J186" s="36">
        <v>0</v>
      </c>
      <c r="K186" s="43">
        <v>400.8</v>
      </c>
      <c r="L186" s="36">
        <v>436.6</v>
      </c>
      <c r="M186" s="43">
        <v>1348.8</v>
      </c>
      <c r="N186" s="36">
        <v>990.3</v>
      </c>
      <c r="O186" s="36">
        <v>642.20000000000005</v>
      </c>
      <c r="P186" s="43">
        <v>1164</v>
      </c>
      <c r="Q186" s="36">
        <v>2067</v>
      </c>
      <c r="R186" s="43">
        <v>2678</v>
      </c>
      <c r="S186" s="43">
        <v>3021</v>
      </c>
      <c r="T186" s="43">
        <v>2333</v>
      </c>
      <c r="U186" s="43">
        <v>2583</v>
      </c>
      <c r="V186" s="36">
        <v>2583</v>
      </c>
      <c r="W186" s="43">
        <v>2092</v>
      </c>
      <c r="X186" s="43">
        <v>1436</v>
      </c>
      <c r="Y186" s="43">
        <v>1176</v>
      </c>
      <c r="Z186" s="43">
        <v>1440</v>
      </c>
      <c r="AA186" s="36">
        <v>1440</v>
      </c>
      <c r="AB186" s="36">
        <v>1440</v>
      </c>
      <c r="AC186" s="43">
        <v>1102</v>
      </c>
      <c r="AD186" s="43">
        <v>1234</v>
      </c>
      <c r="AE186" s="43">
        <v>1485</v>
      </c>
      <c r="AF186" s="43">
        <v>2628</v>
      </c>
      <c r="AG186" s="36">
        <v>2628</v>
      </c>
      <c r="AH186" s="43">
        <v>2642</v>
      </c>
      <c r="AI186" s="43">
        <v>3101</v>
      </c>
      <c r="AJ186" s="43">
        <v>3165</v>
      </c>
      <c r="AK186" s="43">
        <v>2922</v>
      </c>
      <c r="AL186" s="36">
        <v>2922</v>
      </c>
      <c r="AM186" s="43">
        <v>2276</v>
      </c>
      <c r="AN186" s="43">
        <v>2440</v>
      </c>
      <c r="AO186" s="43">
        <v>2346</v>
      </c>
      <c r="AP186" s="43">
        <v>2072</v>
      </c>
      <c r="AQ186" s="36">
        <v>2072</v>
      </c>
      <c r="AR186" s="43">
        <v>2162</v>
      </c>
      <c r="AS186" s="43">
        <v>2265</v>
      </c>
      <c r="AT186" s="43">
        <v>2062</v>
      </c>
      <c r="AU186" s="43">
        <v>2319</v>
      </c>
      <c r="AV186" s="36">
        <v>2319</v>
      </c>
      <c r="AW186" s="43">
        <v>2128</v>
      </c>
      <c r="AX186" s="43">
        <v>1604</v>
      </c>
      <c r="AY186" s="43">
        <v>2139</v>
      </c>
      <c r="AZ186" s="43">
        <v>2371</v>
      </c>
      <c r="BA186" s="36">
        <v>2371</v>
      </c>
      <c r="BB186" s="43">
        <v>2106</v>
      </c>
      <c r="BC186" s="43">
        <v>2085</v>
      </c>
      <c r="BD186" s="43">
        <v>1089</v>
      </c>
      <c r="BE186" s="43">
        <v>996</v>
      </c>
      <c r="BF186" s="36">
        <f t="shared" si="525"/>
        <v>996</v>
      </c>
      <c r="BG186" s="43">
        <v>987</v>
      </c>
      <c r="BH186" s="43">
        <v>618</v>
      </c>
      <c r="BI186" s="43">
        <v>351</v>
      </c>
      <c r="BJ186" s="43">
        <v>197</v>
      </c>
      <c r="BK186" s="36">
        <f t="shared" si="526"/>
        <v>197</v>
      </c>
      <c r="BL186" s="43">
        <v>198</v>
      </c>
      <c r="BM186" s="43">
        <v>432</v>
      </c>
      <c r="BN186" s="43">
        <v>319</v>
      </c>
      <c r="BO186" s="43">
        <v>439</v>
      </c>
      <c r="BP186" s="36">
        <f>BO186</f>
        <v>439</v>
      </c>
      <c r="BQ186" s="43">
        <v>1332</v>
      </c>
      <c r="BR186" s="43">
        <v>3177</v>
      </c>
      <c r="BS186" s="43">
        <v>4012</v>
      </c>
      <c r="BT186" s="43">
        <v>3587</v>
      </c>
      <c r="BU186" s="36">
        <f>BT186</f>
        <v>3587</v>
      </c>
      <c r="BV186" s="43">
        <v>2975</v>
      </c>
      <c r="BW186" s="43">
        <v>4352</v>
      </c>
      <c r="BX186" s="43">
        <v>4763</v>
      </c>
      <c r="BY186" s="43">
        <v>4423</v>
      </c>
      <c r="BZ186" s="36">
        <f>BY186</f>
        <v>4423</v>
      </c>
      <c r="CA186" s="43">
        <v>4650</v>
      </c>
      <c r="CB186" s="43">
        <v>4131</v>
      </c>
      <c r="CC186" s="43">
        <v>3847</v>
      </c>
      <c r="CD186" s="43">
        <v>3234</v>
      </c>
      <c r="CE186" s="36">
        <f>CD186</f>
        <v>3234</v>
      </c>
      <c r="CF186" s="43">
        <v>2612</v>
      </c>
      <c r="CG186" s="43">
        <v>2008</v>
      </c>
      <c r="CH186" s="43">
        <v>1613</v>
      </c>
      <c r="CI186" s="43">
        <v>1722</v>
      </c>
      <c r="CJ186" s="36">
        <f>CI186</f>
        <v>1722</v>
      </c>
      <c r="CK186" s="43">
        <v>1809</v>
      </c>
      <c r="CL186" s="43">
        <v>1782</v>
      </c>
      <c r="CM186" s="43">
        <v>1792</v>
      </c>
      <c r="CN186" s="43">
        <v>1687</v>
      </c>
      <c r="CO186" s="36">
        <f>CN186</f>
        <v>1687</v>
      </c>
      <c r="CP186" s="43">
        <v>1551</v>
      </c>
      <c r="CQ186" s="43">
        <v>1371</v>
      </c>
      <c r="CR186" s="43">
        <v>1397</v>
      </c>
      <c r="CS186" s="43">
        <v>1464</v>
      </c>
      <c r="CT186" s="36">
        <f>CS186</f>
        <v>1464</v>
      </c>
      <c r="CU186" s="43">
        <v>1465</v>
      </c>
      <c r="CV186" s="43">
        <f>CU186</f>
        <v>1465</v>
      </c>
      <c r="CW186" s="43">
        <f>+CV186</f>
        <v>1465</v>
      </c>
      <c r="CX186" s="43">
        <f>+CW186</f>
        <v>1465</v>
      </c>
      <c r="CY186" s="36">
        <f>CX186</f>
        <v>1465</v>
      </c>
      <c r="CZ186" s="43">
        <f>CX186</f>
        <v>1465</v>
      </c>
      <c r="DA186" s="43">
        <f>CZ186</f>
        <v>1465</v>
      </c>
      <c r="DB186" s="43">
        <f>+DA186</f>
        <v>1465</v>
      </c>
      <c r="DC186" s="43">
        <f>+DB186</f>
        <v>1465</v>
      </c>
      <c r="DD186" s="36">
        <f>DC186</f>
        <v>1465</v>
      </c>
      <c r="DE186" s="43">
        <f>DC186</f>
        <v>1465</v>
      </c>
      <c r="DF186" s="43">
        <f>DE186</f>
        <v>1465</v>
      </c>
      <c r="DG186" s="43">
        <f>+DF186</f>
        <v>1465</v>
      </c>
      <c r="DH186" s="43">
        <f>+DG186</f>
        <v>1465</v>
      </c>
      <c r="DI186" s="36">
        <f>DH186</f>
        <v>1465</v>
      </c>
    </row>
    <row r="187" spans="1:113" s="7" customFormat="1" ht="12" customHeight="1">
      <c r="A187" s="239"/>
      <c r="B187" s="450" t="s">
        <v>19</v>
      </c>
      <c r="C187" s="43">
        <v>1346.125</v>
      </c>
      <c r="D187" s="36">
        <v>1754.1369999999999</v>
      </c>
      <c r="E187" s="43">
        <v>1674.4</v>
      </c>
      <c r="F187" s="36">
        <v>1540.1</v>
      </c>
      <c r="G187" s="43">
        <v>1567.2</v>
      </c>
      <c r="H187" s="36">
        <v>1621.4</v>
      </c>
      <c r="I187" s="43">
        <v>1807.1</v>
      </c>
      <c r="J187" s="36">
        <v>2101.1</v>
      </c>
      <c r="K187" s="43">
        <v>2120.1999999999998</v>
      </c>
      <c r="L187" s="36">
        <v>2262.1</v>
      </c>
      <c r="M187" s="43">
        <v>2395.9</v>
      </c>
      <c r="N187" s="36">
        <v>2494.6999999999998</v>
      </c>
      <c r="O187" s="36">
        <v>2795.3</v>
      </c>
      <c r="P187" s="43">
        <v>2883.9</v>
      </c>
      <c r="Q187" s="36">
        <v>2650</v>
      </c>
      <c r="R187" s="43">
        <v>2791</v>
      </c>
      <c r="S187" s="43">
        <v>2792</v>
      </c>
      <c r="T187" s="43">
        <v>2985</v>
      </c>
      <c r="U187" s="43">
        <v>3138</v>
      </c>
      <c r="V187" s="36">
        <v>3138</v>
      </c>
      <c r="W187" s="43">
        <v>3279</v>
      </c>
      <c r="X187" s="43">
        <v>3103</v>
      </c>
      <c r="Y187" s="43">
        <v>3296</v>
      </c>
      <c r="Z187" s="43">
        <v>3132</v>
      </c>
      <c r="AA187" s="36">
        <v>3280</v>
      </c>
      <c r="AB187" s="36">
        <v>3132</v>
      </c>
      <c r="AC187" s="43">
        <v>3431</v>
      </c>
      <c r="AD187" s="43">
        <v>3188</v>
      </c>
      <c r="AE187" s="43">
        <v>3232</v>
      </c>
      <c r="AF187" s="43">
        <v>3117</v>
      </c>
      <c r="AG187" s="36">
        <v>3117</v>
      </c>
      <c r="AH187" s="43">
        <v>3207</v>
      </c>
      <c r="AI187" s="43">
        <v>3208</v>
      </c>
      <c r="AJ187" s="43">
        <v>3355</v>
      </c>
      <c r="AK187" s="43">
        <v>3434</v>
      </c>
      <c r="AL187" s="36">
        <v>3434</v>
      </c>
      <c r="AM187" s="43">
        <v>3587</v>
      </c>
      <c r="AN187" s="43">
        <v>3457</v>
      </c>
      <c r="AO187" s="43">
        <v>3294</v>
      </c>
      <c r="AP187" s="43">
        <v>3358</v>
      </c>
      <c r="AQ187" s="36">
        <v>3358</v>
      </c>
      <c r="AR187" s="43">
        <v>3288</v>
      </c>
      <c r="AS187" s="43">
        <v>3437</v>
      </c>
      <c r="AT187" s="43">
        <v>3368</v>
      </c>
      <c r="AU187" s="43">
        <v>3241</v>
      </c>
      <c r="AV187" s="36">
        <v>3241</v>
      </c>
      <c r="AW187" s="43">
        <v>3526</v>
      </c>
      <c r="AX187" s="43">
        <v>3478</v>
      </c>
      <c r="AY187" s="43">
        <v>3752</v>
      </c>
      <c r="AZ187" s="43">
        <v>3677</v>
      </c>
      <c r="BA187" s="36">
        <v>3677</v>
      </c>
      <c r="BB187" s="43">
        <v>3871</v>
      </c>
      <c r="BC187" s="43">
        <v>3613</v>
      </c>
      <c r="BD187" s="43">
        <v>3792</v>
      </c>
      <c r="BE187" s="43">
        <v>3498</v>
      </c>
      <c r="BF187" s="36">
        <f t="shared" si="525"/>
        <v>3498</v>
      </c>
      <c r="BG187" s="43">
        <v>4330</v>
      </c>
      <c r="BH187" s="43">
        <v>4346</v>
      </c>
      <c r="BI187" s="43">
        <v>4549</v>
      </c>
      <c r="BJ187" s="43">
        <v>4272</v>
      </c>
      <c r="BK187" s="36">
        <f t="shared" si="526"/>
        <v>4272</v>
      </c>
      <c r="BL187" s="43">
        <v>4656</v>
      </c>
      <c r="BM187" s="43">
        <v>4792</v>
      </c>
      <c r="BN187" s="43">
        <v>4473</v>
      </c>
      <c r="BO187" s="43">
        <v>2749</v>
      </c>
      <c r="BP187" s="36">
        <f>+BO187</f>
        <v>2749</v>
      </c>
      <c r="BQ187" s="43">
        <v>3813</v>
      </c>
      <c r="BR187" s="43">
        <v>3713</v>
      </c>
      <c r="BS187" s="43">
        <v>3669</v>
      </c>
      <c r="BT187" s="43">
        <v>4463</v>
      </c>
      <c r="BU187" s="36">
        <f>+BT187</f>
        <v>4463</v>
      </c>
      <c r="BV187" s="43">
        <v>4341</v>
      </c>
      <c r="BW187" s="43">
        <v>3746</v>
      </c>
      <c r="BX187" s="43">
        <v>3827</v>
      </c>
      <c r="BY187" s="43">
        <v>4667</v>
      </c>
      <c r="BZ187" s="36">
        <f>+BY187</f>
        <v>4667</v>
      </c>
      <c r="CA187" s="43">
        <v>4960</v>
      </c>
      <c r="CB187" s="43">
        <v>5437</v>
      </c>
      <c r="CC187" s="43">
        <v>4513</v>
      </c>
      <c r="CD187" s="43">
        <v>4131</v>
      </c>
      <c r="CE187" s="36">
        <f>+CD187</f>
        <v>4131</v>
      </c>
      <c r="CF187" s="43">
        <v>4749</v>
      </c>
      <c r="CG187" s="43">
        <v>4782</v>
      </c>
      <c r="CH187" s="43">
        <v>4526</v>
      </c>
      <c r="CI187" s="43">
        <v>4427</v>
      </c>
      <c r="CJ187" s="36">
        <f>+CI187</f>
        <v>4427</v>
      </c>
      <c r="CK187" s="43">
        <v>4764</v>
      </c>
      <c r="CL187" s="43">
        <v>5302</v>
      </c>
      <c r="CM187" s="43">
        <v>4491</v>
      </c>
      <c r="CN187" s="43">
        <v>4717</v>
      </c>
      <c r="CO187" s="36">
        <f>+CN187</f>
        <v>4717</v>
      </c>
      <c r="CP187" s="43">
        <v>4962</v>
      </c>
      <c r="CQ187" s="43">
        <v>5738</v>
      </c>
      <c r="CR187" s="43">
        <v>5369</v>
      </c>
      <c r="CS187" s="43">
        <v>5931</v>
      </c>
      <c r="CT187" s="36">
        <f>+CS187</f>
        <v>5931</v>
      </c>
      <c r="CU187" s="43">
        <v>5242</v>
      </c>
      <c r="CV187" s="43">
        <f t="shared" ref="CV187:CX188" si="527">+CV222*CV228</f>
        <v>5470.1902259523149</v>
      </c>
      <c r="CW187" s="43">
        <f t="shared" si="527"/>
        <v>5005.0211012692644</v>
      </c>
      <c r="CX187" s="43">
        <f t="shared" si="527"/>
        <v>5404.3996686952032</v>
      </c>
      <c r="CY187" s="36">
        <f>+CX187</f>
        <v>5404.3996686952032</v>
      </c>
      <c r="CZ187" s="43">
        <f t="shared" ref="CZ187:DC188" si="528">+CZ222*CZ228</f>
        <v>4728.2811820152092</v>
      </c>
      <c r="DA187" s="43">
        <f t="shared" si="528"/>
        <v>5042.5475126359024</v>
      </c>
      <c r="DB187" s="43">
        <f t="shared" si="528"/>
        <v>4684.9043036984967</v>
      </c>
      <c r="DC187" s="43">
        <f t="shared" si="528"/>
        <v>5156.8408890737865</v>
      </c>
      <c r="DD187" s="36">
        <f>+DC187</f>
        <v>5156.8408890737865</v>
      </c>
      <c r="DE187" s="43">
        <f t="shared" ref="DE187:DH187" si="529">+DE222*DE228</f>
        <v>4608.7932956372879</v>
      </c>
      <c r="DF187" s="43">
        <f t="shared" si="529"/>
        <v>4979.8465129075648</v>
      </c>
      <c r="DG187" s="43">
        <f t="shared" si="529"/>
        <v>4666.5686895684194</v>
      </c>
      <c r="DH187" s="43">
        <f t="shared" si="529"/>
        <v>5177.7220286523834</v>
      </c>
      <c r="DI187" s="36">
        <f>+DH187</f>
        <v>5177.7220286523834</v>
      </c>
    </row>
    <row r="188" spans="1:113" s="7" customFormat="1" ht="12" customHeight="1">
      <c r="A188" s="239"/>
      <c r="B188" s="450" t="s">
        <v>39</v>
      </c>
      <c r="C188" s="43">
        <v>931.15099999999995</v>
      </c>
      <c r="D188" s="36">
        <v>1338.64</v>
      </c>
      <c r="E188" s="43">
        <v>1396.6</v>
      </c>
      <c r="F188" s="36">
        <v>1199.3</v>
      </c>
      <c r="G188" s="43">
        <v>1446</v>
      </c>
      <c r="H188" s="36">
        <v>1424.1</v>
      </c>
      <c r="I188" s="43">
        <v>1373.8</v>
      </c>
      <c r="J188" s="36">
        <v>1514.9</v>
      </c>
      <c r="K188" s="43">
        <v>1633.6</v>
      </c>
      <c r="L188" s="36">
        <v>1811.1</v>
      </c>
      <c r="M188" s="43">
        <v>2076.6999999999998</v>
      </c>
      <c r="N188" s="36">
        <v>2121.9</v>
      </c>
      <c r="O188" s="36">
        <v>2438.4</v>
      </c>
      <c r="P188" s="43">
        <v>2357</v>
      </c>
      <c r="Q188" s="36">
        <v>2041</v>
      </c>
      <c r="R188" s="43">
        <v>2210</v>
      </c>
      <c r="S188" s="43">
        <v>2348</v>
      </c>
      <c r="T188" s="43">
        <v>2536</v>
      </c>
      <c r="U188" s="43">
        <v>2715</v>
      </c>
      <c r="V188" s="36">
        <v>2715</v>
      </c>
      <c r="W188" s="43">
        <v>3107</v>
      </c>
      <c r="X188" s="43">
        <v>3164</v>
      </c>
      <c r="Y188" s="43">
        <v>3356</v>
      </c>
      <c r="Z188" s="43">
        <v>3222</v>
      </c>
      <c r="AA188" s="36">
        <v>3350</v>
      </c>
      <c r="AB188" s="36">
        <v>3222</v>
      </c>
      <c r="AC188" s="43">
        <v>3411</v>
      </c>
      <c r="AD188" s="43">
        <v>3318</v>
      </c>
      <c r="AE188" s="43">
        <v>3329</v>
      </c>
      <c r="AF188" s="43">
        <v>3434</v>
      </c>
      <c r="AG188" s="36">
        <v>3434</v>
      </c>
      <c r="AH188" s="43">
        <v>3472</v>
      </c>
      <c r="AI188" s="43">
        <v>3695</v>
      </c>
      <c r="AJ188" s="43">
        <v>3825</v>
      </c>
      <c r="AK188" s="43">
        <v>3947</v>
      </c>
      <c r="AL188" s="36">
        <v>3947</v>
      </c>
      <c r="AM188" s="43">
        <v>4030</v>
      </c>
      <c r="AN188" s="43">
        <v>4150</v>
      </c>
      <c r="AO188" s="43">
        <v>4246</v>
      </c>
      <c r="AP188" s="43">
        <v>4337</v>
      </c>
      <c r="AQ188" s="36">
        <v>4337</v>
      </c>
      <c r="AR188" s="43">
        <v>4414</v>
      </c>
      <c r="AS188" s="43">
        <v>4600</v>
      </c>
      <c r="AT188" s="43">
        <v>4590</v>
      </c>
      <c r="AU188" s="43">
        <v>4838</v>
      </c>
      <c r="AV188" s="36">
        <v>4838</v>
      </c>
      <c r="AW188" s="43">
        <v>4896</v>
      </c>
      <c r="AX188" s="43">
        <v>5033</v>
      </c>
      <c r="AY188" s="43">
        <v>4932</v>
      </c>
      <c r="AZ188" s="43">
        <v>5055</v>
      </c>
      <c r="BA188" s="36">
        <v>5055</v>
      </c>
      <c r="BB188" s="43">
        <v>5211</v>
      </c>
      <c r="BC188" s="43">
        <v>5326</v>
      </c>
      <c r="BD188" s="43">
        <v>5366</v>
      </c>
      <c r="BE188" s="43">
        <v>5261</v>
      </c>
      <c r="BF188" s="36">
        <f t="shared" si="525"/>
        <v>5261</v>
      </c>
      <c r="BG188" s="43">
        <v>5227</v>
      </c>
      <c r="BH188" s="43">
        <v>5388</v>
      </c>
      <c r="BI188" s="43">
        <v>5415</v>
      </c>
      <c r="BJ188" s="43">
        <v>5622</v>
      </c>
      <c r="BK188" s="36">
        <f t="shared" si="526"/>
        <v>5622</v>
      </c>
      <c r="BL188" s="43">
        <v>5835</v>
      </c>
      <c r="BM188" s="43">
        <v>6199</v>
      </c>
      <c r="BN188" s="43">
        <v>5807</v>
      </c>
      <c r="BO188" s="43">
        <v>7367</v>
      </c>
      <c r="BP188" s="36">
        <f>BO188</f>
        <v>7367</v>
      </c>
      <c r="BQ188" s="43">
        <v>6705</v>
      </c>
      <c r="BR188" s="43">
        <v>6090</v>
      </c>
      <c r="BS188" s="43">
        <v>6693</v>
      </c>
      <c r="BT188" s="43">
        <v>6854</v>
      </c>
      <c r="BU188" s="36">
        <f>BT188</f>
        <v>6854</v>
      </c>
      <c r="BV188" s="43">
        <v>6699</v>
      </c>
      <c r="BW188" s="43">
        <v>6506</v>
      </c>
      <c r="BX188" s="43">
        <v>7700</v>
      </c>
      <c r="BY188" s="43">
        <v>8420</v>
      </c>
      <c r="BZ188" s="36">
        <f>BY188</f>
        <v>8420</v>
      </c>
      <c r="CA188" s="43">
        <v>9662</v>
      </c>
      <c r="CB188" s="43">
        <v>9326</v>
      </c>
      <c r="CC188" s="43">
        <v>8905</v>
      </c>
      <c r="CD188" s="43">
        <v>8454</v>
      </c>
      <c r="CE188" s="36">
        <f>CD188</f>
        <v>8454</v>
      </c>
      <c r="CF188" s="43">
        <v>8698</v>
      </c>
      <c r="CG188" s="43">
        <v>7979</v>
      </c>
      <c r="CH188" s="43">
        <v>7726</v>
      </c>
      <c r="CI188" s="43">
        <v>7519</v>
      </c>
      <c r="CJ188" s="36">
        <f>CI188</f>
        <v>7519</v>
      </c>
      <c r="CK188" s="43">
        <v>8253</v>
      </c>
      <c r="CL188" s="43">
        <v>7981</v>
      </c>
      <c r="CM188" s="43">
        <v>7539</v>
      </c>
      <c r="CN188" s="43">
        <v>7489</v>
      </c>
      <c r="CO188" s="36">
        <f>CN188</f>
        <v>7489</v>
      </c>
      <c r="CP188" s="43">
        <v>8114</v>
      </c>
      <c r="CQ188" s="43">
        <v>7726</v>
      </c>
      <c r="CR188" s="43">
        <v>7487</v>
      </c>
      <c r="CS188" s="43">
        <v>7501</v>
      </c>
      <c r="CT188" s="36">
        <f>CS188</f>
        <v>7501</v>
      </c>
      <c r="CU188" s="43">
        <v>7846</v>
      </c>
      <c r="CV188" s="43">
        <f t="shared" si="527"/>
        <v>7233.3183428034563</v>
      </c>
      <c r="CW188" s="43">
        <f t="shared" si="527"/>
        <v>6827.7373159141325</v>
      </c>
      <c r="CX188" s="43">
        <f t="shared" si="527"/>
        <v>7202.768607480607</v>
      </c>
      <c r="CY188" s="36">
        <f>CX188</f>
        <v>7202.768607480607</v>
      </c>
      <c r="CZ188" s="43">
        <f t="shared" si="528"/>
        <v>7492.1065143456453</v>
      </c>
      <c r="DA188" s="43">
        <f t="shared" si="528"/>
        <v>7087.0892532744865</v>
      </c>
      <c r="DB188" s="43">
        <f t="shared" si="528"/>
        <v>6790.339476647594</v>
      </c>
      <c r="DC188" s="43">
        <f t="shared" si="528"/>
        <v>7017.9851826732183</v>
      </c>
      <c r="DD188" s="36">
        <f>DC188</f>
        <v>7017.9851826732183</v>
      </c>
      <c r="DE188" s="43">
        <f t="shared" ref="DE188:DH188" si="530">+DE223*DE229</f>
        <v>7417.8264673105432</v>
      </c>
      <c r="DF188" s="43">
        <f t="shared" si="530"/>
        <v>7095.9725928259977</v>
      </c>
      <c r="DG188" s="43">
        <f t="shared" si="530"/>
        <v>6852.6044007545734</v>
      </c>
      <c r="DH188" s="43">
        <f t="shared" si="530"/>
        <v>7124.5873046176557</v>
      </c>
      <c r="DI188" s="36">
        <f>DH188</f>
        <v>7124.5873046176557</v>
      </c>
    </row>
    <row r="189" spans="1:113" s="7" customFormat="1" ht="12" customHeight="1">
      <c r="A189" s="239"/>
      <c r="B189" s="450" t="s">
        <v>77</v>
      </c>
      <c r="C189" s="43">
        <v>93.12</v>
      </c>
      <c r="D189" s="36">
        <v>135.66300000000001</v>
      </c>
      <c r="E189" s="43">
        <v>156.80000000000001</v>
      </c>
      <c r="F189" s="36">
        <v>120.6</v>
      </c>
      <c r="G189" s="43">
        <v>111.5</v>
      </c>
      <c r="H189" s="36">
        <v>113.3</v>
      </c>
      <c r="I189" s="43">
        <v>140.80000000000001</v>
      </c>
      <c r="J189" s="36">
        <v>221.8</v>
      </c>
      <c r="K189" s="43">
        <v>165</v>
      </c>
      <c r="L189" s="36">
        <v>110.2</v>
      </c>
      <c r="M189" s="43">
        <v>203.3</v>
      </c>
      <c r="N189" s="36">
        <v>219.7</v>
      </c>
      <c r="O189" s="36">
        <v>227.2</v>
      </c>
      <c r="P189" s="43">
        <v>272.39999999999998</v>
      </c>
      <c r="Q189" s="36">
        <v>249</v>
      </c>
      <c r="R189" s="43">
        <v>259</v>
      </c>
      <c r="S189" s="43">
        <v>267</v>
      </c>
      <c r="T189" s="43">
        <v>286</v>
      </c>
      <c r="U189" s="43">
        <v>312</v>
      </c>
      <c r="V189" s="36">
        <v>312</v>
      </c>
      <c r="W189" s="43">
        <v>315</v>
      </c>
      <c r="X189" s="43">
        <v>298</v>
      </c>
      <c r="Y189" s="43">
        <v>311</v>
      </c>
      <c r="Z189" s="43">
        <v>262</v>
      </c>
      <c r="AA189" s="36">
        <v>274</v>
      </c>
      <c r="AB189" s="36">
        <v>262</v>
      </c>
      <c r="AC189" s="43">
        <v>282</v>
      </c>
      <c r="AD189" s="43">
        <v>327</v>
      </c>
      <c r="AE189" s="43">
        <v>275</v>
      </c>
      <c r="AF189" s="43">
        <v>308</v>
      </c>
      <c r="AG189" s="36">
        <v>308</v>
      </c>
      <c r="AH189" s="43">
        <v>308</v>
      </c>
      <c r="AI189" s="43">
        <v>315</v>
      </c>
      <c r="AJ189" s="43">
        <v>319</v>
      </c>
      <c r="AK189" s="43">
        <v>355</v>
      </c>
      <c r="AL189" s="36">
        <v>355</v>
      </c>
      <c r="AM189" s="43">
        <v>348</v>
      </c>
      <c r="AN189" s="43">
        <v>334</v>
      </c>
      <c r="AO189" s="43">
        <v>328</v>
      </c>
      <c r="AP189" s="43">
        <v>389</v>
      </c>
      <c r="AQ189" s="36">
        <v>389</v>
      </c>
      <c r="AR189" s="43">
        <v>377</v>
      </c>
      <c r="AS189" s="43">
        <v>405</v>
      </c>
      <c r="AT189" s="43">
        <v>410</v>
      </c>
      <c r="AU189" s="43">
        <v>0</v>
      </c>
      <c r="AV189" s="36">
        <v>0</v>
      </c>
      <c r="AW189" s="43">
        <v>0</v>
      </c>
      <c r="AX189" s="43">
        <v>0</v>
      </c>
      <c r="AY189" s="43">
        <v>0</v>
      </c>
      <c r="AZ189" s="43">
        <v>0</v>
      </c>
      <c r="BA189" s="36">
        <v>0</v>
      </c>
      <c r="BB189" s="43">
        <v>0</v>
      </c>
      <c r="BC189" s="43">
        <v>0</v>
      </c>
      <c r="BD189" s="43">
        <v>0</v>
      </c>
      <c r="BE189" s="43">
        <v>0</v>
      </c>
      <c r="BF189" s="36">
        <f t="shared" si="525"/>
        <v>0</v>
      </c>
      <c r="BG189" s="43">
        <v>0</v>
      </c>
      <c r="BH189" s="43">
        <v>0</v>
      </c>
      <c r="BI189" s="43">
        <v>0</v>
      </c>
      <c r="BJ189" s="43">
        <v>0</v>
      </c>
      <c r="BK189" s="36">
        <f t="shared" si="526"/>
        <v>0</v>
      </c>
      <c r="BL189" s="43">
        <v>0</v>
      </c>
      <c r="BM189" s="43">
        <v>0</v>
      </c>
      <c r="BN189" s="43">
        <f>+BM189</f>
        <v>0</v>
      </c>
      <c r="BO189" s="43">
        <v>0</v>
      </c>
      <c r="BP189" s="36">
        <f>+BO189</f>
        <v>0</v>
      </c>
      <c r="BQ189" s="43">
        <v>0</v>
      </c>
      <c r="BR189" s="43">
        <v>0</v>
      </c>
      <c r="BS189" s="43">
        <v>0</v>
      </c>
      <c r="BT189" s="43">
        <v>0</v>
      </c>
      <c r="BU189" s="36">
        <f>+BT189</f>
        <v>0</v>
      </c>
      <c r="BV189" s="43">
        <v>0</v>
      </c>
      <c r="BW189" s="43">
        <v>0</v>
      </c>
      <c r="BX189" s="43">
        <v>0</v>
      </c>
      <c r="BY189" s="43">
        <v>0</v>
      </c>
      <c r="BZ189" s="36">
        <f>+BY189</f>
        <v>0</v>
      </c>
      <c r="CA189" s="43">
        <v>0</v>
      </c>
      <c r="CB189" s="43">
        <v>0</v>
      </c>
      <c r="CC189" s="43">
        <v>0</v>
      </c>
      <c r="CD189" s="43">
        <v>0</v>
      </c>
      <c r="CE189" s="36">
        <f>+CD189</f>
        <v>0</v>
      </c>
      <c r="CF189" s="43">
        <v>0</v>
      </c>
      <c r="CG189" s="43">
        <v>0</v>
      </c>
      <c r="CH189" s="43">
        <v>0</v>
      </c>
      <c r="CI189" s="43">
        <v>0</v>
      </c>
      <c r="CJ189" s="36">
        <f>+CI189</f>
        <v>0</v>
      </c>
      <c r="CK189" s="43">
        <v>0</v>
      </c>
      <c r="CL189" s="43">
        <v>0</v>
      </c>
      <c r="CM189" s="43">
        <v>0</v>
      </c>
      <c r="CN189" s="43">
        <v>0</v>
      </c>
      <c r="CO189" s="36">
        <f t="shared" ref="CO189:DD189" si="531">+CN189</f>
        <v>0</v>
      </c>
      <c r="CP189" s="43">
        <v>0</v>
      </c>
      <c r="CQ189" s="43">
        <v>0</v>
      </c>
      <c r="CR189" s="43">
        <f t="shared" si="531"/>
        <v>0</v>
      </c>
      <c r="CS189" s="43">
        <v>0</v>
      </c>
      <c r="CT189" s="36">
        <f t="shared" si="531"/>
        <v>0</v>
      </c>
      <c r="CU189" s="43">
        <v>0</v>
      </c>
      <c r="CV189" s="43">
        <f t="shared" si="531"/>
        <v>0</v>
      </c>
      <c r="CW189" s="43">
        <f t="shared" si="531"/>
        <v>0</v>
      </c>
      <c r="CX189" s="43">
        <f t="shared" si="531"/>
        <v>0</v>
      </c>
      <c r="CY189" s="36">
        <f t="shared" si="531"/>
        <v>0</v>
      </c>
      <c r="CZ189" s="43">
        <f t="shared" si="531"/>
        <v>0</v>
      </c>
      <c r="DA189" s="43">
        <f t="shared" si="531"/>
        <v>0</v>
      </c>
      <c r="DB189" s="43">
        <f t="shared" si="531"/>
        <v>0</v>
      </c>
      <c r="DC189" s="43">
        <f t="shared" si="531"/>
        <v>0</v>
      </c>
      <c r="DD189" s="36">
        <f t="shared" si="531"/>
        <v>0</v>
      </c>
      <c r="DE189" s="43">
        <f t="shared" ref="DE189" si="532">+DD189</f>
        <v>0</v>
      </c>
      <c r="DF189" s="43">
        <f t="shared" ref="DF189" si="533">+DE189</f>
        <v>0</v>
      </c>
      <c r="DG189" s="43">
        <f t="shared" ref="DG189" si="534">+DF189</f>
        <v>0</v>
      </c>
      <c r="DH189" s="43">
        <f t="shared" ref="DH189" si="535">+DG189</f>
        <v>0</v>
      </c>
      <c r="DI189" s="36">
        <f t="shared" ref="DI189" si="536">+DH189</f>
        <v>0</v>
      </c>
    </row>
    <row r="190" spans="1:113" s="7" customFormat="1" ht="12" customHeight="1">
      <c r="A190" s="239"/>
      <c r="B190" s="450" t="s">
        <v>130</v>
      </c>
      <c r="C190" s="43">
        <v>94.427000000000007</v>
      </c>
      <c r="D190" s="36">
        <v>157.05799999999999</v>
      </c>
      <c r="E190" s="43">
        <v>196.2</v>
      </c>
      <c r="F190" s="36">
        <v>206.8</v>
      </c>
      <c r="G190" s="43">
        <v>217.39999999999998</v>
      </c>
      <c r="H190" s="36">
        <v>162.5</v>
      </c>
      <c r="I190" s="43">
        <v>260.5</v>
      </c>
      <c r="J190" s="36">
        <v>266.2</v>
      </c>
      <c r="K190" s="43">
        <v>364.4</v>
      </c>
      <c r="L190" s="36">
        <v>343</v>
      </c>
      <c r="M190" s="43">
        <v>380.1</v>
      </c>
      <c r="N190" s="36">
        <v>393.2</v>
      </c>
      <c r="O190" s="36">
        <v>602.29999999999995</v>
      </c>
      <c r="P190" s="43">
        <v>765.6</v>
      </c>
      <c r="Q190" s="36">
        <v>873</v>
      </c>
      <c r="R190" s="43">
        <v>583</v>
      </c>
      <c r="S190" s="43">
        <v>720</v>
      </c>
      <c r="T190" s="43">
        <v>513</v>
      </c>
      <c r="U190" s="43">
        <v>594</v>
      </c>
      <c r="V190" s="36">
        <v>594</v>
      </c>
      <c r="W190" s="43">
        <v>638</v>
      </c>
      <c r="X190" s="43">
        <v>795</v>
      </c>
      <c r="Y190" s="43">
        <v>772</v>
      </c>
      <c r="Z190" s="43">
        <v>1472</v>
      </c>
      <c r="AA190" s="36">
        <v>870</v>
      </c>
      <c r="AB190" s="36">
        <f>857+615</f>
        <v>1472</v>
      </c>
      <c r="AC190" s="43">
        <v>745</v>
      </c>
      <c r="AD190" s="43">
        <f>733+344</f>
        <v>1077</v>
      </c>
      <c r="AE190" s="43">
        <f>882+29</f>
        <v>911</v>
      </c>
      <c r="AF190" s="43">
        <v>802</v>
      </c>
      <c r="AG190" s="36">
        <v>802</v>
      </c>
      <c r="AH190" s="43">
        <v>1053</v>
      </c>
      <c r="AI190" s="43">
        <v>1202</v>
      </c>
      <c r="AJ190" s="43">
        <v>882</v>
      </c>
      <c r="AK190" s="43">
        <v>818</v>
      </c>
      <c r="AL190" s="36">
        <v>818</v>
      </c>
      <c r="AM190" s="43">
        <v>996</v>
      </c>
      <c r="AN190" s="43">
        <v>1379</v>
      </c>
      <c r="AO190" s="43">
        <v>1978</v>
      </c>
      <c r="AP190" s="43">
        <v>1968</v>
      </c>
      <c r="AQ190" s="36">
        <v>1968</v>
      </c>
      <c r="AR190" s="43">
        <v>1751</v>
      </c>
      <c r="AS190" s="43">
        <v>2197</v>
      </c>
      <c r="AT190" s="43">
        <v>1782</v>
      </c>
      <c r="AU190" s="43">
        <v>1489</v>
      </c>
      <c r="AV190" s="36">
        <v>1489</v>
      </c>
      <c r="AW190" s="43">
        <v>1380</v>
      </c>
      <c r="AX190" s="43">
        <v>1557</v>
      </c>
      <c r="AY190" s="43">
        <v>1361</v>
      </c>
      <c r="AZ190" s="43">
        <v>1150</v>
      </c>
      <c r="BA190" s="36">
        <v>1150</v>
      </c>
      <c r="BB190" s="43">
        <v>1591</v>
      </c>
      <c r="BC190" s="43">
        <v>1254</v>
      </c>
      <c r="BD190" s="43">
        <v>1446</v>
      </c>
      <c r="BE190" s="43">
        <v>1130</v>
      </c>
      <c r="BF190" s="36">
        <f t="shared" si="525"/>
        <v>1130</v>
      </c>
      <c r="BG190" s="43">
        <v>1675</v>
      </c>
      <c r="BH190" s="43">
        <v>1791</v>
      </c>
      <c r="BI190" s="43">
        <v>1786</v>
      </c>
      <c r="BJ190" s="43">
        <v>1968</v>
      </c>
      <c r="BK190" s="36">
        <f t="shared" si="526"/>
        <v>1968</v>
      </c>
      <c r="BL190" s="43">
        <v>2093</v>
      </c>
      <c r="BM190" s="43">
        <v>1876</v>
      </c>
      <c r="BN190" s="43">
        <v>2282</v>
      </c>
      <c r="BO190" s="43">
        <v>1653</v>
      </c>
      <c r="BP190" s="36">
        <f>+BO190</f>
        <v>1653</v>
      </c>
      <c r="BQ190" s="43">
        <v>1939</v>
      </c>
      <c r="BR190" s="43">
        <v>1992</v>
      </c>
      <c r="BS190" s="43">
        <v>1810</v>
      </c>
      <c r="BT190" s="43">
        <v>1498</v>
      </c>
      <c r="BU190" s="36">
        <f>+BT190</f>
        <v>1498</v>
      </c>
      <c r="BV190" s="43">
        <v>1655</v>
      </c>
      <c r="BW190" s="43">
        <v>1822</v>
      </c>
      <c r="BX190" s="43">
        <v>1968</v>
      </c>
      <c r="BY190" s="43">
        <v>2129</v>
      </c>
      <c r="BZ190" s="36">
        <f>+BY190</f>
        <v>2129</v>
      </c>
      <c r="CA190" s="43">
        <v>2379</v>
      </c>
      <c r="CB190" s="43">
        <v>2063</v>
      </c>
      <c r="CC190" s="43">
        <v>1815</v>
      </c>
      <c r="CD190" s="43">
        <v>1942</v>
      </c>
      <c r="CE190" s="36">
        <f>+CD190</f>
        <v>1942</v>
      </c>
      <c r="CF190" s="43">
        <v>2013</v>
      </c>
      <c r="CG190" s="43">
        <v>1943</v>
      </c>
      <c r="CH190" s="43">
        <v>1928</v>
      </c>
      <c r="CI190" s="43">
        <v>1854</v>
      </c>
      <c r="CJ190" s="36">
        <f>+CI190</f>
        <v>1854</v>
      </c>
      <c r="CK190" s="43">
        <v>1729</v>
      </c>
      <c r="CL190" s="43">
        <v>1936</v>
      </c>
      <c r="CM190" s="43">
        <v>2186</v>
      </c>
      <c r="CN190" s="43">
        <v>2005</v>
      </c>
      <c r="CO190" s="36">
        <f>+CN190</f>
        <v>2005</v>
      </c>
      <c r="CP190" s="43">
        <v>2247</v>
      </c>
      <c r="CQ190" s="43">
        <v>2206</v>
      </c>
      <c r="CR190" s="43">
        <v>2271</v>
      </c>
      <c r="CS190" s="43">
        <v>2144</v>
      </c>
      <c r="CT190" s="36">
        <f>+CS190</f>
        <v>2144</v>
      </c>
      <c r="CU190" s="43">
        <v>2217</v>
      </c>
      <c r="CV190" s="43">
        <f>+CU190</f>
        <v>2217</v>
      </c>
      <c r="CW190" s="43">
        <f>+CV190</f>
        <v>2217</v>
      </c>
      <c r="CX190" s="43">
        <f>+CW190</f>
        <v>2217</v>
      </c>
      <c r="CY190" s="36">
        <f>+CX190</f>
        <v>2217</v>
      </c>
      <c r="CZ190" s="43">
        <f>+CX190</f>
        <v>2217</v>
      </c>
      <c r="DA190" s="43">
        <f>+CZ190</f>
        <v>2217</v>
      </c>
      <c r="DB190" s="43">
        <f>+DA190</f>
        <v>2217</v>
      </c>
      <c r="DC190" s="43">
        <f>+DB190</f>
        <v>2217</v>
      </c>
      <c r="DD190" s="36">
        <f>+DC190</f>
        <v>2217</v>
      </c>
      <c r="DE190" s="43">
        <f>+DC190</f>
        <v>2217</v>
      </c>
      <c r="DF190" s="43">
        <f>+DE190</f>
        <v>2217</v>
      </c>
      <c r="DG190" s="43">
        <f>+DF190</f>
        <v>2217</v>
      </c>
      <c r="DH190" s="43">
        <f>+DG190</f>
        <v>2217</v>
      </c>
      <c r="DI190" s="36">
        <f>+DH190</f>
        <v>2217</v>
      </c>
    </row>
    <row r="191" spans="1:113" s="7" customFormat="1" ht="12" customHeight="1">
      <c r="A191" s="239"/>
      <c r="B191" s="450"/>
      <c r="C191" s="39"/>
      <c r="D191" s="40"/>
      <c r="E191" s="39"/>
      <c r="F191" s="40"/>
      <c r="G191" s="39"/>
      <c r="H191" s="40"/>
      <c r="I191" s="39"/>
      <c r="J191" s="40"/>
      <c r="K191" s="39"/>
      <c r="L191" s="40"/>
      <c r="M191" s="39"/>
      <c r="N191" s="40"/>
      <c r="O191" s="40"/>
      <c r="P191" s="39"/>
      <c r="Q191" s="40"/>
      <c r="R191" s="39"/>
      <c r="S191" s="43"/>
      <c r="T191" s="39"/>
      <c r="U191" s="39"/>
      <c r="V191" s="40"/>
      <c r="W191" s="39"/>
      <c r="X191" s="39"/>
      <c r="Y191" s="39"/>
      <c r="Z191" s="39"/>
      <c r="AA191" s="40"/>
      <c r="AB191" s="40"/>
      <c r="AC191" s="39"/>
      <c r="AD191" s="39"/>
      <c r="AE191" s="39"/>
      <c r="AF191" s="39"/>
      <c r="AG191" s="40"/>
      <c r="AH191" s="39"/>
      <c r="AI191" s="39"/>
      <c r="AJ191" s="39"/>
      <c r="AK191" s="39"/>
      <c r="AL191" s="40"/>
      <c r="AM191" s="39"/>
      <c r="AN191" s="39"/>
      <c r="AO191" s="39"/>
      <c r="AP191" s="39"/>
      <c r="AQ191" s="40"/>
      <c r="AR191" s="39"/>
      <c r="AS191" s="39"/>
      <c r="AT191" s="39"/>
      <c r="AU191" s="39"/>
      <c r="AV191" s="40"/>
      <c r="AW191" s="39"/>
      <c r="AX191" s="39"/>
      <c r="AY191" s="39"/>
      <c r="AZ191" s="39"/>
      <c r="BA191" s="40"/>
      <c r="BB191" s="39"/>
      <c r="BC191" s="39"/>
      <c r="BD191" s="39"/>
      <c r="BE191" s="39"/>
      <c r="BF191" s="40"/>
      <c r="BG191" s="39"/>
      <c r="BH191" s="39"/>
      <c r="BI191" s="39"/>
      <c r="BJ191" s="39"/>
      <c r="BK191" s="40"/>
      <c r="BL191" s="39"/>
      <c r="BM191" s="39"/>
      <c r="BN191" s="39"/>
      <c r="BO191" s="39"/>
      <c r="BP191" s="40"/>
      <c r="BQ191" s="39"/>
      <c r="BR191" s="39"/>
      <c r="BS191" s="39"/>
      <c r="BT191" s="39"/>
      <c r="BU191" s="40"/>
      <c r="BV191" s="39"/>
      <c r="BW191" s="39"/>
      <c r="BX191" s="39"/>
      <c r="BY191" s="39"/>
      <c r="BZ191" s="40"/>
      <c r="CA191" s="39"/>
      <c r="CB191" s="39"/>
      <c r="CC191" s="39"/>
      <c r="CD191" s="39"/>
      <c r="CE191" s="40"/>
      <c r="CF191" s="39"/>
      <c r="CG191" s="39"/>
      <c r="CH191" s="39"/>
      <c r="CI191" s="39"/>
      <c r="CJ191" s="40"/>
      <c r="CK191" s="39"/>
      <c r="CL191" s="39"/>
      <c r="CM191" s="39"/>
      <c r="CN191" s="39"/>
      <c r="CO191" s="40"/>
      <c r="CP191" s="39"/>
      <c r="CQ191" s="39"/>
      <c r="CR191" s="39"/>
      <c r="CS191" s="39"/>
      <c r="CT191" s="40"/>
      <c r="CU191" s="39"/>
      <c r="CV191" s="39"/>
      <c r="CW191" s="39"/>
      <c r="CX191" s="39"/>
      <c r="CY191" s="40"/>
      <c r="CZ191" s="39"/>
      <c r="DA191" s="39"/>
      <c r="DB191" s="39"/>
      <c r="DC191" s="39"/>
      <c r="DD191" s="40"/>
      <c r="DE191" s="39"/>
      <c r="DF191" s="39"/>
      <c r="DG191" s="39"/>
      <c r="DH191" s="39"/>
      <c r="DI191" s="40"/>
    </row>
    <row r="192" spans="1:113" s="7" customFormat="1" ht="12" customHeight="1">
      <c r="A192" s="239"/>
      <c r="B192" s="265" t="s">
        <v>40</v>
      </c>
      <c r="C192" s="48">
        <f t="shared" ref="C192:Y192" si="537">SUM(C185:C190)</f>
        <v>2726.94</v>
      </c>
      <c r="D192" s="266">
        <f t="shared" si="537"/>
        <v>3830.9190000000003</v>
      </c>
      <c r="E192" s="48">
        <f t="shared" si="537"/>
        <v>3532.6210000000015</v>
      </c>
      <c r="F192" s="266">
        <f t="shared" si="537"/>
        <v>3264.9</v>
      </c>
      <c r="G192" s="48">
        <f t="shared" si="537"/>
        <v>3596.4</v>
      </c>
      <c r="H192" s="266">
        <f t="shared" si="537"/>
        <v>3625.3</v>
      </c>
      <c r="I192" s="48">
        <f t="shared" si="537"/>
        <v>4157.7</v>
      </c>
      <c r="J192" s="266">
        <f t="shared" si="537"/>
        <v>4738</v>
      </c>
      <c r="K192" s="48">
        <f t="shared" si="537"/>
        <v>5512</v>
      </c>
      <c r="L192" s="266">
        <f t="shared" si="537"/>
        <v>6351.0999999999995</v>
      </c>
      <c r="M192" s="48">
        <f t="shared" si="537"/>
        <v>7359</v>
      </c>
      <c r="N192" s="266">
        <f t="shared" si="537"/>
        <v>8076.5</v>
      </c>
      <c r="O192" s="266">
        <f t="shared" si="537"/>
        <v>8839.3000000000011</v>
      </c>
      <c r="P192" s="48">
        <f t="shared" si="537"/>
        <v>9734</v>
      </c>
      <c r="Q192" s="266">
        <f t="shared" si="537"/>
        <v>10959</v>
      </c>
      <c r="R192" s="48">
        <f t="shared" si="537"/>
        <v>10531</v>
      </c>
      <c r="S192" s="48">
        <f t="shared" si="537"/>
        <v>10916</v>
      </c>
      <c r="T192" s="48">
        <f t="shared" si="537"/>
        <v>10785</v>
      </c>
      <c r="U192" s="48">
        <f t="shared" si="537"/>
        <v>11297</v>
      </c>
      <c r="V192" s="266">
        <f t="shared" si="537"/>
        <v>11297</v>
      </c>
      <c r="W192" s="48">
        <f t="shared" si="537"/>
        <v>11039</v>
      </c>
      <c r="X192" s="48">
        <f t="shared" si="537"/>
        <v>10725</v>
      </c>
      <c r="Y192" s="48">
        <f t="shared" si="537"/>
        <v>10932</v>
      </c>
      <c r="Z192" s="48">
        <v>11845</v>
      </c>
      <c r="AA192" s="266">
        <f t="shared" ref="AA192:BF192" si="538">SUM(AA185:AA190)</f>
        <v>11531</v>
      </c>
      <c r="AB192" s="266">
        <f t="shared" si="538"/>
        <v>11845</v>
      </c>
      <c r="AC192" s="48">
        <f t="shared" si="538"/>
        <v>11136</v>
      </c>
      <c r="AD192" s="48">
        <f t="shared" si="538"/>
        <v>11435</v>
      </c>
      <c r="AE192" s="48">
        <f t="shared" si="538"/>
        <v>11789</v>
      </c>
      <c r="AF192" s="48">
        <f t="shared" si="538"/>
        <v>13626</v>
      </c>
      <c r="AG192" s="266">
        <f t="shared" si="538"/>
        <v>13626</v>
      </c>
      <c r="AH192" s="48">
        <f t="shared" si="538"/>
        <v>13618</v>
      </c>
      <c r="AI192" s="48">
        <f t="shared" si="538"/>
        <v>13607</v>
      </c>
      <c r="AJ192" s="48">
        <f t="shared" si="538"/>
        <v>13410</v>
      </c>
      <c r="AK192" s="48">
        <f t="shared" si="538"/>
        <v>13696</v>
      </c>
      <c r="AL192" s="266">
        <f t="shared" si="538"/>
        <v>13696</v>
      </c>
      <c r="AM192" s="48">
        <f t="shared" si="538"/>
        <v>13540</v>
      </c>
      <c r="AN192" s="48">
        <f t="shared" si="538"/>
        <v>14033</v>
      </c>
      <c r="AO192" s="48">
        <f t="shared" si="538"/>
        <v>15207</v>
      </c>
      <c r="AP192" s="48">
        <f t="shared" si="538"/>
        <v>15976</v>
      </c>
      <c r="AQ192" s="266">
        <f t="shared" si="538"/>
        <v>15976</v>
      </c>
      <c r="AR192" s="48">
        <f t="shared" si="538"/>
        <v>15238</v>
      </c>
      <c r="AS192" s="48">
        <f t="shared" si="538"/>
        <v>16755</v>
      </c>
      <c r="AT192" s="48">
        <f t="shared" si="538"/>
        <v>15256</v>
      </c>
      <c r="AU192" s="48">
        <f t="shared" si="538"/>
        <v>15025</v>
      </c>
      <c r="AV192" s="266">
        <f t="shared" si="538"/>
        <v>15025</v>
      </c>
      <c r="AW192" s="48">
        <f t="shared" si="538"/>
        <v>14589</v>
      </c>
      <c r="AX192" s="48">
        <f t="shared" si="538"/>
        <v>16011</v>
      </c>
      <c r="AY192" s="48">
        <f t="shared" si="538"/>
        <v>16205</v>
      </c>
      <c r="AZ192" s="48">
        <f t="shared" si="538"/>
        <v>16061</v>
      </c>
      <c r="BA192" s="266">
        <f t="shared" si="538"/>
        <v>16061</v>
      </c>
      <c r="BB192" s="48">
        <f t="shared" si="538"/>
        <v>16192</v>
      </c>
      <c r="BC192" s="48">
        <f t="shared" si="538"/>
        <v>16582</v>
      </c>
      <c r="BD192" s="48">
        <f t="shared" si="538"/>
        <v>15355</v>
      </c>
      <c r="BE192" s="48">
        <f t="shared" si="538"/>
        <v>15134</v>
      </c>
      <c r="BF192" s="266">
        <f t="shared" si="538"/>
        <v>15134</v>
      </c>
      <c r="BG192" s="48">
        <f t="shared" ref="BG192:CL192" si="539">SUM(BG185:BG190)</f>
        <v>15501</v>
      </c>
      <c r="BH192" s="48">
        <f t="shared" si="539"/>
        <v>15566</v>
      </c>
      <c r="BI192" s="48">
        <f t="shared" si="539"/>
        <v>15796</v>
      </c>
      <c r="BJ192" s="48">
        <f t="shared" si="539"/>
        <v>16525</v>
      </c>
      <c r="BK192" s="266">
        <f t="shared" si="539"/>
        <v>16525</v>
      </c>
      <c r="BL192" s="48">
        <f t="shared" si="539"/>
        <v>16228</v>
      </c>
      <c r="BM192" s="48">
        <f t="shared" si="539"/>
        <v>16369</v>
      </c>
      <c r="BN192" s="48">
        <f t="shared" si="539"/>
        <v>15744</v>
      </c>
      <c r="BO192" s="48">
        <f t="shared" si="539"/>
        <v>20556</v>
      </c>
      <c r="BP192" s="266">
        <f t="shared" si="539"/>
        <v>20556</v>
      </c>
      <c r="BQ192" s="48">
        <f t="shared" si="539"/>
        <v>21937</v>
      </c>
      <c r="BR192" s="48">
        <f t="shared" si="539"/>
        <v>23607</v>
      </c>
      <c r="BS192" s="48">
        <f t="shared" si="539"/>
        <v>24700</v>
      </c>
      <c r="BT192" s="48">
        <f t="shared" si="539"/>
        <v>26291</v>
      </c>
      <c r="BU192" s="266">
        <f t="shared" si="539"/>
        <v>26291</v>
      </c>
      <c r="BV192" s="48">
        <f t="shared" si="539"/>
        <v>26390</v>
      </c>
      <c r="BW192" s="48">
        <f t="shared" si="539"/>
        <v>27177</v>
      </c>
      <c r="BX192" s="48">
        <f t="shared" si="539"/>
        <v>26962</v>
      </c>
      <c r="BY192" s="48">
        <f t="shared" si="539"/>
        <v>28213</v>
      </c>
      <c r="BZ192" s="266">
        <f t="shared" si="539"/>
        <v>28213</v>
      </c>
      <c r="CA192" s="48">
        <f t="shared" si="539"/>
        <v>28877</v>
      </c>
      <c r="CB192" s="48">
        <f t="shared" si="539"/>
        <v>27447</v>
      </c>
      <c r="CC192" s="48">
        <f t="shared" si="539"/>
        <v>26035</v>
      </c>
      <c r="CD192" s="48">
        <f t="shared" si="539"/>
        <v>25202</v>
      </c>
      <c r="CE192" s="266">
        <f t="shared" si="539"/>
        <v>25202</v>
      </c>
      <c r="CF192" s="48">
        <f t="shared" si="539"/>
        <v>24250</v>
      </c>
      <c r="CG192" s="48">
        <f t="shared" si="539"/>
        <v>24631</v>
      </c>
      <c r="CH192" s="48">
        <f t="shared" si="539"/>
        <v>24753</v>
      </c>
      <c r="CI192" s="48">
        <f t="shared" si="539"/>
        <v>25382</v>
      </c>
      <c r="CJ192" s="266">
        <f t="shared" si="539"/>
        <v>25382</v>
      </c>
      <c r="CK192" s="48">
        <f t="shared" si="539"/>
        <v>25040</v>
      </c>
      <c r="CL192" s="48">
        <f t="shared" si="539"/>
        <v>24980</v>
      </c>
      <c r="CM192" s="48">
        <f t="shared" ref="CM192:DD192" si="540">SUM(CM185:CM190)</f>
        <v>24609</v>
      </c>
      <c r="CN192" s="48">
        <f t="shared" si="540"/>
        <v>23362</v>
      </c>
      <c r="CO192" s="266">
        <f t="shared" si="540"/>
        <v>23362</v>
      </c>
      <c r="CP192" s="48">
        <f t="shared" si="540"/>
        <v>23898</v>
      </c>
      <c r="CQ192" s="48">
        <f t="shared" si="540"/>
        <v>24015</v>
      </c>
      <c r="CR192" s="48">
        <f t="shared" si="540"/>
        <v>23184</v>
      </c>
      <c r="CS192" s="48">
        <f t="shared" si="540"/>
        <v>24603</v>
      </c>
      <c r="CT192" s="266">
        <f t="shared" si="540"/>
        <v>24603</v>
      </c>
      <c r="CU192" s="48">
        <f t="shared" si="540"/>
        <v>23673</v>
      </c>
      <c r="CV192" s="48">
        <f t="shared" si="540"/>
        <v>23608.675947774489</v>
      </c>
      <c r="CW192" s="48">
        <f t="shared" si="540"/>
        <v>22848.675017267844</v>
      </c>
      <c r="CX192" s="48">
        <f t="shared" si="540"/>
        <v>23452.373767336703</v>
      </c>
      <c r="CY192" s="266">
        <f t="shared" si="540"/>
        <v>23452.373767336703</v>
      </c>
      <c r="CZ192" s="48">
        <f t="shared" si="540"/>
        <v>23496.97825234837</v>
      </c>
      <c r="DA192" s="48">
        <f t="shared" si="540"/>
        <v>23446.043349022166</v>
      </c>
      <c r="DB192" s="48">
        <f t="shared" si="540"/>
        <v>22738.682519347647</v>
      </c>
      <c r="DC192" s="48">
        <f t="shared" si="540"/>
        <v>23243.898493382796</v>
      </c>
      <c r="DD192" s="266">
        <f t="shared" si="540"/>
        <v>23243.898493382796</v>
      </c>
      <c r="DE192" s="48">
        <f t="shared" ref="DE192:DI192" si="541">SUM(DE185:DE190)</f>
        <v>23108.604070790971</v>
      </c>
      <c r="DF192" s="48">
        <f t="shared" si="541"/>
        <v>22846.82556714362</v>
      </c>
      <c r="DG192" s="48">
        <f t="shared" si="541"/>
        <v>21929.496522222911</v>
      </c>
      <c r="DH192" s="48">
        <f t="shared" si="541"/>
        <v>22206.270337826594</v>
      </c>
      <c r="DI192" s="266">
        <f t="shared" si="541"/>
        <v>22206.270337826594</v>
      </c>
    </row>
    <row r="193" spans="1:113" s="7" customFormat="1" ht="12" hidden="1" customHeight="1" outlineLevel="1">
      <c r="A193" s="239"/>
      <c r="B193" s="450"/>
      <c r="C193" s="43"/>
      <c r="D193" s="36"/>
      <c r="E193" s="43"/>
      <c r="F193" s="36"/>
      <c r="G193" s="43"/>
      <c r="H193" s="36"/>
      <c r="I193" s="43"/>
      <c r="J193" s="36"/>
      <c r="K193" s="39"/>
      <c r="L193" s="40"/>
      <c r="M193" s="39"/>
      <c r="N193" s="40"/>
      <c r="O193" s="40"/>
      <c r="P193" s="40"/>
      <c r="Q193" s="40"/>
      <c r="R193" s="39"/>
      <c r="S193" s="43"/>
      <c r="T193" s="39"/>
      <c r="U193" s="39"/>
      <c r="V193" s="40"/>
      <c r="W193" s="39"/>
      <c r="X193" s="39"/>
      <c r="Y193" s="39"/>
      <c r="Z193" s="39"/>
      <c r="AA193" s="40"/>
      <c r="AB193" s="36"/>
      <c r="AC193" s="43"/>
      <c r="AD193" s="43"/>
      <c r="AE193" s="43"/>
      <c r="AF193" s="43"/>
      <c r="AG193" s="40"/>
      <c r="AH193" s="43"/>
      <c r="AI193" s="43"/>
      <c r="AJ193" s="43"/>
      <c r="AK193" s="43"/>
      <c r="AL193" s="40"/>
      <c r="AM193" s="43"/>
      <c r="AN193" s="43"/>
      <c r="AO193" s="43"/>
      <c r="AP193" s="43"/>
      <c r="AQ193" s="40"/>
      <c r="AR193" s="43"/>
      <c r="AS193" s="43"/>
      <c r="AT193" s="43"/>
      <c r="AU193" s="43"/>
      <c r="AV193" s="36"/>
      <c r="AW193" s="43"/>
      <c r="AX193" s="43"/>
      <c r="AY193" s="43"/>
      <c r="AZ193" s="43"/>
      <c r="BA193" s="36"/>
      <c r="BB193" s="43"/>
      <c r="BC193" s="43"/>
      <c r="BD193" s="43"/>
      <c r="BE193" s="43"/>
      <c r="BF193" s="36"/>
      <c r="BG193" s="43"/>
      <c r="BH193" s="43"/>
      <c r="BI193" s="43"/>
      <c r="BJ193" s="43"/>
      <c r="BK193" s="36"/>
      <c r="BL193" s="43"/>
      <c r="BM193" s="43"/>
      <c r="BN193" s="43"/>
      <c r="BO193" s="43"/>
      <c r="BP193" s="36"/>
      <c r="BQ193" s="43"/>
      <c r="BR193" s="43"/>
      <c r="BS193" s="43"/>
      <c r="BT193" s="43"/>
      <c r="BU193" s="36"/>
      <c r="BV193" s="43"/>
      <c r="BW193" s="43"/>
      <c r="BX193" s="43"/>
      <c r="BY193" s="43"/>
      <c r="BZ193" s="36"/>
      <c r="CA193" s="43"/>
      <c r="CB193" s="43"/>
      <c r="CC193" s="43"/>
      <c r="CD193" s="43"/>
      <c r="CE193" s="36"/>
      <c r="CF193" s="43"/>
      <c r="CG193" s="43"/>
      <c r="CH193" s="43"/>
      <c r="CI193" s="43"/>
      <c r="CJ193" s="36"/>
      <c r="CK193" s="43"/>
      <c r="CL193" s="43"/>
      <c r="CM193" s="43"/>
      <c r="CN193" s="43"/>
      <c r="CO193" s="36"/>
      <c r="CP193" s="43"/>
      <c r="CQ193" s="43"/>
      <c r="CR193" s="43"/>
      <c r="CS193" s="43"/>
      <c r="CT193" s="36"/>
      <c r="CU193" s="43"/>
      <c r="CV193" s="43"/>
      <c r="CW193" s="43"/>
      <c r="CX193" s="43"/>
      <c r="CY193" s="36"/>
      <c r="CZ193" s="43"/>
      <c r="DA193" s="43"/>
      <c r="DB193" s="43"/>
      <c r="DC193" s="43"/>
      <c r="DD193" s="36"/>
      <c r="DE193" s="43"/>
      <c r="DF193" s="43"/>
      <c r="DG193" s="43"/>
      <c r="DH193" s="43"/>
      <c r="DI193" s="36"/>
    </row>
    <row r="194" spans="1:113" s="7" customFormat="1" ht="12" hidden="1" customHeight="1" outlineLevel="1">
      <c r="A194" s="239"/>
      <c r="B194" s="450" t="s">
        <v>41</v>
      </c>
      <c r="C194" s="43">
        <v>1047.7049999999999</v>
      </c>
      <c r="D194" s="36">
        <v>1425.7470000000001</v>
      </c>
      <c r="E194" s="43">
        <v>1819.6</v>
      </c>
      <c r="F194" s="36">
        <v>2001.3</v>
      </c>
      <c r="G194" s="43">
        <v>2393.8000000000002</v>
      </c>
      <c r="H194" s="36">
        <v>2552.8000000000002</v>
      </c>
      <c r="I194" s="43">
        <v>2741.7</v>
      </c>
      <c r="J194" s="36">
        <v>2988.8</v>
      </c>
      <c r="K194" s="43">
        <v>3132.3</v>
      </c>
      <c r="L194" s="36">
        <v>3179.2</v>
      </c>
      <c r="M194" s="43">
        <v>3408.3</v>
      </c>
      <c r="N194" s="36">
        <v>3619.1</v>
      </c>
      <c r="O194" s="36">
        <v>4103</v>
      </c>
      <c r="P194" s="43">
        <v>4255.7</v>
      </c>
      <c r="Q194" s="36">
        <v>4389.8</v>
      </c>
      <c r="R194" s="43">
        <f>+Q194-'2. Consolidated'!R124-'2. Consolidated'!R125</f>
        <v>4478.8</v>
      </c>
      <c r="S194" s="43">
        <f>+R194-'2. Consolidated'!S124-'2. Consolidated'!S125</f>
        <v>4580.8</v>
      </c>
      <c r="T194" s="43">
        <f>+S194-'2. Consolidated'!T124-'2. Consolidated'!T125</f>
        <v>4691.8</v>
      </c>
      <c r="U194" s="43">
        <f>+V194</f>
        <v>4906</v>
      </c>
      <c r="V194" s="36">
        <f>V196-V195</f>
        <v>4906</v>
      </c>
      <c r="W194" s="43">
        <f>+V194-'2. Consolidated'!W124-'2. Consolidated'!W125</f>
        <v>5019</v>
      </c>
      <c r="X194" s="43">
        <f>+W194-'2. Consolidated'!X124-'2. Consolidated'!X125</f>
        <v>5164</v>
      </c>
      <c r="Y194" s="43">
        <f>+X194-'2. Consolidated'!Y124-'2. Consolidated'!Y125</f>
        <v>5284</v>
      </c>
      <c r="Z194" s="43">
        <f>+AA194</f>
        <v>5443</v>
      </c>
      <c r="AA194" s="36">
        <f>+AA196-AA195</f>
        <v>5443</v>
      </c>
      <c r="AB194" s="36">
        <v>5057</v>
      </c>
      <c r="AC194" s="43">
        <f>+AB194-'2. Consolidated'!AC124-'2. Consolidated'!AC125</f>
        <v>5164</v>
      </c>
      <c r="AD194" s="43">
        <f>+AC194-'2. Consolidated'!AD124-'2. Consolidated'!AD125</f>
        <v>5307</v>
      </c>
      <c r="AE194" s="43">
        <f>+AD194-'2. Consolidated'!AE124-'2. Consolidated'!AE125</f>
        <v>4672</v>
      </c>
      <c r="AF194" s="43">
        <v>5500</v>
      </c>
      <c r="AG194" s="36">
        <v>5500</v>
      </c>
      <c r="AH194" s="43">
        <v>5684</v>
      </c>
      <c r="AI194" s="43">
        <f>+AH194-'2. Consolidated'!AI124-'2. Consolidated'!AI125</f>
        <v>5897</v>
      </c>
      <c r="AJ194" s="43">
        <v>6073</v>
      </c>
      <c r="AK194" s="43">
        <f>+AL194</f>
        <v>6220</v>
      </c>
      <c r="AL194" s="36">
        <v>6220</v>
      </c>
      <c r="AM194" s="43">
        <f>+AL194-'2. Consolidated'!AM124-'2. Consolidated'!AM125</f>
        <v>6482</v>
      </c>
      <c r="AN194" s="43">
        <v>6450</v>
      </c>
      <c r="AO194" s="43">
        <v>6401</v>
      </c>
      <c r="AP194" s="43">
        <v>6395</v>
      </c>
      <c r="AQ194" s="36">
        <v>6352</v>
      </c>
      <c r="AR194" s="43">
        <f>+AQ194-'2. Consolidated'!AR124-'2. Consolidated'!AR125</f>
        <v>6679</v>
      </c>
      <c r="AS194" s="43">
        <f>+AR194-'2. Consolidated'!AS124-'2. Consolidated'!AS125</f>
        <v>6967</v>
      </c>
      <c r="AT194" s="43">
        <f>+AS194-'2. Consolidated'!AT124-'2. Consolidated'!AT125</f>
        <v>7253</v>
      </c>
      <c r="AU194" s="43">
        <f>+AV194</f>
        <v>7038</v>
      </c>
      <c r="AV194" s="36">
        <v>7038</v>
      </c>
      <c r="AW194" s="43">
        <f>+AV194-'2. Consolidated'!AW124-'2. Consolidated'!AW125</f>
        <v>7315</v>
      </c>
      <c r="AX194" s="43">
        <f>+AW194-'2. Consolidated'!AX124-'2. Consolidated'!AX125</f>
        <v>7538</v>
      </c>
      <c r="AY194" s="43">
        <f>+AX194-'2. Consolidated'!AY124-'2. Consolidated'!AY125</f>
        <v>7801</v>
      </c>
      <c r="AZ194" s="43">
        <f>+BA194</f>
        <v>7958</v>
      </c>
      <c r="BA194" s="36">
        <v>7958</v>
      </c>
      <c r="BB194" s="43">
        <f>+BA194-'2. Consolidated'!BB124-'2. Consolidated'!BB125</f>
        <v>8228</v>
      </c>
      <c r="BC194" s="43">
        <f>+BB194-'2. Consolidated'!BC124-'2. Consolidated'!BC125</f>
        <v>8455</v>
      </c>
      <c r="BD194" s="43">
        <f>+BD196-BD195</f>
        <v>8821</v>
      </c>
      <c r="BE194" s="43">
        <v>8891</v>
      </c>
      <c r="BF194" s="36">
        <f>+BE194</f>
        <v>8891</v>
      </c>
      <c r="BG194" s="43">
        <f>+BF194-'2. Consolidated'!BG124-'2. Consolidated'!BG125</f>
        <v>9234</v>
      </c>
      <c r="BH194" s="43">
        <f>+BG194-'2. Consolidated'!BH124-'2. Consolidated'!BH125</f>
        <v>9517</v>
      </c>
      <c r="BI194" s="43">
        <f>+BH194-'2. Consolidated'!BI124-'2. Consolidated'!BI125</f>
        <v>9732</v>
      </c>
      <c r="BJ194" s="43">
        <v>9469</v>
      </c>
      <c r="BK194" s="36">
        <f t="shared" ref="BK194:BK199" si="542">+BJ194</f>
        <v>9469</v>
      </c>
      <c r="BL194" s="43">
        <f>+BK194-'2. Consolidated'!BL124-'2. Consolidated'!BL125</f>
        <v>9753</v>
      </c>
      <c r="BM194" s="43">
        <f>+BL194-'2. Consolidated'!BM124-'2. Consolidated'!BM125</f>
        <v>9991</v>
      </c>
      <c r="BN194" s="43">
        <f>+BM194-'2. Consolidated'!BN124-'2. Consolidated'!BN125</f>
        <v>10236</v>
      </c>
      <c r="BO194" s="43">
        <v>9661</v>
      </c>
      <c r="BP194" s="36">
        <f t="shared" ref="BP194:BP199" si="543">+BO194</f>
        <v>9661</v>
      </c>
      <c r="BQ194" s="43">
        <f>+BP194-'2. Consolidated'!BQ124-'2. Consolidated'!BQ125</f>
        <v>9837</v>
      </c>
      <c r="BR194" s="43">
        <f>+BQ194-'2. Consolidated'!BR124-'2. Consolidated'!BR125</f>
        <v>10005</v>
      </c>
      <c r="BS194" s="43">
        <f>+BR194-'2. Consolidated'!BS124-'2. Consolidated'!BS125</f>
        <v>9998</v>
      </c>
      <c r="BT194" s="43">
        <f>+BS194-'2. Consolidated'!BT124-'2. Consolidated'!BT125</f>
        <v>10185</v>
      </c>
      <c r="BU194" s="36">
        <f t="shared" ref="BU194:BU199" si="544">+BT194</f>
        <v>10185</v>
      </c>
      <c r="BV194" s="43">
        <f>+BU194-'2. Consolidated'!BV124-'2. Consolidated'!BV125</f>
        <v>10369</v>
      </c>
      <c r="BW194" s="43">
        <f>+BV194-'2. Consolidated'!BW124-'2. Consolidated'!BW125</f>
        <v>10547</v>
      </c>
      <c r="BX194" s="43">
        <f>+BW194-'2. Consolidated'!BX124-'2. Consolidated'!BX125</f>
        <v>10740</v>
      </c>
      <c r="BY194" s="43">
        <f>+BX194-'2. Consolidated'!BY124-'2. Consolidated'!BY125</f>
        <v>10943</v>
      </c>
      <c r="BZ194" s="36">
        <f t="shared" ref="BZ194:BZ199" si="545">+BY194</f>
        <v>10943</v>
      </c>
      <c r="CA194" s="43">
        <f>+BZ194-'2. Consolidated'!CA124-'2. Consolidated'!CA125</f>
        <v>11207</v>
      </c>
      <c r="CB194" s="43">
        <f>+CA194-'2. Consolidated'!CB124-'2. Consolidated'!CB125</f>
        <v>11443</v>
      </c>
      <c r="CC194" s="43">
        <f>+CB194-'2. Consolidated'!CC124-'2. Consolidated'!CC125</f>
        <v>11643</v>
      </c>
      <c r="CD194" s="43">
        <f>+CC194-'2. Consolidated'!CD124-'2. Consolidated'!CD125</f>
        <v>11912</v>
      </c>
      <c r="CE194" s="36">
        <f t="shared" ref="CE194:CE199" si="546">+CD194</f>
        <v>11912</v>
      </c>
      <c r="CF194" s="43">
        <f>+CE194-'2. Consolidated'!CF124-'2. Consolidated'!CF125</f>
        <v>12165</v>
      </c>
      <c r="CG194" s="43">
        <f>+CF194-'2. Consolidated'!CG124-'2. Consolidated'!CG125</f>
        <v>12370</v>
      </c>
      <c r="CH194" s="43">
        <f>+CG194-'2. Consolidated'!CH124-'2. Consolidated'!CH125</f>
        <v>12511</v>
      </c>
      <c r="CI194" s="43">
        <f>+CH194-'2. Consolidated'!CI124-'2. Consolidated'!CI125</f>
        <v>12724</v>
      </c>
      <c r="CJ194" s="36">
        <f t="shared" ref="CJ194:CJ199" si="547">+CI194</f>
        <v>12724</v>
      </c>
      <c r="CK194" s="43">
        <f>+CJ194-'2. Consolidated'!CK124-'2. Consolidated'!CK125</f>
        <v>12844</v>
      </c>
      <c r="CL194" s="43">
        <f>+CK194-'2. Consolidated'!CL124-'2. Consolidated'!CL125</f>
        <v>12973</v>
      </c>
      <c r="CM194" s="43">
        <f>+CL194-'2. Consolidated'!CM124-'2. Consolidated'!CM125</f>
        <v>13054</v>
      </c>
      <c r="CN194" s="43">
        <f>+CM194-'2. Consolidated'!CN124-'2. Consolidated'!CN125</f>
        <v>13154</v>
      </c>
      <c r="CO194" s="36">
        <f t="shared" ref="CO194:CO199" si="548">+CN194</f>
        <v>13154</v>
      </c>
      <c r="CP194" s="43">
        <f>+CO194-'2. Consolidated'!CP124-'2. Consolidated'!CP125</f>
        <v>13361</v>
      </c>
      <c r="CQ194" s="43">
        <f>+CP194-'2. Consolidated'!CQ124-'2. Consolidated'!CQ125</f>
        <v>13554</v>
      </c>
      <c r="CR194" s="43">
        <f>+CQ194-'2. Consolidated'!CR124-'2. Consolidated'!CR125</f>
        <v>13635</v>
      </c>
      <c r="CS194" s="43">
        <f>+CR194-'2. Consolidated'!CS124-'2. Consolidated'!CS125</f>
        <v>13773</v>
      </c>
      <c r="CT194" s="36">
        <f t="shared" ref="CT194:CT199" si="549">+CS194</f>
        <v>13773</v>
      </c>
      <c r="CU194" s="43">
        <f>+CT194-'2. Consolidated'!CU124-'2. Consolidated'!CU125</f>
        <v>13980</v>
      </c>
      <c r="CV194" s="43">
        <f>+CU194-'2. Consolidated'!CV124-'2. Consolidated'!CV125</f>
        <v>14305</v>
      </c>
      <c r="CW194" s="43">
        <f>+CV194-'2. Consolidated'!CW124-'2. Consolidated'!CW125</f>
        <v>14386</v>
      </c>
      <c r="CX194" s="43">
        <f>+CW194-'2. Consolidated'!CX124-'2. Consolidated'!CX125</f>
        <v>14524</v>
      </c>
      <c r="CY194" s="36">
        <f t="shared" ref="CY194:CY199" si="550">+CX194</f>
        <v>14524</v>
      </c>
      <c r="CZ194" s="43">
        <f>+CY194-'2. Consolidated'!CZ124-'2. Consolidated'!CZ125</f>
        <v>14731</v>
      </c>
      <c r="DA194" s="43">
        <f>+CZ194-'2. Consolidated'!DA124-'2. Consolidated'!DA125</f>
        <v>15056</v>
      </c>
      <c r="DB194" s="43">
        <f>+DA194-'2. Consolidated'!DB124-'2. Consolidated'!DB125</f>
        <v>15137</v>
      </c>
      <c r="DC194" s="43">
        <f>+DB194-'2. Consolidated'!DC124-'2. Consolidated'!DC125</f>
        <v>15275</v>
      </c>
      <c r="DD194" s="36">
        <f t="shared" ref="DD194:DD199" si="551">+DC194</f>
        <v>15275</v>
      </c>
      <c r="DE194" s="43">
        <f>+DD194-'2. Consolidated'!DE124-'2. Consolidated'!DE125</f>
        <v>15482</v>
      </c>
      <c r="DF194" s="43">
        <f>+DE194-'2. Consolidated'!DF124-'2. Consolidated'!DF125</f>
        <v>15807</v>
      </c>
      <c r="DG194" s="43">
        <f>+DF194-'2. Consolidated'!DG124-'2. Consolidated'!DG125</f>
        <v>15888</v>
      </c>
      <c r="DH194" s="43">
        <f>+DG194-'2. Consolidated'!DH124-'2. Consolidated'!DH125</f>
        <v>16026</v>
      </c>
      <c r="DI194" s="36">
        <f t="shared" ref="DI194:DI199" si="552">+DH194</f>
        <v>16026</v>
      </c>
    </row>
    <row r="195" spans="1:113" s="7" customFormat="1" ht="12" hidden="1" customHeight="1" outlineLevel="1">
      <c r="A195" s="239"/>
      <c r="B195" s="450" t="s">
        <v>42</v>
      </c>
      <c r="C195" s="43">
        <v>-404.24599999999998</v>
      </c>
      <c r="D195" s="36">
        <v>-503.37799999999999</v>
      </c>
      <c r="E195" s="43">
        <v>-666.5</v>
      </c>
      <c r="F195" s="36">
        <v>-735.5</v>
      </c>
      <c r="G195" s="43">
        <v>-810.4</v>
      </c>
      <c r="H195" s="36">
        <v>-934</v>
      </c>
      <c r="I195" s="43">
        <v>-1127.2</v>
      </c>
      <c r="J195" s="36">
        <v>-1368</v>
      </c>
      <c r="K195" s="43">
        <v>-1545.4</v>
      </c>
      <c r="L195" s="36">
        <v>-1573.4</v>
      </c>
      <c r="M195" s="43">
        <v>-1750.6</v>
      </c>
      <c r="N195" s="36">
        <v>-1940.8</v>
      </c>
      <c r="O195" s="36">
        <v>-2211.9</v>
      </c>
      <c r="P195" s="43">
        <v>-2298</v>
      </c>
      <c r="Q195" s="36">
        <v>-2457.9</v>
      </c>
      <c r="R195" s="43">
        <f>+R196-R194</f>
        <v>-2503.8000000000002</v>
      </c>
      <c r="S195" s="43">
        <f>+S196-S194</f>
        <v>-2577.8000000000002</v>
      </c>
      <c r="T195" s="43">
        <f>+T196-T194</f>
        <v>-2634.8</v>
      </c>
      <c r="U195" s="43">
        <f>+U196-U194</f>
        <v>-2791</v>
      </c>
      <c r="V195" s="36">
        <v>-2791</v>
      </c>
      <c r="W195" s="43">
        <f>+W196-W194</f>
        <v>-2853</v>
      </c>
      <c r="X195" s="43">
        <f>+X196-X194</f>
        <v>-2987</v>
      </c>
      <c r="Y195" s="43">
        <f>+Y196-Y194</f>
        <v>-3079</v>
      </c>
      <c r="Z195" s="43">
        <f>+Z196-Z194</f>
        <v>-3234</v>
      </c>
      <c r="AA195" s="36">
        <f>V195-'2. Consolidated'!AA110</f>
        <v>-3164</v>
      </c>
      <c r="AB195" s="36">
        <v>-2848</v>
      </c>
      <c r="AC195" s="43">
        <f>+AC196-AC194</f>
        <v>-2873</v>
      </c>
      <c r="AD195" s="43">
        <f>+AD196-AD194</f>
        <v>-3049</v>
      </c>
      <c r="AE195" s="43">
        <f>+AE196-AE194</f>
        <v>-2412</v>
      </c>
      <c r="AF195" s="43">
        <v>-3048</v>
      </c>
      <c r="AG195" s="36">
        <v>-3048</v>
      </c>
      <c r="AH195" s="43">
        <v>-3127</v>
      </c>
      <c r="AI195" s="43">
        <f>+AI196-AI194</f>
        <v>-3252</v>
      </c>
      <c r="AJ195" s="43">
        <v>-3337</v>
      </c>
      <c r="AK195" s="43">
        <f>+AK196-AK194</f>
        <v>-3386</v>
      </c>
      <c r="AL195" s="36">
        <v>-3386</v>
      </c>
      <c r="AM195" s="43">
        <f>+AM196-AM194</f>
        <v>-3587</v>
      </c>
      <c r="AN195" s="43">
        <f>AN196-AN194</f>
        <v>-3523</v>
      </c>
      <c r="AO195" s="43">
        <f>AO196-AO194</f>
        <v>-3539</v>
      </c>
      <c r="AP195" s="43">
        <f>-3384</f>
        <v>-3384</v>
      </c>
      <c r="AQ195" s="36">
        <v>-3341</v>
      </c>
      <c r="AR195" s="43">
        <f>+AR196-AR194</f>
        <v>-3567</v>
      </c>
      <c r="AS195" s="43">
        <f>+AS196-AS194</f>
        <v>-3732</v>
      </c>
      <c r="AT195" s="43">
        <f>+AT196-AT194</f>
        <v>-3924</v>
      </c>
      <c r="AU195" s="43">
        <f>+AU196-AU194</f>
        <v>-3518</v>
      </c>
      <c r="AV195" s="36">
        <v>-3518</v>
      </c>
      <c r="AW195" s="43">
        <f>+AW196-AW194</f>
        <v>-3743</v>
      </c>
      <c r="AX195" s="43">
        <f>+AX196-AX194</f>
        <v>-3972</v>
      </c>
      <c r="AY195" s="43">
        <f>+AY196-AY194</f>
        <v>-4008</v>
      </c>
      <c r="AZ195" s="43">
        <f>+AZ196-AZ194</f>
        <v>-3969</v>
      </c>
      <c r="BA195" s="36">
        <v>-3969</v>
      </c>
      <c r="BB195" s="43">
        <f>+BB196-BB194</f>
        <v>-4142</v>
      </c>
      <c r="BC195" s="43">
        <f>+BC196-BC194</f>
        <v>-4338</v>
      </c>
      <c r="BD195" s="43">
        <f>+BC195-'2. Consolidated'!BD110</f>
        <v>-4523</v>
      </c>
      <c r="BE195" s="43">
        <f>+BE196-BE194</f>
        <v>-4437</v>
      </c>
      <c r="BF195" s="36">
        <f>+BE195</f>
        <v>-4437</v>
      </c>
      <c r="BG195" s="43">
        <f>+BG196-BG194</f>
        <v>-4747</v>
      </c>
      <c r="BH195" s="43">
        <f>+BH196-BH194</f>
        <v>-4929</v>
      </c>
      <c r="BI195" s="43">
        <f>+BI196-BI194</f>
        <v>-5044</v>
      </c>
      <c r="BJ195" s="43">
        <f>+BJ196-BJ194</f>
        <v>-4725</v>
      </c>
      <c r="BK195" s="36">
        <f t="shared" si="542"/>
        <v>-4725</v>
      </c>
      <c r="BL195" s="43">
        <f>+BL196-BL194</f>
        <v>-5138</v>
      </c>
      <c r="BM195" s="43">
        <f>+BM196-BM194</f>
        <v>-5323</v>
      </c>
      <c r="BN195" s="43">
        <f>+BN196-BN194</f>
        <v>-5453</v>
      </c>
      <c r="BO195" s="43">
        <f>+BO196-BO194</f>
        <v>-4795</v>
      </c>
      <c r="BP195" s="36">
        <f t="shared" si="543"/>
        <v>-4795</v>
      </c>
      <c r="BQ195" s="43">
        <f>+BQ196-BQ194</f>
        <v>-4868</v>
      </c>
      <c r="BR195" s="43">
        <f>+BR196-BR194</f>
        <v>-5046</v>
      </c>
      <c r="BS195" s="43">
        <f>+BS196-BS194</f>
        <v>-5040</v>
      </c>
      <c r="BT195" s="43">
        <f>+BT196-BT194</f>
        <v>-5281</v>
      </c>
      <c r="BU195" s="36">
        <f t="shared" si="544"/>
        <v>-5281</v>
      </c>
      <c r="BV195" s="43">
        <f>+BV196-BV194</f>
        <v>-5500</v>
      </c>
      <c r="BW195" s="43">
        <f>+BW196-BW194</f>
        <v>-5735</v>
      </c>
      <c r="BX195" s="43">
        <f>+BW195-'2. Consolidated'!BX110</f>
        <v>-5915</v>
      </c>
      <c r="BY195" s="43">
        <f>+BY196-BY194</f>
        <v>-6152</v>
      </c>
      <c r="BZ195" s="36">
        <f t="shared" si="545"/>
        <v>-6152</v>
      </c>
      <c r="CA195" s="43">
        <f>+CA196-CA194</f>
        <v>-6429</v>
      </c>
      <c r="CB195" s="43">
        <f>+CB196-CB194</f>
        <v>-6589</v>
      </c>
      <c r="CC195" s="43">
        <f>+CC196-CC194</f>
        <v>-6704</v>
      </c>
      <c r="CD195" s="43">
        <f>+CD196-CD194</f>
        <v>-6831</v>
      </c>
      <c r="CE195" s="36">
        <f t="shared" si="546"/>
        <v>-6831</v>
      </c>
      <c r="CF195" s="43">
        <f>+CF196-CF194</f>
        <v>-7056</v>
      </c>
      <c r="CG195" s="43">
        <f>+CG196-CG194</f>
        <v>-7217</v>
      </c>
      <c r="CH195" s="43">
        <f>+CH196-CH194</f>
        <v>-7429</v>
      </c>
      <c r="CI195" s="43">
        <f>+CI196-CI194</f>
        <v>-7724</v>
      </c>
      <c r="CJ195" s="36">
        <f t="shared" si="547"/>
        <v>-7724</v>
      </c>
      <c r="CK195" s="43">
        <f>+CK196-CK194</f>
        <v>-7896</v>
      </c>
      <c r="CL195" s="43">
        <f>+CL196-CL194</f>
        <v>-8116</v>
      </c>
      <c r="CM195" s="43">
        <f>+CM196-CM194</f>
        <v>-8337</v>
      </c>
      <c r="CN195" s="43">
        <f>+CN196-CN194</f>
        <v>-8326</v>
      </c>
      <c r="CO195" s="36">
        <f t="shared" si="548"/>
        <v>-8326</v>
      </c>
      <c r="CP195" s="43">
        <f>+CP196-CP194</f>
        <v>-8500</v>
      </c>
      <c r="CQ195" s="43">
        <f>+CQ196-CQ194</f>
        <v>-8711</v>
      </c>
      <c r="CR195" s="43">
        <f>+CR196-CR194</f>
        <v>-8869</v>
      </c>
      <c r="CS195" s="43">
        <f>+CS196-CS194</f>
        <v>-8977</v>
      </c>
      <c r="CT195" s="36">
        <f t="shared" si="549"/>
        <v>-8977</v>
      </c>
      <c r="CU195" s="43">
        <f>+CU196-CU194</f>
        <v>-9093</v>
      </c>
      <c r="CV195" s="43">
        <f>+CU195-'2. Consolidated'!CV110</f>
        <v>-9276.4750000000004</v>
      </c>
      <c r="CW195" s="43">
        <f>+CV195-'2. Consolidated'!CW110</f>
        <v>-9485.5135000000009</v>
      </c>
      <c r="CX195" s="43">
        <f>+CW195-'2. Consolidated'!CX110</f>
        <v>-9683.3385000000017</v>
      </c>
      <c r="CY195" s="36">
        <f t="shared" si="550"/>
        <v>-9683.3385000000017</v>
      </c>
      <c r="CZ195" s="43">
        <f>+CY195-'2. Consolidated'!CZ110</f>
        <v>-9882.9572500000013</v>
      </c>
      <c r="DA195" s="43">
        <f>+CZ195-'2. Consolidated'!DA110</f>
        <v>-10071.019125000001</v>
      </c>
      <c r="DB195" s="43">
        <f>+DA195-'2. Consolidated'!DB110</f>
        <v>-10285.2835875</v>
      </c>
      <c r="DC195" s="43">
        <f>+DB195-'2. Consolidated'!DC110</f>
        <v>-10488.054212499999</v>
      </c>
      <c r="DD195" s="36">
        <f t="shared" si="551"/>
        <v>-10488.054212499999</v>
      </c>
      <c r="DE195" s="43">
        <f>+DD195-'2. Consolidated'!DE110</f>
        <v>-10692.663431249999</v>
      </c>
      <c r="DF195" s="43">
        <f>+DE195-'2. Consolidated'!DF110</f>
        <v>-10885.426853125</v>
      </c>
      <c r="DG195" s="43">
        <f>+DF195-'2. Consolidated'!DG110</f>
        <v>-11105.047927187499</v>
      </c>
      <c r="DH195" s="43">
        <f>+DG195-'2. Consolidated'!DH110</f>
        <v>-11312.8878178125</v>
      </c>
      <c r="DI195" s="36">
        <f t="shared" si="552"/>
        <v>-11312.8878178125</v>
      </c>
    </row>
    <row r="196" spans="1:113" s="7" customFormat="1" ht="12" customHeight="1" collapsed="1">
      <c r="A196" s="239"/>
      <c r="B196" s="450" t="s">
        <v>43</v>
      </c>
      <c r="C196" s="43">
        <v>643.45899999999995</v>
      </c>
      <c r="D196" s="36">
        <v>922.36900000000014</v>
      </c>
      <c r="E196" s="43">
        <v>1153.0999999999999</v>
      </c>
      <c r="F196" s="36">
        <v>1265.8</v>
      </c>
      <c r="G196" s="43">
        <v>1583.4</v>
      </c>
      <c r="H196" s="36">
        <v>1618.8000000000002</v>
      </c>
      <c r="I196" s="43">
        <v>1614.4999999999998</v>
      </c>
      <c r="J196" s="36">
        <v>1620.8000000000002</v>
      </c>
      <c r="K196" s="43">
        <v>1586.9</v>
      </c>
      <c r="L196" s="36">
        <v>1605.7999999999997</v>
      </c>
      <c r="M196" s="43">
        <v>1657.7</v>
      </c>
      <c r="N196" s="36">
        <v>1678.3</v>
      </c>
      <c r="O196" s="36">
        <v>1891.1</v>
      </c>
      <c r="P196" s="43">
        <v>1957.7</v>
      </c>
      <c r="Q196" s="36">
        <v>1932</v>
      </c>
      <c r="R196" s="43">
        <v>1975</v>
      </c>
      <c r="S196" s="43">
        <v>2003</v>
      </c>
      <c r="T196" s="43">
        <v>2057</v>
      </c>
      <c r="U196" s="43">
        <v>2115</v>
      </c>
      <c r="V196" s="36">
        <v>2115</v>
      </c>
      <c r="W196" s="43">
        <v>2166</v>
      </c>
      <c r="X196" s="43">
        <v>2177</v>
      </c>
      <c r="Y196" s="43">
        <v>2205</v>
      </c>
      <c r="Z196" s="43">
        <v>2209</v>
      </c>
      <c r="AA196" s="36">
        <v>2279</v>
      </c>
      <c r="AB196" s="36">
        <v>2209</v>
      </c>
      <c r="AC196" s="43">
        <v>2291</v>
      </c>
      <c r="AD196" s="43">
        <v>2258</v>
      </c>
      <c r="AE196" s="43">
        <v>2260</v>
      </c>
      <c r="AF196" s="43">
        <f>SUM(AF194:AF195)</f>
        <v>2452</v>
      </c>
      <c r="AG196" s="36">
        <v>2452</v>
      </c>
      <c r="AH196" s="43">
        <v>2557</v>
      </c>
      <c r="AI196" s="43">
        <v>2645</v>
      </c>
      <c r="AJ196" s="43">
        <f>SUM(AJ194:AJ195)</f>
        <v>2736</v>
      </c>
      <c r="AK196" s="43">
        <v>2834</v>
      </c>
      <c r="AL196" s="36">
        <f>AL195+AL194</f>
        <v>2834</v>
      </c>
      <c r="AM196" s="43">
        <v>2895</v>
      </c>
      <c r="AN196" s="43">
        <v>2927</v>
      </c>
      <c r="AO196" s="43">
        <v>2862</v>
      </c>
      <c r="AP196" s="43">
        <f>AP194+AP195</f>
        <v>3011</v>
      </c>
      <c r="AQ196" s="36">
        <f>AQ195+AQ194</f>
        <v>3011</v>
      </c>
      <c r="AR196" s="43">
        <v>3112</v>
      </c>
      <c r="AS196" s="43">
        <v>3235</v>
      </c>
      <c r="AT196" s="43">
        <v>3329</v>
      </c>
      <c r="AU196" s="43">
        <v>3520</v>
      </c>
      <c r="AV196" s="36">
        <f>AV195+AV194</f>
        <v>3520</v>
      </c>
      <c r="AW196" s="43">
        <v>3572</v>
      </c>
      <c r="AX196" s="43">
        <v>3566</v>
      </c>
      <c r="AY196" s="43">
        <v>3793</v>
      </c>
      <c r="AZ196" s="43">
        <v>3989</v>
      </c>
      <c r="BA196" s="36">
        <v>3989</v>
      </c>
      <c r="BB196" s="43">
        <v>4086</v>
      </c>
      <c r="BC196" s="43">
        <v>4117</v>
      </c>
      <c r="BD196" s="43">
        <v>4298</v>
      </c>
      <c r="BE196" s="43">
        <v>4454</v>
      </c>
      <c r="BF196" s="36">
        <f>+BE196</f>
        <v>4454</v>
      </c>
      <c r="BG196" s="43">
        <v>4487</v>
      </c>
      <c r="BH196" s="43">
        <v>4588</v>
      </c>
      <c r="BI196" s="43">
        <v>4688</v>
      </c>
      <c r="BJ196" s="43">
        <v>4744</v>
      </c>
      <c r="BK196" s="36">
        <f t="shared" si="542"/>
        <v>4744</v>
      </c>
      <c r="BL196" s="43">
        <v>4615</v>
      </c>
      <c r="BM196" s="43">
        <v>4668</v>
      </c>
      <c r="BN196" s="43">
        <v>4783</v>
      </c>
      <c r="BO196" s="43">
        <v>4866</v>
      </c>
      <c r="BP196" s="36">
        <f t="shared" si="543"/>
        <v>4866</v>
      </c>
      <c r="BQ196" s="43">
        <v>4969</v>
      </c>
      <c r="BR196" s="43">
        <v>4959</v>
      </c>
      <c r="BS196" s="43">
        <v>4958</v>
      </c>
      <c r="BT196" s="43">
        <v>4904</v>
      </c>
      <c r="BU196" s="36">
        <f t="shared" si="544"/>
        <v>4904</v>
      </c>
      <c r="BV196" s="43">
        <v>4869</v>
      </c>
      <c r="BW196" s="43">
        <v>4812</v>
      </c>
      <c r="BX196" s="43">
        <v>4806</v>
      </c>
      <c r="BY196" s="43">
        <v>4791</v>
      </c>
      <c r="BZ196" s="36">
        <f t="shared" si="545"/>
        <v>4791</v>
      </c>
      <c r="CA196" s="43">
        <v>4778</v>
      </c>
      <c r="CB196" s="43">
        <v>4854</v>
      </c>
      <c r="CC196" s="43">
        <v>4939</v>
      </c>
      <c r="CD196" s="43">
        <v>5081</v>
      </c>
      <c r="CE196" s="36">
        <f t="shared" si="546"/>
        <v>5081</v>
      </c>
      <c r="CF196" s="43">
        <v>5109</v>
      </c>
      <c r="CG196" s="43">
        <v>5153</v>
      </c>
      <c r="CH196" s="43">
        <v>5082</v>
      </c>
      <c r="CI196" s="43">
        <v>5000</v>
      </c>
      <c r="CJ196" s="36">
        <f t="shared" si="547"/>
        <v>5000</v>
      </c>
      <c r="CK196" s="43">
        <v>4948</v>
      </c>
      <c r="CL196" s="43">
        <v>4857</v>
      </c>
      <c r="CM196" s="43">
        <v>4717</v>
      </c>
      <c r="CN196" s="43">
        <v>4828</v>
      </c>
      <c r="CO196" s="36">
        <f t="shared" si="548"/>
        <v>4828</v>
      </c>
      <c r="CP196" s="43">
        <v>4861</v>
      </c>
      <c r="CQ196" s="43">
        <v>4843</v>
      </c>
      <c r="CR196" s="43">
        <v>4766</v>
      </c>
      <c r="CS196" s="43">
        <v>4796</v>
      </c>
      <c r="CT196" s="36">
        <f t="shared" si="549"/>
        <v>4796</v>
      </c>
      <c r="CU196" s="43">
        <v>4887</v>
      </c>
      <c r="CV196" s="43">
        <f>+CV194+CV195</f>
        <v>5028.5249999999996</v>
      </c>
      <c r="CW196" s="43">
        <f>+CW194+CW195</f>
        <v>4900.4864999999991</v>
      </c>
      <c r="CX196" s="43">
        <f>+CX194+CX195</f>
        <v>4840.6614999999983</v>
      </c>
      <c r="CY196" s="36">
        <f t="shared" si="550"/>
        <v>4840.6614999999983</v>
      </c>
      <c r="CZ196" s="43">
        <f>+CZ194+CZ195</f>
        <v>4848.0427499999987</v>
      </c>
      <c r="DA196" s="43">
        <f>+DA194+DA195</f>
        <v>4984.9808749999993</v>
      </c>
      <c r="DB196" s="43">
        <f>+DB194+DB195</f>
        <v>4851.7164124999999</v>
      </c>
      <c r="DC196" s="43">
        <f>+DC194+DC195</f>
        <v>4786.9457875000007</v>
      </c>
      <c r="DD196" s="36">
        <f t="shared" si="551"/>
        <v>4786.9457875000007</v>
      </c>
      <c r="DE196" s="43">
        <f>+DE194+DE195</f>
        <v>4789.3365687500009</v>
      </c>
      <c r="DF196" s="43">
        <f>+DF194+DF195</f>
        <v>4921.573146875</v>
      </c>
      <c r="DG196" s="43">
        <f>+DG194+DG195</f>
        <v>4782.9520728125008</v>
      </c>
      <c r="DH196" s="43">
        <f>+DH194+DH195</f>
        <v>4713.1121821875004</v>
      </c>
      <c r="DI196" s="36">
        <f t="shared" si="552"/>
        <v>4713.1121821875004</v>
      </c>
    </row>
    <row r="197" spans="1:113" s="7" customFormat="1" ht="12" hidden="1" customHeight="1" outlineLevel="1">
      <c r="A197" s="239"/>
      <c r="B197" s="450" t="s">
        <v>118</v>
      </c>
      <c r="C197" s="374">
        <f t="shared" ref="C197:M197" si="553">C199/(D199/D197)</f>
        <v>516.17254226003331</v>
      </c>
      <c r="D197" s="211">
        <f t="shared" si="553"/>
        <v>504.6263543554652</v>
      </c>
      <c r="E197" s="374">
        <f t="shared" si="553"/>
        <v>473.76223414092857</v>
      </c>
      <c r="F197" s="211">
        <f t="shared" si="553"/>
        <v>463.76082855557627</v>
      </c>
      <c r="G197" s="374">
        <f t="shared" si="553"/>
        <v>446.69321250231178</v>
      </c>
      <c r="H197" s="211">
        <f t="shared" si="553"/>
        <v>431.90852598483457</v>
      </c>
      <c r="I197" s="374">
        <f t="shared" si="553"/>
        <v>476.91485111891996</v>
      </c>
      <c r="J197" s="211">
        <f t="shared" si="553"/>
        <v>199.81068984649534</v>
      </c>
      <c r="K197" s="374">
        <f t="shared" si="553"/>
        <v>545.40273719252832</v>
      </c>
      <c r="L197" s="211">
        <f t="shared" si="553"/>
        <v>588.66968744220469</v>
      </c>
      <c r="M197" s="374">
        <f t="shared" si="553"/>
        <v>583.01671906787499</v>
      </c>
      <c r="N197" s="36">
        <v>587.79999999999995</v>
      </c>
      <c r="O197" s="36">
        <v>1233.8</v>
      </c>
      <c r="P197" s="43">
        <v>708.6</v>
      </c>
      <c r="Q197" s="36">
        <v>712</v>
      </c>
      <c r="R197" s="43">
        <f>Q197+(($V$197-$Q$197)/4)</f>
        <v>750.5</v>
      </c>
      <c r="S197" s="43">
        <f>R197+(($V$197-$Q$197)/4)</f>
        <v>789</v>
      </c>
      <c r="T197" s="43">
        <f>S197+(($V$197-$Q$197)/4)</f>
        <v>827.5</v>
      </c>
      <c r="U197" s="43">
        <f>T197+(($V$197-$Q$197)/4)</f>
        <v>866</v>
      </c>
      <c r="V197" s="36">
        <f>(AA197+Q197)/2</f>
        <v>866</v>
      </c>
      <c r="W197" s="43">
        <f>V197+(($AA$197-$V$197)/4)</f>
        <v>904.5</v>
      </c>
      <c r="X197" s="43">
        <f>W197+(($AA$197-$V$197)/4)</f>
        <v>943</v>
      </c>
      <c r="Y197" s="43">
        <f>X197+(($AA$197-$V$197)/4)</f>
        <v>981.5</v>
      </c>
      <c r="Z197" s="43">
        <f>Y197+(($AA$197-$V$197)/4)</f>
        <v>1020</v>
      </c>
      <c r="AA197" s="36">
        <v>1020</v>
      </c>
      <c r="AB197" s="36">
        <v>1020</v>
      </c>
      <c r="AC197" s="43">
        <f>AB197</f>
        <v>1020</v>
      </c>
      <c r="AD197" s="43">
        <f>AC197</f>
        <v>1020</v>
      </c>
      <c r="AE197" s="43">
        <f>AC197</f>
        <v>1020</v>
      </c>
      <c r="AF197" s="374">
        <v>1020</v>
      </c>
      <c r="AG197" s="211">
        <v>1020</v>
      </c>
      <c r="AH197" s="374">
        <f>+AG197</f>
        <v>1020</v>
      </c>
      <c r="AI197" s="374">
        <f>AH197</f>
        <v>1020</v>
      </c>
      <c r="AJ197" s="374">
        <f>AH197</f>
        <v>1020</v>
      </c>
      <c r="AK197" s="374">
        <f>AI197</f>
        <v>1020</v>
      </c>
      <c r="AL197" s="211">
        <v>1020</v>
      </c>
      <c r="AM197" s="374">
        <f>+AL197</f>
        <v>1020</v>
      </c>
      <c r="AN197" s="374">
        <f>AM197</f>
        <v>1020</v>
      </c>
      <c r="AO197" s="374">
        <f>AM197</f>
        <v>1020</v>
      </c>
      <c r="AP197" s="374">
        <f>AN197</f>
        <v>1020</v>
      </c>
      <c r="AQ197" s="211">
        <f>AL197</f>
        <v>1020</v>
      </c>
      <c r="AR197" s="374">
        <f>AP197</f>
        <v>1020</v>
      </c>
      <c r="AS197" s="374">
        <f>AR197</f>
        <v>1020</v>
      </c>
      <c r="AT197" s="374">
        <f>AR197</f>
        <v>1020</v>
      </c>
      <c r="AU197" s="374">
        <f>AS197</f>
        <v>1020</v>
      </c>
      <c r="AV197" s="211">
        <v>1020</v>
      </c>
      <c r="AW197" s="43">
        <f>AW199-AW198</f>
        <v>440</v>
      </c>
      <c r="AX197" s="43">
        <f>AX199-AX198</f>
        <v>439</v>
      </c>
      <c r="AY197" s="43">
        <f>AY199-AY198</f>
        <v>439</v>
      </c>
      <c r="AZ197" s="369">
        <f>BA197</f>
        <v>439</v>
      </c>
      <c r="BA197" s="36">
        <f>139+300</f>
        <v>439</v>
      </c>
      <c r="BB197" s="43">
        <f>BB199-BB198</f>
        <v>440</v>
      </c>
      <c r="BC197" s="43">
        <f>BC199-BC198</f>
        <v>439</v>
      </c>
      <c r="BD197" s="43">
        <f>BD199-BD198</f>
        <v>439</v>
      </c>
      <c r="BE197" s="43">
        <f>154+303</f>
        <v>457</v>
      </c>
      <c r="BF197" s="36">
        <f>+BE197</f>
        <v>457</v>
      </c>
      <c r="BG197" s="43">
        <f>BG199-BG198</f>
        <v>456</v>
      </c>
      <c r="BH197" s="43">
        <f>BH199-BH198</f>
        <v>456</v>
      </c>
      <c r="BI197" s="43">
        <f>BI199-BI198</f>
        <v>455</v>
      </c>
      <c r="BJ197" s="43">
        <f>+BI197</f>
        <v>455</v>
      </c>
      <c r="BK197" s="36">
        <f t="shared" si="542"/>
        <v>455</v>
      </c>
      <c r="BL197" s="43">
        <f>BL199-BL198</f>
        <v>521</v>
      </c>
      <c r="BM197" s="43">
        <f>BM199-BM198</f>
        <v>519</v>
      </c>
      <c r="BN197" s="43">
        <f>BN199-BN198</f>
        <v>516</v>
      </c>
      <c r="BO197" s="43">
        <f>BO199-BO198</f>
        <v>515</v>
      </c>
      <c r="BP197" s="36">
        <f t="shared" si="543"/>
        <v>515</v>
      </c>
      <c r="BQ197" s="43">
        <f>BQ199-BQ198</f>
        <v>513</v>
      </c>
      <c r="BR197" s="43">
        <f>BR199-BR198</f>
        <v>511</v>
      </c>
      <c r="BS197" s="43">
        <f>BS199-BS198</f>
        <v>531</v>
      </c>
      <c r="BT197" s="43">
        <f>BT199-BT198</f>
        <v>529</v>
      </c>
      <c r="BU197" s="36">
        <f t="shared" si="544"/>
        <v>529</v>
      </c>
      <c r="BV197" s="43">
        <f>BV199-BV198</f>
        <v>527</v>
      </c>
      <c r="BW197" s="43">
        <f>BW199-BW198</f>
        <v>525</v>
      </c>
      <c r="BX197" s="43">
        <f>BX199-BX198</f>
        <v>593</v>
      </c>
      <c r="BY197" s="43">
        <f>BY199-BY198</f>
        <v>588</v>
      </c>
      <c r="BZ197" s="36">
        <f t="shared" si="545"/>
        <v>588</v>
      </c>
      <c r="CA197" s="43">
        <f>CA199-CA198</f>
        <v>583</v>
      </c>
      <c r="CB197" s="43">
        <f>CB199-CB198</f>
        <v>579</v>
      </c>
      <c r="CC197" s="43">
        <f>CC199-CC198</f>
        <v>576</v>
      </c>
      <c r="CD197" s="43">
        <f>CD199-CD198</f>
        <v>573</v>
      </c>
      <c r="CE197" s="36">
        <f t="shared" si="546"/>
        <v>573</v>
      </c>
      <c r="CF197" s="43">
        <f>CF199-CF198</f>
        <v>571</v>
      </c>
      <c r="CG197" s="43">
        <f>CG199-CG198</f>
        <v>568</v>
      </c>
      <c r="CH197" s="43">
        <f>CH199-CH198</f>
        <v>517</v>
      </c>
      <c r="CI197" s="43">
        <f>CI199-CI198</f>
        <v>517</v>
      </c>
      <c r="CJ197" s="36">
        <f t="shared" si="547"/>
        <v>517</v>
      </c>
      <c r="CK197" s="43">
        <f>CK199-CK198</f>
        <v>517</v>
      </c>
      <c r="CL197" s="43">
        <f>CL199-CL198</f>
        <v>517</v>
      </c>
      <c r="CM197" s="43">
        <f>CM199-CM198</f>
        <v>516</v>
      </c>
      <c r="CN197" s="43">
        <f>CN199-CN198</f>
        <v>517</v>
      </c>
      <c r="CO197" s="36">
        <f t="shared" si="548"/>
        <v>517</v>
      </c>
      <c r="CP197" s="43">
        <f>CP199-CP198</f>
        <v>517</v>
      </c>
      <c r="CQ197" s="43">
        <f>CQ199-CQ198</f>
        <v>517</v>
      </c>
      <c r="CR197" s="43">
        <f>CR199-CR198</f>
        <v>517</v>
      </c>
      <c r="CS197" s="43">
        <f>CS199-CS198</f>
        <v>517</v>
      </c>
      <c r="CT197" s="36">
        <f t="shared" si="549"/>
        <v>517</v>
      </c>
      <c r="CU197" s="43">
        <f>CU199-CU198</f>
        <v>517</v>
      </c>
      <c r="CV197" s="43">
        <f>CU197</f>
        <v>517</v>
      </c>
      <c r="CW197" s="43">
        <f>CV197</f>
        <v>517</v>
      </c>
      <c r="CX197" s="43">
        <f>CW197</f>
        <v>517</v>
      </c>
      <c r="CY197" s="36">
        <f t="shared" si="550"/>
        <v>517</v>
      </c>
      <c r="CZ197" s="43">
        <f>CX197</f>
        <v>517</v>
      </c>
      <c r="DA197" s="43">
        <f>CZ197</f>
        <v>517</v>
      </c>
      <c r="DB197" s="43">
        <f>DA197</f>
        <v>517</v>
      </c>
      <c r="DC197" s="43">
        <f>DB197</f>
        <v>517</v>
      </c>
      <c r="DD197" s="36">
        <f t="shared" si="551"/>
        <v>517</v>
      </c>
      <c r="DE197" s="43">
        <f>DC197</f>
        <v>517</v>
      </c>
      <c r="DF197" s="43">
        <f>DE197</f>
        <v>517</v>
      </c>
      <c r="DG197" s="43">
        <f>DF197</f>
        <v>517</v>
      </c>
      <c r="DH197" s="43">
        <f>DG197</f>
        <v>517</v>
      </c>
      <c r="DI197" s="36">
        <f t="shared" si="552"/>
        <v>517</v>
      </c>
    </row>
    <row r="198" spans="1:113" s="7" customFormat="1" ht="12" hidden="1" customHeight="1" outlineLevel="1">
      <c r="A198" s="239"/>
      <c r="B198" s="450" t="s">
        <v>117</v>
      </c>
      <c r="C198" s="43">
        <f t="shared" ref="C198:M198" si="554">C199-C197</f>
        <v>-41.360542260033355</v>
      </c>
      <c r="D198" s="36">
        <f t="shared" si="554"/>
        <v>-40.435354355465222</v>
      </c>
      <c r="E198" s="43">
        <f t="shared" si="554"/>
        <v>-37.962234140928501</v>
      </c>
      <c r="F198" s="36">
        <f t="shared" si="554"/>
        <v>-37.160828555576188</v>
      </c>
      <c r="G198" s="43">
        <f t="shared" si="554"/>
        <v>-35.79321250231186</v>
      </c>
      <c r="H198" s="36">
        <f t="shared" si="554"/>
        <v>-34.608525984834557</v>
      </c>
      <c r="I198" s="43">
        <f t="shared" si="554"/>
        <v>-38.214851118919967</v>
      </c>
      <c r="J198" s="36">
        <f t="shared" si="554"/>
        <v>-16.010689846495325</v>
      </c>
      <c r="K198" s="43">
        <f t="shared" si="554"/>
        <v>-43.702737192528332</v>
      </c>
      <c r="L198" s="36">
        <f t="shared" si="554"/>
        <v>-47.16968744220469</v>
      </c>
      <c r="M198" s="43">
        <f t="shared" si="554"/>
        <v>-46.716719067875033</v>
      </c>
      <c r="N198" s="36">
        <v>-47.100000000000023</v>
      </c>
      <c r="O198" s="36">
        <v>-41.900000000000091</v>
      </c>
      <c r="P198" s="43">
        <v>-47.700000000000159</v>
      </c>
      <c r="Q198" s="36">
        <v>-57</v>
      </c>
      <c r="R198" s="43">
        <f>R199-R197</f>
        <v>-88.5</v>
      </c>
      <c r="S198" s="43">
        <f>S199-S197</f>
        <v>-128</v>
      </c>
      <c r="T198" s="43">
        <f>T199-T197</f>
        <v>-161.5</v>
      </c>
      <c r="U198" s="43">
        <f>U199-U197</f>
        <v>-174</v>
      </c>
      <c r="V198" s="36">
        <v>-379</v>
      </c>
      <c r="W198" s="43">
        <f>W199-W197</f>
        <v>-164.5</v>
      </c>
      <c r="X198" s="43">
        <f>X199-X197</f>
        <v>-210</v>
      </c>
      <c r="Y198" s="43">
        <f>Y199-Y197</f>
        <v>-245.5</v>
      </c>
      <c r="Z198" s="43">
        <f>Z199-Z197</f>
        <v>-650</v>
      </c>
      <c r="AA198" s="36">
        <v>-485</v>
      </c>
      <c r="AB198" s="36">
        <v>-519</v>
      </c>
      <c r="AC198" s="43">
        <f t="shared" ref="AC198:AV198" si="555">AC199-AC197</f>
        <v>-282</v>
      </c>
      <c r="AD198" s="43">
        <f t="shared" si="555"/>
        <v>-515</v>
      </c>
      <c r="AE198" s="43">
        <f t="shared" si="555"/>
        <v>-513</v>
      </c>
      <c r="AF198" s="43">
        <f t="shared" si="555"/>
        <v>-507</v>
      </c>
      <c r="AG198" s="36">
        <f t="shared" si="555"/>
        <v>-507</v>
      </c>
      <c r="AH198" s="43">
        <f t="shared" si="555"/>
        <v>-506</v>
      </c>
      <c r="AI198" s="43">
        <f t="shared" si="555"/>
        <v>-504</v>
      </c>
      <c r="AJ198" s="43">
        <f t="shared" si="555"/>
        <v>-503</v>
      </c>
      <c r="AK198" s="43">
        <f t="shared" si="555"/>
        <v>-607</v>
      </c>
      <c r="AL198" s="36">
        <f t="shared" si="555"/>
        <v>-607</v>
      </c>
      <c r="AM198" s="43">
        <f t="shared" si="555"/>
        <v>-607</v>
      </c>
      <c r="AN198" s="43">
        <f t="shared" si="555"/>
        <v>-608</v>
      </c>
      <c r="AO198" s="43">
        <f t="shared" si="555"/>
        <v>-608</v>
      </c>
      <c r="AP198" s="43">
        <f t="shared" si="555"/>
        <v>-608</v>
      </c>
      <c r="AQ198" s="36">
        <f t="shared" si="555"/>
        <v>-608</v>
      </c>
      <c r="AR198" s="43">
        <f t="shared" si="555"/>
        <v>-608</v>
      </c>
      <c r="AS198" s="43">
        <f t="shared" si="555"/>
        <v>-608</v>
      </c>
      <c r="AT198" s="43">
        <f t="shared" si="555"/>
        <v>-608</v>
      </c>
      <c r="AU198" s="43">
        <f t="shared" si="555"/>
        <v>-608</v>
      </c>
      <c r="AV198" s="36">
        <f t="shared" si="555"/>
        <v>-608</v>
      </c>
      <c r="AW198" s="43">
        <f>AX198</f>
        <v>-17</v>
      </c>
      <c r="AX198" s="43">
        <f>AY198</f>
        <v>-17</v>
      </c>
      <c r="AY198" s="43">
        <f>AZ198</f>
        <v>-17</v>
      </c>
      <c r="AZ198" s="43">
        <f>AZ199-AZ197</f>
        <v>-17</v>
      </c>
      <c r="BA198" s="36">
        <f>BA199-BA197</f>
        <v>-17</v>
      </c>
      <c r="BB198" s="43">
        <f>BC198</f>
        <v>-18</v>
      </c>
      <c r="BC198" s="43">
        <f>BD198</f>
        <v>-18</v>
      </c>
      <c r="BD198" s="43">
        <f>BE198</f>
        <v>-18</v>
      </c>
      <c r="BE198" s="43">
        <f>BE199-BE197</f>
        <v>-18</v>
      </c>
      <c r="BF198" s="36">
        <f>BF199-BF197</f>
        <v>-18</v>
      </c>
      <c r="BG198" s="43">
        <f>+BE198</f>
        <v>-18</v>
      </c>
      <c r="BH198" s="43">
        <f>+BF198</f>
        <v>-18</v>
      </c>
      <c r="BI198" s="43">
        <f>+BG198</f>
        <v>-18</v>
      </c>
      <c r="BJ198" s="43">
        <f>+BI198</f>
        <v>-18</v>
      </c>
      <c r="BK198" s="36">
        <f t="shared" si="542"/>
        <v>-18</v>
      </c>
      <c r="BL198" s="43">
        <f>+BJ198</f>
        <v>-18</v>
      </c>
      <c r="BM198" s="43">
        <f>+BK198</f>
        <v>-18</v>
      </c>
      <c r="BN198" s="43">
        <f>+BL198</f>
        <v>-18</v>
      </c>
      <c r="BO198" s="43">
        <f>+BM198</f>
        <v>-18</v>
      </c>
      <c r="BP198" s="36">
        <f t="shared" si="543"/>
        <v>-18</v>
      </c>
      <c r="BQ198" s="43">
        <f>+BO198</f>
        <v>-18</v>
      </c>
      <c r="BR198" s="43">
        <f>+BP198</f>
        <v>-18</v>
      </c>
      <c r="BS198" s="43">
        <f>+BQ198</f>
        <v>-18</v>
      </c>
      <c r="BT198" s="43">
        <f>+BR198</f>
        <v>-18</v>
      </c>
      <c r="BU198" s="36">
        <f t="shared" si="544"/>
        <v>-18</v>
      </c>
      <c r="BV198" s="43">
        <f>+BT198</f>
        <v>-18</v>
      </c>
      <c r="BW198" s="43">
        <f>+BV198</f>
        <v>-18</v>
      </c>
      <c r="BX198" s="43">
        <f>+BW198</f>
        <v>-18</v>
      </c>
      <c r="BY198" s="43">
        <f>+BW198</f>
        <v>-18</v>
      </c>
      <c r="BZ198" s="36">
        <f t="shared" si="545"/>
        <v>-18</v>
      </c>
      <c r="CA198" s="43">
        <f>+BY198</f>
        <v>-18</v>
      </c>
      <c r="CB198" s="43">
        <f>+CA198</f>
        <v>-18</v>
      </c>
      <c r="CC198" s="43">
        <f>+CB198</f>
        <v>-18</v>
      </c>
      <c r="CD198" s="43">
        <f>+CC198</f>
        <v>-18</v>
      </c>
      <c r="CE198" s="36">
        <f t="shared" si="546"/>
        <v>-18</v>
      </c>
      <c r="CF198" s="43">
        <f>+CD198</f>
        <v>-18</v>
      </c>
      <c r="CG198" s="43">
        <f>+CF198</f>
        <v>-18</v>
      </c>
      <c r="CH198" s="43">
        <f>+CG198</f>
        <v>-18</v>
      </c>
      <c r="CI198" s="43">
        <f>+CH198</f>
        <v>-18</v>
      </c>
      <c r="CJ198" s="36">
        <f t="shared" si="547"/>
        <v>-18</v>
      </c>
      <c r="CK198" s="43">
        <f>+CI198</f>
        <v>-18</v>
      </c>
      <c r="CL198" s="43">
        <f>+CK198</f>
        <v>-18</v>
      </c>
      <c r="CM198" s="43">
        <f>+CL198</f>
        <v>-18</v>
      </c>
      <c r="CN198" s="43">
        <f>+CM198</f>
        <v>-18</v>
      </c>
      <c r="CO198" s="36">
        <f t="shared" si="548"/>
        <v>-18</v>
      </c>
      <c r="CP198" s="43">
        <f>+CN198</f>
        <v>-18</v>
      </c>
      <c r="CQ198" s="43">
        <f>+CO198</f>
        <v>-18</v>
      </c>
      <c r="CR198" s="43">
        <f>+CQ198</f>
        <v>-18</v>
      </c>
      <c r="CS198" s="43">
        <f>+CR198</f>
        <v>-18</v>
      </c>
      <c r="CT198" s="36">
        <f t="shared" si="549"/>
        <v>-18</v>
      </c>
      <c r="CU198" s="43">
        <f>+CS198</f>
        <v>-18</v>
      </c>
      <c r="CV198" s="43">
        <f>+CU198</f>
        <v>-18</v>
      </c>
      <c r="CW198" s="43">
        <f>+CV198</f>
        <v>-18</v>
      </c>
      <c r="CX198" s="43">
        <f>+CW198</f>
        <v>-18</v>
      </c>
      <c r="CY198" s="36">
        <f t="shared" si="550"/>
        <v>-18</v>
      </c>
      <c r="CZ198" s="43">
        <f>+CX198</f>
        <v>-18</v>
      </c>
      <c r="DA198" s="43">
        <f>+CZ198</f>
        <v>-18</v>
      </c>
      <c r="DB198" s="43">
        <f>+DA198</f>
        <v>-18</v>
      </c>
      <c r="DC198" s="43">
        <f>+DB198</f>
        <v>-18</v>
      </c>
      <c r="DD198" s="36">
        <f t="shared" si="551"/>
        <v>-18</v>
      </c>
      <c r="DE198" s="43">
        <f>+DC198</f>
        <v>-18</v>
      </c>
      <c r="DF198" s="43">
        <f>+DE198</f>
        <v>-18</v>
      </c>
      <c r="DG198" s="43">
        <f>+DF198</f>
        <v>-18</v>
      </c>
      <c r="DH198" s="43">
        <f>+DG198</f>
        <v>-18</v>
      </c>
      <c r="DI198" s="36">
        <f t="shared" si="552"/>
        <v>-18</v>
      </c>
    </row>
    <row r="199" spans="1:113" s="7" customFormat="1" ht="12" customHeight="1" collapsed="1">
      <c r="A199" s="239"/>
      <c r="B199" s="450" t="s">
        <v>82</v>
      </c>
      <c r="C199" s="43">
        <v>474.81199999999995</v>
      </c>
      <c r="D199" s="36">
        <v>464.19099999999997</v>
      </c>
      <c r="E199" s="43">
        <v>435.80000000000007</v>
      </c>
      <c r="F199" s="36">
        <v>426.60000000000008</v>
      </c>
      <c r="G199" s="43">
        <v>410.89999999999992</v>
      </c>
      <c r="H199" s="36">
        <v>397.3</v>
      </c>
      <c r="I199" s="43">
        <v>438.7</v>
      </c>
      <c r="J199" s="36">
        <v>183.8</v>
      </c>
      <c r="K199" s="43">
        <v>501.7</v>
      </c>
      <c r="L199" s="36">
        <v>541.5</v>
      </c>
      <c r="M199" s="43">
        <v>536.29999999999995</v>
      </c>
      <c r="N199" s="36">
        <f>SUM(N197:N198)</f>
        <v>540.69999999999993</v>
      </c>
      <c r="O199" s="36">
        <f>SUM(O197:O198)</f>
        <v>1191.8999999999999</v>
      </c>
      <c r="P199" s="43">
        <f>SUM(P197:P198)</f>
        <v>660.89999999999986</v>
      </c>
      <c r="Q199" s="36">
        <f>SUM(Q197:Q198)</f>
        <v>655</v>
      </c>
      <c r="R199" s="43">
        <f>470+192</f>
        <v>662</v>
      </c>
      <c r="S199" s="43">
        <f>469+192</f>
        <v>661</v>
      </c>
      <c r="T199" s="43">
        <f>472+194</f>
        <v>666</v>
      </c>
      <c r="U199" s="43">
        <f>487+205</f>
        <v>692</v>
      </c>
      <c r="V199" s="36">
        <f>SUM(V197:V198)</f>
        <v>487</v>
      </c>
      <c r="W199" s="43">
        <f>536+204</f>
        <v>740</v>
      </c>
      <c r="X199" s="43">
        <f>532+201</f>
        <v>733</v>
      </c>
      <c r="Y199" s="43">
        <f>534+202</f>
        <v>736</v>
      </c>
      <c r="Z199" s="43">
        <v>370</v>
      </c>
      <c r="AA199" s="36">
        <f>SUM(AA197:AA198)</f>
        <v>535</v>
      </c>
      <c r="AB199" s="36">
        <f>SUM(AB197:AB198)</f>
        <v>501</v>
      </c>
      <c r="AC199" s="43">
        <f>536+202</f>
        <v>738</v>
      </c>
      <c r="AD199" s="43">
        <f>374+131</f>
        <v>505</v>
      </c>
      <c r="AE199" s="43">
        <f>376+131</f>
        <v>507</v>
      </c>
      <c r="AF199" s="43">
        <f>382+131</f>
        <v>513</v>
      </c>
      <c r="AG199" s="36">
        <f>382+131</f>
        <v>513</v>
      </c>
      <c r="AH199" s="43">
        <f>383+131</f>
        <v>514</v>
      </c>
      <c r="AI199" s="43">
        <f>385+131</f>
        <v>516</v>
      </c>
      <c r="AJ199" s="43">
        <f>386+131</f>
        <v>517</v>
      </c>
      <c r="AK199" s="43">
        <f>282+131</f>
        <v>413</v>
      </c>
      <c r="AL199" s="36">
        <f>282+131</f>
        <v>413</v>
      </c>
      <c r="AM199" s="43">
        <f>282+131</f>
        <v>413</v>
      </c>
      <c r="AN199" s="43">
        <f t="shared" ref="AN199:AV199" si="556">281+131</f>
        <v>412</v>
      </c>
      <c r="AO199" s="43">
        <f t="shared" si="556"/>
        <v>412</v>
      </c>
      <c r="AP199" s="43">
        <f t="shared" si="556"/>
        <v>412</v>
      </c>
      <c r="AQ199" s="36">
        <f t="shared" si="556"/>
        <v>412</v>
      </c>
      <c r="AR199" s="43">
        <f t="shared" si="556"/>
        <v>412</v>
      </c>
      <c r="AS199" s="43">
        <f t="shared" si="556"/>
        <v>412</v>
      </c>
      <c r="AT199" s="43">
        <f t="shared" si="556"/>
        <v>412</v>
      </c>
      <c r="AU199" s="43">
        <f t="shared" si="556"/>
        <v>412</v>
      </c>
      <c r="AV199" s="36">
        <f t="shared" si="556"/>
        <v>412</v>
      </c>
      <c r="AW199" s="43">
        <f>284+139</f>
        <v>423</v>
      </c>
      <c r="AX199" s="43">
        <f>283+139</f>
        <v>422</v>
      </c>
      <c r="AY199" s="43">
        <f>283+139</f>
        <v>422</v>
      </c>
      <c r="AZ199" s="43">
        <f>283+139</f>
        <v>422</v>
      </c>
      <c r="BA199" s="36">
        <f>283+139</f>
        <v>422</v>
      </c>
      <c r="BB199" s="43">
        <f>283+139</f>
        <v>422</v>
      </c>
      <c r="BC199" s="43">
        <f>282+139</f>
        <v>421</v>
      </c>
      <c r="BD199" s="43">
        <f>282+139</f>
        <v>421</v>
      </c>
      <c r="BE199" s="43">
        <f>285+154</f>
        <v>439</v>
      </c>
      <c r="BF199" s="36">
        <f>+BE199</f>
        <v>439</v>
      </c>
      <c r="BG199" s="43">
        <f>284+154</f>
        <v>438</v>
      </c>
      <c r="BH199" s="43">
        <f>284+154</f>
        <v>438</v>
      </c>
      <c r="BI199" s="43">
        <f>283+154</f>
        <v>437</v>
      </c>
      <c r="BJ199" s="43">
        <f>283+154</f>
        <v>437</v>
      </c>
      <c r="BK199" s="36">
        <f t="shared" si="542"/>
        <v>437</v>
      </c>
      <c r="BL199" s="43">
        <f>279+224</f>
        <v>503</v>
      </c>
      <c r="BM199" s="43">
        <f>277+224</f>
        <v>501</v>
      </c>
      <c r="BN199" s="43">
        <f>275+223</f>
        <v>498</v>
      </c>
      <c r="BO199" s="43">
        <f>274+223</f>
        <v>497</v>
      </c>
      <c r="BP199" s="36">
        <f t="shared" si="543"/>
        <v>497</v>
      </c>
      <c r="BQ199" s="43">
        <f>272+223</f>
        <v>495</v>
      </c>
      <c r="BR199" s="43">
        <f>270+223</f>
        <v>493</v>
      </c>
      <c r="BS199" s="43">
        <f>271+242</f>
        <v>513</v>
      </c>
      <c r="BT199" s="43">
        <f>269+242</f>
        <v>511</v>
      </c>
      <c r="BU199" s="36">
        <f t="shared" si="544"/>
        <v>511</v>
      </c>
      <c r="BV199" s="43">
        <f>267+242</f>
        <v>509</v>
      </c>
      <c r="BW199" s="43">
        <f>265+242</f>
        <v>507</v>
      </c>
      <c r="BX199" s="43">
        <f>291+284</f>
        <v>575</v>
      </c>
      <c r="BY199" s="43">
        <f>286+284</f>
        <v>570</v>
      </c>
      <c r="BZ199" s="36">
        <f t="shared" si="545"/>
        <v>570</v>
      </c>
      <c r="CA199" s="43">
        <f>283+282</f>
        <v>565</v>
      </c>
      <c r="CB199" s="43">
        <f>280+281</f>
        <v>561</v>
      </c>
      <c r="CC199" s="43">
        <f>277+281</f>
        <v>558</v>
      </c>
      <c r="CD199" s="43">
        <f>274+281</f>
        <v>555</v>
      </c>
      <c r="CE199" s="36">
        <f t="shared" si="546"/>
        <v>555</v>
      </c>
      <c r="CF199" s="43">
        <f>272+281</f>
        <v>553</v>
      </c>
      <c r="CG199" s="43">
        <f>269+281</f>
        <v>550</v>
      </c>
      <c r="CH199" s="43">
        <f>259+240</f>
        <v>499</v>
      </c>
      <c r="CI199" s="43">
        <f>259+240</f>
        <v>499</v>
      </c>
      <c r="CJ199" s="36">
        <f t="shared" si="547"/>
        <v>499</v>
      </c>
      <c r="CK199" s="43">
        <f>240+259</f>
        <v>499</v>
      </c>
      <c r="CL199" s="43">
        <f>259+240</f>
        <v>499</v>
      </c>
      <c r="CM199" s="43">
        <f>259+239</f>
        <v>498</v>
      </c>
      <c r="CN199" s="43">
        <f>259+240</f>
        <v>499</v>
      </c>
      <c r="CO199" s="36">
        <f t="shared" si="548"/>
        <v>499</v>
      </c>
      <c r="CP199" s="43">
        <f>259+240</f>
        <v>499</v>
      </c>
      <c r="CQ199" s="43">
        <f>259+240</f>
        <v>499</v>
      </c>
      <c r="CR199" s="43">
        <f>240+259</f>
        <v>499</v>
      </c>
      <c r="CS199" s="43">
        <f>259+240</f>
        <v>499</v>
      </c>
      <c r="CT199" s="36">
        <f t="shared" si="549"/>
        <v>499</v>
      </c>
      <c r="CU199" s="43">
        <f>240+259</f>
        <v>499</v>
      </c>
      <c r="CV199" s="43">
        <f>+CV197+CV198</f>
        <v>499</v>
      </c>
      <c r="CW199" s="43">
        <f>+CW197+CW198</f>
        <v>499</v>
      </c>
      <c r="CX199" s="43">
        <f>+CX197+CX198</f>
        <v>499</v>
      </c>
      <c r="CY199" s="36">
        <f t="shared" si="550"/>
        <v>499</v>
      </c>
      <c r="CZ199" s="43">
        <f>+CZ197+CZ198</f>
        <v>499</v>
      </c>
      <c r="DA199" s="43">
        <f>+DA197+DA198</f>
        <v>499</v>
      </c>
      <c r="DB199" s="43">
        <f>+DB197+DB198</f>
        <v>499</v>
      </c>
      <c r="DC199" s="43">
        <f>+DC197+DC198</f>
        <v>499</v>
      </c>
      <c r="DD199" s="36">
        <f t="shared" si="551"/>
        <v>499</v>
      </c>
      <c r="DE199" s="43">
        <f>+DE197+DE198</f>
        <v>499</v>
      </c>
      <c r="DF199" s="43">
        <f>+DF197+DF198</f>
        <v>499</v>
      </c>
      <c r="DG199" s="43">
        <f>+DG197+DG198</f>
        <v>499</v>
      </c>
      <c r="DH199" s="43">
        <f>+DH197+DH198</f>
        <v>499</v>
      </c>
      <c r="DI199" s="36">
        <f t="shared" si="552"/>
        <v>499</v>
      </c>
    </row>
    <row r="200" spans="1:113" s="7" customFormat="1" ht="12" customHeight="1">
      <c r="A200" s="239"/>
      <c r="B200" s="450" t="s">
        <v>83</v>
      </c>
      <c r="C200" s="43">
        <v>106.417</v>
      </c>
      <c r="D200" s="36">
        <v>143.72800000000001</v>
      </c>
      <c r="E200" s="43">
        <v>275.89999999999998</v>
      </c>
      <c r="F200" s="36">
        <v>290.39999999999998</v>
      </c>
      <c r="G200" s="43">
        <v>266.2</v>
      </c>
      <c r="H200" s="36">
        <v>178.2</v>
      </c>
      <c r="I200" s="43">
        <v>232.1</v>
      </c>
      <c r="J200" s="36">
        <v>229.4</v>
      </c>
      <c r="K200" s="43">
        <v>291</v>
      </c>
      <c r="L200" s="36">
        <v>295.2</v>
      </c>
      <c r="M200" s="43">
        <v>316.60000000000002</v>
      </c>
      <c r="N200" s="36">
        <v>392.8</v>
      </c>
      <c r="O200" s="36">
        <v>520.4</v>
      </c>
      <c r="P200" s="43">
        <v>897</v>
      </c>
      <c r="Q200" s="36">
        <v>873</v>
      </c>
      <c r="R200" s="43">
        <v>883</v>
      </c>
      <c r="S200" s="43">
        <v>884</v>
      </c>
      <c r="T200" s="43">
        <v>970</v>
      </c>
      <c r="U200" s="43">
        <v>894</v>
      </c>
      <c r="V200" s="36">
        <v>1099</v>
      </c>
      <c r="W200" s="43">
        <v>858</v>
      </c>
      <c r="X200" s="43">
        <v>930</v>
      </c>
      <c r="Y200" s="43">
        <v>921</v>
      </c>
      <c r="Z200" s="43">
        <v>1041</v>
      </c>
      <c r="AA200" s="36">
        <f>201+919</f>
        <v>1120</v>
      </c>
      <c r="AB200" s="36">
        <v>910</v>
      </c>
      <c r="AC200" s="43">
        <v>949</v>
      </c>
      <c r="AD200" s="43">
        <v>973</v>
      </c>
      <c r="AE200" s="43">
        <v>1059</v>
      </c>
      <c r="AF200" s="43">
        <v>993</v>
      </c>
      <c r="AG200" s="36">
        <v>993</v>
      </c>
      <c r="AH200" s="43">
        <v>985</v>
      </c>
      <c r="AI200" s="43">
        <v>1052</v>
      </c>
      <c r="AJ200" s="43">
        <v>1140</v>
      </c>
      <c r="AK200" s="43">
        <v>1651</v>
      </c>
      <c r="AL200" s="36">
        <v>1651</v>
      </c>
      <c r="AM200" s="43">
        <v>1673</v>
      </c>
      <c r="AN200" s="43">
        <v>1795</v>
      </c>
      <c r="AO200" s="43">
        <v>2060</v>
      </c>
      <c r="AP200" s="43">
        <v>2201</v>
      </c>
      <c r="AQ200" s="36">
        <v>2201</v>
      </c>
      <c r="AR200" s="43">
        <v>2004</v>
      </c>
      <c r="AS200" s="43">
        <v>2181</v>
      </c>
      <c r="AT200" s="43">
        <v>1990</v>
      </c>
      <c r="AU200" s="43">
        <v>2439</v>
      </c>
      <c r="AV200" s="36">
        <v>2439</v>
      </c>
      <c r="AW200" s="43">
        <v>2572</v>
      </c>
      <c r="AX200" s="43">
        <v>2653</v>
      </c>
      <c r="AY200" s="43">
        <v>2732</v>
      </c>
      <c r="AZ200" s="43">
        <v>2787</v>
      </c>
      <c r="BA200" s="36">
        <v>2787</v>
      </c>
      <c r="BB200" s="43">
        <v>2947</v>
      </c>
      <c r="BC200" s="43">
        <v>2935</v>
      </c>
      <c r="BD200" s="43">
        <v>2478</v>
      </c>
      <c r="BE200" s="43">
        <v>2509</v>
      </c>
      <c r="BF200" s="36">
        <f>+BE200</f>
        <v>2509</v>
      </c>
      <c r="BG200" s="43">
        <v>2057</v>
      </c>
      <c r="BH200" s="43">
        <v>2085</v>
      </c>
      <c r="BI200" s="43">
        <v>2000</v>
      </c>
      <c r="BJ200" s="43">
        <v>2011</v>
      </c>
      <c r="BK200" s="36">
        <f>BJ200</f>
        <v>2011</v>
      </c>
      <c r="BL200" s="43">
        <v>2071</v>
      </c>
      <c r="BM200" s="43">
        <v>2182</v>
      </c>
      <c r="BN200" s="43">
        <v>2288</v>
      </c>
      <c r="BO200" s="43">
        <v>2326</v>
      </c>
      <c r="BP200" s="36">
        <f>BO200</f>
        <v>2326</v>
      </c>
      <c r="BQ200" s="43">
        <v>2699</v>
      </c>
      <c r="BR200" s="43">
        <v>2691</v>
      </c>
      <c r="BS200" s="43">
        <v>2865</v>
      </c>
      <c r="BT200" s="43">
        <v>2921</v>
      </c>
      <c r="BU200" s="36">
        <f>BT200</f>
        <v>2921</v>
      </c>
      <c r="BV200" s="43">
        <v>3071</v>
      </c>
      <c r="BW200" s="43">
        <v>3404</v>
      </c>
      <c r="BX200" s="43">
        <v>3275</v>
      </c>
      <c r="BY200" s="43">
        <v>3821</v>
      </c>
      <c r="BZ200" s="36">
        <f>BY200</f>
        <v>3821</v>
      </c>
      <c r="CA200" s="43">
        <v>3988</v>
      </c>
      <c r="CB200" s="43">
        <v>3976</v>
      </c>
      <c r="CC200" s="43">
        <v>3928</v>
      </c>
      <c r="CD200" s="43">
        <v>3770</v>
      </c>
      <c r="CE200" s="36">
        <f>CD200</f>
        <v>3770</v>
      </c>
      <c r="CF200" s="43">
        <v>3935</v>
      </c>
      <c r="CG200" s="43">
        <v>3926</v>
      </c>
      <c r="CH200" s="43">
        <v>4166</v>
      </c>
      <c r="CI200" s="43">
        <v>4511</v>
      </c>
      <c r="CJ200" s="36">
        <f>CI200</f>
        <v>4511</v>
      </c>
      <c r="CK200" s="43">
        <v>4588</v>
      </c>
      <c r="CL200" s="43">
        <v>4887</v>
      </c>
      <c r="CM200" s="43">
        <v>5355</v>
      </c>
      <c r="CN200" s="43">
        <v>5178</v>
      </c>
      <c r="CO200" s="36">
        <f>CN200</f>
        <v>5178</v>
      </c>
      <c r="CP200" s="43">
        <v>5349</v>
      </c>
      <c r="CQ200" s="43">
        <v>5536</v>
      </c>
      <c r="CR200" s="43">
        <v>5729</v>
      </c>
      <c r="CS200" s="43">
        <v>5674</v>
      </c>
      <c r="CT200" s="36">
        <f>CS200</f>
        <v>5674</v>
      </c>
      <c r="CU200" s="43">
        <v>5788</v>
      </c>
      <c r="CV200" s="43">
        <f>CU200-'2. Consolidated'!CV120-'2. Consolidated'!CV126</f>
        <v>5788</v>
      </c>
      <c r="CW200" s="43">
        <f>CV200-'2. Consolidated'!CW120-'2. Consolidated'!CW126</f>
        <v>5788</v>
      </c>
      <c r="CX200" s="43">
        <f>CW200-'2. Consolidated'!CX120-'2. Consolidated'!CX126</f>
        <v>5788</v>
      </c>
      <c r="CY200" s="36">
        <f>CX200</f>
        <v>5788</v>
      </c>
      <c r="CZ200" s="43">
        <f>CY200-'2. Consolidated'!CZ120-'2. Consolidated'!CZ126</f>
        <v>5788</v>
      </c>
      <c r="DA200" s="43">
        <f>CZ200-'2. Consolidated'!DA120-'2. Consolidated'!DA126</f>
        <v>5788</v>
      </c>
      <c r="DB200" s="43">
        <f>DA200-'2. Consolidated'!DB120-'2. Consolidated'!DB126</f>
        <v>5788</v>
      </c>
      <c r="DC200" s="43">
        <f>DB200-'2. Consolidated'!DC120-'2. Consolidated'!DC126</f>
        <v>5788</v>
      </c>
      <c r="DD200" s="36">
        <f>DC200</f>
        <v>5788</v>
      </c>
      <c r="DE200" s="43">
        <f>DD200-'2. Consolidated'!DE120-'2. Consolidated'!DE126</f>
        <v>5788</v>
      </c>
      <c r="DF200" s="43">
        <f>DE200-'2. Consolidated'!DF120-'2. Consolidated'!DF126</f>
        <v>5788</v>
      </c>
      <c r="DG200" s="43">
        <f>DF200-'2. Consolidated'!DG120-'2. Consolidated'!DG126</f>
        <v>5788</v>
      </c>
      <c r="DH200" s="43">
        <f>DG200-'2. Consolidated'!DH120-'2. Consolidated'!DH126</f>
        <v>5788</v>
      </c>
      <c r="DI200" s="36">
        <f>DH200</f>
        <v>5788</v>
      </c>
    </row>
    <row r="201" spans="1:113" s="7" customFormat="1" ht="12" customHeight="1">
      <c r="A201" s="239"/>
      <c r="B201" s="450" t="s">
        <v>313</v>
      </c>
      <c r="C201" s="39"/>
      <c r="D201" s="40"/>
      <c r="E201" s="39"/>
      <c r="F201" s="40"/>
      <c r="G201" s="39"/>
      <c r="H201" s="40"/>
      <c r="I201" s="39"/>
      <c r="J201" s="40"/>
      <c r="K201" s="39"/>
      <c r="L201" s="40"/>
      <c r="M201" s="39"/>
      <c r="N201" s="40"/>
      <c r="O201" s="40"/>
      <c r="P201" s="39"/>
      <c r="Q201" s="40"/>
      <c r="R201" s="39"/>
      <c r="S201" s="43"/>
      <c r="T201" s="39"/>
      <c r="U201" s="39"/>
      <c r="V201" s="40"/>
      <c r="W201" s="39"/>
      <c r="X201" s="39"/>
      <c r="Y201" s="39"/>
      <c r="Z201" s="39"/>
      <c r="AA201" s="40"/>
      <c r="AB201" s="40"/>
      <c r="AC201" s="39"/>
      <c r="AD201" s="39"/>
      <c r="AE201" s="39"/>
      <c r="AF201" s="39"/>
      <c r="AG201" s="40"/>
      <c r="AH201" s="39"/>
      <c r="AI201" s="39"/>
      <c r="AJ201" s="39"/>
      <c r="AK201" s="39"/>
      <c r="AL201" s="40"/>
      <c r="AM201" s="39"/>
      <c r="AN201" s="39"/>
      <c r="AO201" s="39"/>
      <c r="AP201" s="39"/>
      <c r="AQ201" s="40"/>
      <c r="AR201" s="39"/>
      <c r="AS201" s="39"/>
      <c r="AT201" s="39"/>
      <c r="AU201" s="39"/>
      <c r="AV201" s="40"/>
      <c r="AW201" s="39"/>
      <c r="AX201" s="39"/>
      <c r="AY201" s="39"/>
      <c r="AZ201" s="39"/>
      <c r="BA201" s="40"/>
      <c r="BB201" s="39"/>
      <c r="BC201" s="39"/>
      <c r="BD201" s="39"/>
      <c r="BE201" s="39"/>
      <c r="BF201" s="40"/>
      <c r="BG201" s="39"/>
      <c r="BH201" s="39"/>
      <c r="BI201" s="39"/>
      <c r="BJ201" s="39"/>
      <c r="BK201" s="40"/>
      <c r="BL201" s="39">
        <v>2832</v>
      </c>
      <c r="BM201" s="39">
        <v>2882</v>
      </c>
      <c r="BN201" s="39">
        <v>2907</v>
      </c>
      <c r="BO201" s="39">
        <v>3097</v>
      </c>
      <c r="BP201" s="40">
        <f>BO201</f>
        <v>3097</v>
      </c>
      <c r="BQ201" s="39">
        <v>3158</v>
      </c>
      <c r="BR201" s="39">
        <v>3086</v>
      </c>
      <c r="BS201" s="39">
        <v>3149</v>
      </c>
      <c r="BT201" s="39">
        <v>3113</v>
      </c>
      <c r="BU201" s="40">
        <f>BT201</f>
        <v>3113</v>
      </c>
      <c r="BV201" s="39">
        <v>3078</v>
      </c>
      <c r="BW201" s="39">
        <v>3017</v>
      </c>
      <c r="BX201" s="39">
        <v>2959</v>
      </c>
      <c r="BY201" s="39">
        <v>2926</v>
      </c>
      <c r="BZ201" s="40">
        <f>BY201</f>
        <v>2926</v>
      </c>
      <c r="CA201" s="39">
        <v>2880</v>
      </c>
      <c r="CB201" s="39">
        <v>2809</v>
      </c>
      <c r="CC201" s="39">
        <v>2834</v>
      </c>
      <c r="CD201" s="39">
        <v>2923</v>
      </c>
      <c r="CE201" s="40">
        <f>CD201</f>
        <v>2923</v>
      </c>
      <c r="CF201" s="39">
        <v>2939</v>
      </c>
      <c r="CG201" s="39">
        <v>2943</v>
      </c>
      <c r="CH201" s="39">
        <v>2856</v>
      </c>
      <c r="CI201" s="39">
        <v>2718</v>
      </c>
      <c r="CJ201" s="40">
        <f>CI201</f>
        <v>2718</v>
      </c>
      <c r="CK201" s="39">
        <v>2792</v>
      </c>
      <c r="CL201" s="39">
        <v>2736</v>
      </c>
      <c r="CM201" s="39">
        <v>2614</v>
      </c>
      <c r="CN201" s="39">
        <v>2712</v>
      </c>
      <c r="CO201" s="40">
        <f>CN201</f>
        <v>2712</v>
      </c>
      <c r="CP201" s="39">
        <v>2727</v>
      </c>
      <c r="CQ201" s="39">
        <v>2894</v>
      </c>
      <c r="CR201" s="39">
        <v>2886</v>
      </c>
      <c r="CS201" s="39">
        <v>2838</v>
      </c>
      <c r="CT201" s="40">
        <f>CS201</f>
        <v>2838</v>
      </c>
      <c r="CU201" s="39">
        <v>2947</v>
      </c>
      <c r="CV201" s="39">
        <f>CU201</f>
        <v>2947</v>
      </c>
      <c r="CW201" s="39">
        <f>CV201</f>
        <v>2947</v>
      </c>
      <c r="CX201" s="39">
        <f>CW201</f>
        <v>2947</v>
      </c>
      <c r="CY201" s="40">
        <f>CX201</f>
        <v>2947</v>
      </c>
      <c r="CZ201" s="39">
        <f>CY201</f>
        <v>2947</v>
      </c>
      <c r="DA201" s="39">
        <f>CZ201</f>
        <v>2947</v>
      </c>
      <c r="DB201" s="39">
        <f>DA201</f>
        <v>2947</v>
      </c>
      <c r="DC201" s="39">
        <f>DB201</f>
        <v>2947</v>
      </c>
      <c r="DD201" s="40">
        <f>DC201</f>
        <v>2947</v>
      </c>
      <c r="DE201" s="39">
        <f>DD201</f>
        <v>2947</v>
      </c>
      <c r="DF201" s="39">
        <f>DE201</f>
        <v>2947</v>
      </c>
      <c r="DG201" s="39">
        <f>DF201</f>
        <v>2947</v>
      </c>
      <c r="DH201" s="39">
        <f>DG201</f>
        <v>2947</v>
      </c>
      <c r="DI201" s="40">
        <f>DH201</f>
        <v>2947</v>
      </c>
    </row>
    <row r="202" spans="1:113" s="7" customFormat="1" ht="12" customHeight="1">
      <c r="A202" s="239"/>
      <c r="B202" s="450"/>
      <c r="C202" s="39"/>
      <c r="D202" s="40"/>
      <c r="E202" s="39"/>
      <c r="F202" s="40"/>
      <c r="G202" s="39"/>
      <c r="H202" s="40"/>
      <c r="I202" s="39"/>
      <c r="J202" s="40"/>
      <c r="K202" s="39"/>
      <c r="L202" s="40"/>
      <c r="M202" s="39"/>
      <c r="N202" s="40"/>
      <c r="O202" s="40"/>
      <c r="P202" s="39"/>
      <c r="Q202" s="40"/>
      <c r="R202" s="39"/>
      <c r="S202" s="43"/>
      <c r="T202" s="39"/>
      <c r="U202" s="39"/>
      <c r="V202" s="40"/>
      <c r="W202" s="39"/>
      <c r="X202" s="39"/>
      <c r="Y202" s="39"/>
      <c r="Z202" s="39"/>
      <c r="AA202" s="40"/>
      <c r="AB202" s="40"/>
      <c r="AC202" s="39"/>
      <c r="AD202" s="39"/>
      <c r="AE202" s="39"/>
      <c r="AF202" s="39"/>
      <c r="AG202" s="40"/>
      <c r="AH202" s="39"/>
      <c r="AI202" s="39"/>
      <c r="AJ202" s="39"/>
      <c r="AK202" s="39"/>
      <c r="AL202" s="40"/>
      <c r="AM202" s="39"/>
      <c r="AN202" s="39"/>
      <c r="AO202" s="39"/>
      <c r="AP202" s="39"/>
      <c r="AQ202" s="40"/>
      <c r="AR202" s="39"/>
      <c r="AS202" s="39"/>
      <c r="AT202" s="39"/>
      <c r="AU202" s="39"/>
      <c r="AV202" s="40"/>
      <c r="AW202" s="39"/>
      <c r="AX202" s="39"/>
      <c r="AY202" s="39"/>
      <c r="AZ202" s="39"/>
      <c r="BA202" s="40"/>
      <c r="BB202" s="39"/>
      <c r="BC202" s="39"/>
      <c r="BD202" s="39"/>
      <c r="BE202" s="39"/>
      <c r="BF202" s="40"/>
      <c r="BG202" s="39"/>
      <c r="BH202" s="39"/>
      <c r="BI202" s="39"/>
      <c r="BJ202" s="39"/>
      <c r="BK202" s="40"/>
      <c r="BL202" s="39"/>
      <c r="BM202" s="39"/>
      <c r="BN202" s="39"/>
      <c r="BO202" s="39"/>
      <c r="BP202" s="40"/>
      <c r="BQ202" s="39"/>
      <c r="BR202" s="39"/>
      <c r="BS202" s="39"/>
      <c r="BT202" s="39"/>
      <c r="BU202" s="40"/>
      <c r="BV202" s="39"/>
      <c r="BW202" s="39"/>
      <c r="BX202" s="39"/>
      <c r="BY202" s="39"/>
      <c r="BZ202" s="40"/>
      <c r="CA202" s="39"/>
      <c r="CB202" s="39"/>
      <c r="CC202" s="39"/>
      <c r="CD202" s="39"/>
      <c r="CE202" s="40"/>
      <c r="CF202" s="39"/>
      <c r="CG202" s="39"/>
      <c r="CH202" s="39"/>
      <c r="CI202" s="39"/>
      <c r="CJ202" s="40"/>
      <c r="CK202" s="39"/>
      <c r="CL202" s="39"/>
      <c r="CM202" s="39"/>
      <c r="CN202" s="39"/>
      <c r="CO202" s="40"/>
      <c r="CP202" s="39"/>
      <c r="CQ202" s="39"/>
      <c r="CR202" s="39"/>
      <c r="CS202" s="39"/>
      <c r="CT202" s="40"/>
      <c r="CU202" s="39"/>
      <c r="CV202" s="39"/>
      <c r="CW202" s="39"/>
      <c r="CX202" s="39"/>
      <c r="CY202" s="40"/>
      <c r="CZ202" s="39"/>
      <c r="DA202" s="39"/>
      <c r="DB202" s="39"/>
      <c r="DC202" s="39"/>
      <c r="DD202" s="40"/>
      <c r="DE202" s="39"/>
      <c r="DF202" s="39"/>
      <c r="DG202" s="39"/>
      <c r="DH202" s="39"/>
      <c r="DI202" s="40"/>
    </row>
    <row r="203" spans="1:113" s="117" customFormat="1" ht="12" customHeight="1">
      <c r="A203" s="239"/>
      <c r="B203" s="265" t="s">
        <v>44</v>
      </c>
      <c r="C203" s="48">
        <f t="shared" ref="C203:Q203" si="557">SUM(C192, C196, C199, C200)</f>
        <v>3951.6279999999997</v>
      </c>
      <c r="D203" s="266">
        <f t="shared" si="557"/>
        <v>5361.2070000000003</v>
      </c>
      <c r="E203" s="48">
        <f t="shared" si="557"/>
        <v>5397.4210000000012</v>
      </c>
      <c r="F203" s="266">
        <f t="shared" si="557"/>
        <v>5247.7</v>
      </c>
      <c r="G203" s="48">
        <f t="shared" si="557"/>
        <v>5856.9</v>
      </c>
      <c r="H203" s="266">
        <f t="shared" si="557"/>
        <v>5819.6</v>
      </c>
      <c r="I203" s="48">
        <f t="shared" si="557"/>
        <v>6443</v>
      </c>
      <c r="J203" s="266">
        <f t="shared" si="557"/>
        <v>6772</v>
      </c>
      <c r="K203" s="48">
        <f t="shared" si="557"/>
        <v>7891.5999999999995</v>
      </c>
      <c r="L203" s="266">
        <f t="shared" si="557"/>
        <v>8793.6</v>
      </c>
      <c r="M203" s="48">
        <f t="shared" si="557"/>
        <v>9869.6</v>
      </c>
      <c r="N203" s="266">
        <f t="shared" si="557"/>
        <v>10688.3</v>
      </c>
      <c r="O203" s="266">
        <f t="shared" si="557"/>
        <v>12442.7</v>
      </c>
      <c r="P203" s="48">
        <f t="shared" si="557"/>
        <v>13249.6</v>
      </c>
      <c r="Q203" s="266">
        <f t="shared" si="557"/>
        <v>14419</v>
      </c>
      <c r="R203" s="48">
        <f>SUM(R196,R192,R199,R200)</f>
        <v>14051</v>
      </c>
      <c r="S203" s="48">
        <f>SUM(S196,S192,S199,S200)</f>
        <v>14464</v>
      </c>
      <c r="T203" s="48">
        <f>SUM(T196,T192,T199,T200)</f>
        <v>14478</v>
      </c>
      <c r="U203" s="48">
        <f>SUM(U196,U192,U199,U200)</f>
        <v>14998</v>
      </c>
      <c r="V203" s="266">
        <f>SUM(V192, V196, V199, V200)</f>
        <v>14998</v>
      </c>
      <c r="W203" s="48">
        <f>SUM(W196,W192,W199,W200)</f>
        <v>14803</v>
      </c>
      <c r="X203" s="48">
        <f>SUM(X196,X192,X199,X200)</f>
        <v>14565</v>
      </c>
      <c r="Y203" s="48">
        <f>SUM(Y196,Y192,Y199,Y200)</f>
        <v>14794</v>
      </c>
      <c r="Z203" s="48">
        <v>15465</v>
      </c>
      <c r="AA203" s="266">
        <f>SUM(AA192, AA196, AA199, AA200)</f>
        <v>15465</v>
      </c>
      <c r="AB203" s="266">
        <f>SUM(AB192, AB196, AB199, AB200)</f>
        <v>15465</v>
      </c>
      <c r="AC203" s="48">
        <f t="shared" ref="AC203:BK203" si="558">SUM(AC192,AC196,AC199,AC200)</f>
        <v>15114</v>
      </c>
      <c r="AD203" s="48">
        <f t="shared" si="558"/>
        <v>15171</v>
      </c>
      <c r="AE203" s="48">
        <f t="shared" si="558"/>
        <v>15615</v>
      </c>
      <c r="AF203" s="48">
        <f t="shared" si="558"/>
        <v>17584</v>
      </c>
      <c r="AG203" s="266">
        <f t="shared" si="558"/>
        <v>17584</v>
      </c>
      <c r="AH203" s="48">
        <f t="shared" si="558"/>
        <v>17674</v>
      </c>
      <c r="AI203" s="48">
        <f t="shared" si="558"/>
        <v>17820</v>
      </c>
      <c r="AJ203" s="48">
        <f t="shared" si="558"/>
        <v>17803</v>
      </c>
      <c r="AK203" s="48">
        <f t="shared" si="558"/>
        <v>18594</v>
      </c>
      <c r="AL203" s="266">
        <f t="shared" si="558"/>
        <v>18594</v>
      </c>
      <c r="AM203" s="48">
        <f t="shared" si="558"/>
        <v>18521</v>
      </c>
      <c r="AN203" s="48">
        <f t="shared" si="558"/>
        <v>19167</v>
      </c>
      <c r="AO203" s="48">
        <f t="shared" si="558"/>
        <v>20541</v>
      </c>
      <c r="AP203" s="48">
        <f t="shared" si="558"/>
        <v>21600</v>
      </c>
      <c r="AQ203" s="266">
        <f t="shared" si="558"/>
        <v>21600</v>
      </c>
      <c r="AR203" s="48">
        <f t="shared" si="558"/>
        <v>20766</v>
      </c>
      <c r="AS203" s="48">
        <f t="shared" si="558"/>
        <v>22583</v>
      </c>
      <c r="AT203" s="48">
        <f t="shared" si="558"/>
        <v>20987</v>
      </c>
      <c r="AU203" s="48">
        <f t="shared" si="558"/>
        <v>21396</v>
      </c>
      <c r="AV203" s="266">
        <f t="shared" si="558"/>
        <v>21396</v>
      </c>
      <c r="AW203" s="48">
        <f t="shared" si="558"/>
        <v>21156</v>
      </c>
      <c r="AX203" s="48">
        <f t="shared" si="558"/>
        <v>22652</v>
      </c>
      <c r="AY203" s="48">
        <f t="shared" si="558"/>
        <v>23152</v>
      </c>
      <c r="AZ203" s="48">
        <f t="shared" si="558"/>
        <v>23259</v>
      </c>
      <c r="BA203" s="266">
        <f t="shared" si="558"/>
        <v>23259</v>
      </c>
      <c r="BB203" s="48">
        <f t="shared" si="558"/>
        <v>23647</v>
      </c>
      <c r="BC203" s="48">
        <f t="shared" si="558"/>
        <v>24055</v>
      </c>
      <c r="BD203" s="48">
        <f t="shared" si="558"/>
        <v>22552</v>
      </c>
      <c r="BE203" s="48">
        <f t="shared" si="558"/>
        <v>22536</v>
      </c>
      <c r="BF203" s="266">
        <f t="shared" si="558"/>
        <v>22536</v>
      </c>
      <c r="BG203" s="48">
        <f t="shared" si="558"/>
        <v>22483</v>
      </c>
      <c r="BH203" s="48">
        <f t="shared" si="558"/>
        <v>22677</v>
      </c>
      <c r="BI203" s="48">
        <f t="shared" si="558"/>
        <v>22921</v>
      </c>
      <c r="BJ203" s="48">
        <f t="shared" si="558"/>
        <v>23717</v>
      </c>
      <c r="BK203" s="266">
        <f t="shared" si="558"/>
        <v>23717</v>
      </c>
      <c r="BL203" s="48">
        <f t="shared" ref="BL203:DD203" si="559">SUM(BL192,BL196,BL199,BL200,BL201)</f>
        <v>26249</v>
      </c>
      <c r="BM203" s="48">
        <f t="shared" si="559"/>
        <v>26602</v>
      </c>
      <c r="BN203" s="48">
        <f t="shared" si="559"/>
        <v>26220</v>
      </c>
      <c r="BO203" s="48">
        <f t="shared" si="559"/>
        <v>31342</v>
      </c>
      <c r="BP203" s="266">
        <f t="shared" si="559"/>
        <v>31342</v>
      </c>
      <c r="BQ203" s="48">
        <f t="shared" si="559"/>
        <v>33258</v>
      </c>
      <c r="BR203" s="48">
        <f t="shared" si="559"/>
        <v>34836</v>
      </c>
      <c r="BS203" s="48">
        <f t="shared" si="559"/>
        <v>36185</v>
      </c>
      <c r="BT203" s="48">
        <f t="shared" si="559"/>
        <v>37740</v>
      </c>
      <c r="BU203" s="266">
        <f t="shared" si="559"/>
        <v>37740</v>
      </c>
      <c r="BV203" s="48">
        <f t="shared" si="559"/>
        <v>37917</v>
      </c>
      <c r="BW203" s="48">
        <f t="shared" si="559"/>
        <v>38917</v>
      </c>
      <c r="BX203" s="48">
        <f t="shared" si="559"/>
        <v>38577</v>
      </c>
      <c r="BY203" s="48">
        <f t="shared" si="559"/>
        <v>40321</v>
      </c>
      <c r="BZ203" s="266">
        <f t="shared" si="559"/>
        <v>40321</v>
      </c>
      <c r="CA203" s="48">
        <f t="shared" si="559"/>
        <v>41088</v>
      </c>
      <c r="CB203" s="48">
        <f t="shared" si="559"/>
        <v>39647</v>
      </c>
      <c r="CC203" s="48">
        <f t="shared" si="559"/>
        <v>38294</v>
      </c>
      <c r="CD203" s="48">
        <f t="shared" si="559"/>
        <v>37531</v>
      </c>
      <c r="CE203" s="266">
        <f t="shared" si="559"/>
        <v>37531</v>
      </c>
      <c r="CF203" s="48">
        <f t="shared" si="559"/>
        <v>36786</v>
      </c>
      <c r="CG203" s="48">
        <f t="shared" si="559"/>
        <v>37203</v>
      </c>
      <c r="CH203" s="48">
        <f t="shared" si="559"/>
        <v>37356</v>
      </c>
      <c r="CI203" s="48">
        <f t="shared" si="559"/>
        <v>38110</v>
      </c>
      <c r="CJ203" s="266">
        <f t="shared" si="559"/>
        <v>38110</v>
      </c>
      <c r="CK203" s="48">
        <f t="shared" si="559"/>
        <v>37867</v>
      </c>
      <c r="CL203" s="48">
        <f t="shared" si="559"/>
        <v>37959</v>
      </c>
      <c r="CM203" s="48">
        <f t="shared" si="559"/>
        <v>37793</v>
      </c>
      <c r="CN203" s="48">
        <f t="shared" si="559"/>
        <v>36579</v>
      </c>
      <c r="CO203" s="266">
        <f t="shared" si="559"/>
        <v>36579</v>
      </c>
      <c r="CP203" s="48">
        <f t="shared" si="559"/>
        <v>37334</v>
      </c>
      <c r="CQ203" s="48">
        <f t="shared" si="559"/>
        <v>37787</v>
      </c>
      <c r="CR203" s="48">
        <f t="shared" si="559"/>
        <v>37064</v>
      </c>
      <c r="CS203" s="48">
        <f t="shared" si="559"/>
        <v>38410</v>
      </c>
      <c r="CT203" s="266">
        <f t="shared" si="559"/>
        <v>38410</v>
      </c>
      <c r="CU203" s="48">
        <f t="shared" si="559"/>
        <v>37794</v>
      </c>
      <c r="CV203" s="48">
        <f t="shared" si="559"/>
        <v>37871.200947774487</v>
      </c>
      <c r="CW203" s="48">
        <f t="shared" si="559"/>
        <v>36983.161517267843</v>
      </c>
      <c r="CX203" s="48">
        <f t="shared" si="559"/>
        <v>37527.035267336702</v>
      </c>
      <c r="CY203" s="266">
        <f t="shared" si="559"/>
        <v>37527.035267336702</v>
      </c>
      <c r="CZ203" s="48">
        <f t="shared" si="559"/>
        <v>37579.021002348367</v>
      </c>
      <c r="DA203" s="48">
        <f t="shared" si="559"/>
        <v>37665.024224022163</v>
      </c>
      <c r="DB203" s="48">
        <f t="shared" si="559"/>
        <v>36824.398931847645</v>
      </c>
      <c r="DC203" s="48">
        <f t="shared" si="559"/>
        <v>37264.844280882797</v>
      </c>
      <c r="DD203" s="266">
        <f t="shared" si="559"/>
        <v>37264.844280882797</v>
      </c>
      <c r="DE203" s="48">
        <f t="shared" ref="DE203:DI203" si="560">SUM(DE192,DE196,DE199,DE200,DE201)</f>
        <v>37131.940639540975</v>
      </c>
      <c r="DF203" s="48">
        <f t="shared" si="560"/>
        <v>37002.398714018622</v>
      </c>
      <c r="DG203" s="48">
        <f t="shared" si="560"/>
        <v>35946.448595035414</v>
      </c>
      <c r="DH203" s="48">
        <f t="shared" si="560"/>
        <v>36153.382520014093</v>
      </c>
      <c r="DI203" s="266">
        <f t="shared" si="560"/>
        <v>36153.382520014093</v>
      </c>
    </row>
    <row r="204" spans="1:113" s="7" customFormat="1" ht="12" customHeight="1">
      <c r="A204" s="239"/>
      <c r="B204" s="450"/>
      <c r="C204" s="43"/>
      <c r="D204" s="36"/>
      <c r="E204" s="43"/>
      <c r="F204" s="36"/>
      <c r="G204" s="43"/>
      <c r="H204" s="36"/>
      <c r="I204" s="43"/>
      <c r="J204" s="36"/>
      <c r="K204" s="39"/>
      <c r="L204" s="40"/>
      <c r="M204" s="39"/>
      <c r="N204" s="40"/>
      <c r="O204" s="40"/>
      <c r="P204" s="39"/>
      <c r="Q204" s="40"/>
      <c r="R204" s="39"/>
      <c r="S204" s="43"/>
      <c r="T204" s="39"/>
      <c r="U204" s="39"/>
      <c r="V204" s="40"/>
      <c r="W204" s="39"/>
      <c r="X204" s="39"/>
      <c r="Y204" s="39"/>
      <c r="Z204" s="39"/>
      <c r="AA204" s="36"/>
      <c r="AB204" s="36"/>
      <c r="AC204" s="43"/>
      <c r="AD204" s="43"/>
      <c r="AE204" s="43"/>
      <c r="AF204" s="43"/>
      <c r="AG204" s="36"/>
      <c r="AH204" s="43"/>
      <c r="AI204" s="43"/>
      <c r="AJ204" s="43"/>
      <c r="AK204" s="43"/>
      <c r="AL204" s="36"/>
      <c r="AM204" s="43"/>
      <c r="AN204" s="43"/>
      <c r="AO204" s="43"/>
      <c r="AP204" s="43"/>
      <c r="AQ204" s="36"/>
      <c r="AR204" s="43"/>
      <c r="AS204" s="43"/>
      <c r="AT204" s="43"/>
      <c r="AU204" s="43"/>
      <c r="AV204" s="36"/>
      <c r="AW204" s="43"/>
      <c r="AX204" s="43"/>
      <c r="AY204" s="43"/>
      <c r="AZ204" s="43"/>
      <c r="BA204" s="36"/>
      <c r="BB204" s="43"/>
      <c r="BC204" s="43"/>
      <c r="BD204" s="43"/>
      <c r="BE204" s="43"/>
      <c r="BF204" s="36"/>
      <c r="BG204" s="43"/>
      <c r="BH204" s="43"/>
      <c r="BI204" s="43"/>
      <c r="BJ204" s="43"/>
      <c r="BK204" s="36"/>
      <c r="BL204" s="43"/>
      <c r="BM204" s="43"/>
      <c r="BN204" s="43"/>
      <c r="BO204" s="43"/>
      <c r="BP204" s="36"/>
      <c r="BQ204" s="43"/>
      <c r="BR204" s="43"/>
      <c r="BS204" s="43"/>
      <c r="BT204" s="43"/>
      <c r="BU204" s="36"/>
      <c r="BV204" s="43"/>
      <c r="BW204" s="43"/>
      <c r="BX204" s="43"/>
      <c r="BY204" s="43"/>
      <c r="BZ204" s="36"/>
      <c r="CA204" s="43"/>
      <c r="CB204" s="43"/>
      <c r="CC204" s="43"/>
      <c r="CD204" s="43"/>
      <c r="CE204" s="36"/>
      <c r="CF204" s="43"/>
      <c r="CG204" s="43"/>
      <c r="CH204" s="43"/>
      <c r="CI204" s="43"/>
      <c r="CJ204" s="36"/>
      <c r="CK204" s="43"/>
      <c r="CL204" s="43"/>
      <c r="CM204" s="43"/>
      <c r="CN204" s="43"/>
      <c r="CO204" s="36"/>
      <c r="CP204" s="43"/>
      <c r="CQ204" s="43"/>
      <c r="CR204" s="43"/>
      <c r="CS204" s="43"/>
      <c r="CT204" s="36"/>
      <c r="CU204" s="43"/>
      <c r="CV204" s="43"/>
      <c r="CW204" s="43"/>
      <c r="CX204" s="43"/>
      <c r="CY204" s="36"/>
      <c r="CZ204" s="43"/>
      <c r="DA204" s="43"/>
      <c r="DB204" s="43"/>
      <c r="DC204" s="43"/>
      <c r="DD204" s="36"/>
      <c r="DE204" s="43"/>
      <c r="DF204" s="43"/>
      <c r="DG204" s="43"/>
      <c r="DH204" s="43"/>
      <c r="DI204" s="36"/>
    </row>
    <row r="205" spans="1:113" s="7" customFormat="1" ht="12" customHeight="1">
      <c r="A205" s="239"/>
      <c r="B205" s="450" t="s">
        <v>45</v>
      </c>
      <c r="C205" s="43">
        <v>455.03399999999999</v>
      </c>
      <c r="D205" s="36">
        <v>687.12099999999998</v>
      </c>
      <c r="E205" s="43">
        <v>584.6</v>
      </c>
      <c r="F205" s="36">
        <v>373.2</v>
      </c>
      <c r="G205" s="43">
        <v>543.79999999999995</v>
      </c>
      <c r="H205" s="36">
        <v>432</v>
      </c>
      <c r="I205" s="43">
        <v>504.4</v>
      </c>
      <c r="J205" s="36">
        <v>572.70000000000005</v>
      </c>
      <c r="K205" s="43">
        <v>763.8</v>
      </c>
      <c r="L205" s="36">
        <v>843.9</v>
      </c>
      <c r="M205" s="43">
        <v>952.2</v>
      </c>
      <c r="N205" s="36">
        <v>1040.3</v>
      </c>
      <c r="O205" s="36">
        <v>1287.5999999999999</v>
      </c>
      <c r="P205" s="43">
        <v>1031.9000000000001</v>
      </c>
      <c r="Q205" s="36">
        <v>1255</v>
      </c>
      <c r="R205" s="43">
        <v>1101</v>
      </c>
      <c r="S205" s="43">
        <v>1225</v>
      </c>
      <c r="T205" s="43">
        <v>1147</v>
      </c>
      <c r="U205" s="43">
        <v>1469</v>
      </c>
      <c r="V205" s="36">
        <v>1469</v>
      </c>
      <c r="W205" s="43">
        <v>1421</v>
      </c>
      <c r="X205" s="43">
        <v>1411</v>
      </c>
      <c r="Y205" s="43">
        <v>1298</v>
      </c>
      <c r="Z205" s="43">
        <v>1548</v>
      </c>
      <c r="AA205" s="36">
        <v>1588</v>
      </c>
      <c r="AB205" s="36">
        <v>1548</v>
      </c>
      <c r="AC205" s="43">
        <v>1551</v>
      </c>
      <c r="AD205" s="43">
        <v>1519</v>
      </c>
      <c r="AE205" s="43">
        <v>1241</v>
      </c>
      <c r="AF205" s="43">
        <v>1646</v>
      </c>
      <c r="AG205" s="36">
        <v>1646</v>
      </c>
      <c r="AH205" s="43">
        <v>1559</v>
      </c>
      <c r="AI205" s="43">
        <v>1612</v>
      </c>
      <c r="AJ205" s="43">
        <f>1480+45</f>
        <v>1525</v>
      </c>
      <c r="AK205" s="43">
        <v>1930</v>
      </c>
      <c r="AL205" s="36">
        <v>1930</v>
      </c>
      <c r="AM205" s="43">
        <v>1970</v>
      </c>
      <c r="AN205" s="43">
        <v>2074</v>
      </c>
      <c r="AO205" s="43">
        <v>1821</v>
      </c>
      <c r="AP205" s="43">
        <v>2131</v>
      </c>
      <c r="AQ205" s="36">
        <v>2131</v>
      </c>
      <c r="AR205" s="43">
        <v>1933</v>
      </c>
      <c r="AS205" s="43">
        <v>1915</v>
      </c>
      <c r="AT205" s="43">
        <v>1714</v>
      </c>
      <c r="AU205" s="43">
        <v>2191</v>
      </c>
      <c r="AV205" s="36">
        <v>2191</v>
      </c>
      <c r="AW205" s="43">
        <v>2088</v>
      </c>
      <c r="AX205" s="43">
        <v>2033</v>
      </c>
      <c r="AY205" s="43">
        <v>1938</v>
      </c>
      <c r="AZ205" s="43">
        <v>2048</v>
      </c>
      <c r="BA205" s="36">
        <v>2048</v>
      </c>
      <c r="BB205" s="43">
        <v>2116</v>
      </c>
      <c r="BC205" s="43">
        <v>2141</v>
      </c>
      <c r="BD205" s="43">
        <v>1961</v>
      </c>
      <c r="BE205" s="43">
        <v>2279</v>
      </c>
      <c r="BF205" s="36">
        <f>+BE205</f>
        <v>2279</v>
      </c>
      <c r="BG205" s="43">
        <v>2333</v>
      </c>
      <c r="BH205" s="43">
        <v>2574</v>
      </c>
      <c r="BI205" s="43">
        <v>2307</v>
      </c>
      <c r="BJ205" s="43">
        <v>2612</v>
      </c>
      <c r="BK205" s="36">
        <f>+BJ205</f>
        <v>2612</v>
      </c>
      <c r="BL205" s="43">
        <v>2716</v>
      </c>
      <c r="BM205" s="43">
        <v>2627</v>
      </c>
      <c r="BN205" s="43">
        <v>2221</v>
      </c>
      <c r="BO205" s="43">
        <v>2248</v>
      </c>
      <c r="BP205" s="36">
        <f>+BO205</f>
        <v>2248</v>
      </c>
      <c r="BQ205" s="43">
        <v>1983</v>
      </c>
      <c r="BR205" s="43">
        <v>2154</v>
      </c>
      <c r="BS205" s="43">
        <v>2257</v>
      </c>
      <c r="BT205" s="43">
        <v>2836</v>
      </c>
      <c r="BU205" s="36">
        <f>+BT205</f>
        <v>2836</v>
      </c>
      <c r="BV205" s="43">
        <v>2135</v>
      </c>
      <c r="BW205" s="43">
        <v>2795</v>
      </c>
      <c r="BX205" s="43">
        <v>2770</v>
      </c>
      <c r="BY205" s="43">
        <v>3358</v>
      </c>
      <c r="BZ205" s="36">
        <f>+BY205</f>
        <v>3358</v>
      </c>
      <c r="CA205" s="43">
        <v>3371</v>
      </c>
      <c r="CB205" s="43">
        <v>2810</v>
      </c>
      <c r="CC205" s="43">
        <v>2675</v>
      </c>
      <c r="CD205" s="43">
        <v>2862</v>
      </c>
      <c r="CE205" s="36">
        <f>+CD205</f>
        <v>2862</v>
      </c>
      <c r="CF205" s="43">
        <v>2738</v>
      </c>
      <c r="CG205" s="43">
        <v>2709</v>
      </c>
      <c r="CH205" s="43">
        <v>2340</v>
      </c>
      <c r="CI205" s="43">
        <v>2851</v>
      </c>
      <c r="CJ205" s="36">
        <f>+CI205</f>
        <v>2851</v>
      </c>
      <c r="CK205" s="43">
        <v>3357</v>
      </c>
      <c r="CL205" s="43">
        <v>3255</v>
      </c>
      <c r="CM205" s="43">
        <v>3106</v>
      </c>
      <c r="CN205" s="43">
        <v>3479</v>
      </c>
      <c r="CO205" s="36">
        <f>+CN205</f>
        <v>3479</v>
      </c>
      <c r="CP205" s="43">
        <v>3772</v>
      </c>
      <c r="CQ205" s="43">
        <v>3717</v>
      </c>
      <c r="CR205" s="43">
        <v>2888</v>
      </c>
      <c r="CS205" s="43">
        <v>3600</v>
      </c>
      <c r="CT205" s="36">
        <f>+CS205</f>
        <v>3600</v>
      </c>
      <c r="CU205" s="43">
        <v>3420</v>
      </c>
      <c r="CV205" s="43">
        <f>+CV223*CV230</f>
        <v>3419.377988186357</v>
      </c>
      <c r="CW205" s="43">
        <f>+CW223*CW230</f>
        <v>2586.1420241059318</v>
      </c>
      <c r="CX205" s="43">
        <f>+CX223*CX230</f>
        <v>3396.8936641145419</v>
      </c>
      <c r="CY205" s="36">
        <f>+CX205</f>
        <v>3396.8936641145419</v>
      </c>
      <c r="CZ205" s="43">
        <f>+CZ223*CZ230</f>
        <v>3212.2613610470726</v>
      </c>
      <c r="DA205" s="43">
        <f>+DA223*DA230</f>
        <v>3292.9170510826211</v>
      </c>
      <c r="DB205" s="43">
        <f>+DB223*DB230</f>
        <v>2526.3580159330736</v>
      </c>
      <c r="DC205" s="43">
        <f>+DC223*DC230</f>
        <v>3253.3053808039003</v>
      </c>
      <c r="DD205" s="36">
        <f>+DC205</f>
        <v>3253.3053808039003</v>
      </c>
      <c r="DE205" s="43">
        <f>+DE223*DE230</f>
        <v>3129.1703744428823</v>
      </c>
      <c r="DF205" s="43">
        <f>+DF223*DF230</f>
        <v>3241.5698629648737</v>
      </c>
      <c r="DG205" s="43">
        <f>+DG223*DG230</f>
        <v>2505.0913045224083</v>
      </c>
      <c r="DH205" s="43">
        <f>+DH223*DH230</f>
        <v>3247.3441196083918</v>
      </c>
      <c r="DI205" s="36">
        <f>+DH205</f>
        <v>3247.3441196083918</v>
      </c>
    </row>
    <row r="206" spans="1:113" s="7" customFormat="1" ht="12" customHeight="1">
      <c r="A206" s="239"/>
      <c r="B206" s="450" t="s">
        <v>46</v>
      </c>
      <c r="C206" s="43">
        <v>480.40699999999998</v>
      </c>
      <c r="D206" s="36">
        <v>570.50400000000002</v>
      </c>
      <c r="E206" s="43">
        <v>608.5</v>
      </c>
      <c r="F206" s="36">
        <v>653.6</v>
      </c>
      <c r="G206" s="43">
        <v>621.9</v>
      </c>
      <c r="H206" s="36">
        <v>472.1</v>
      </c>
      <c r="I206" s="43">
        <v>768.3</v>
      </c>
      <c r="J206" s="36">
        <v>1054.2</v>
      </c>
      <c r="K206" s="43">
        <v>974.4</v>
      </c>
      <c r="L206" s="36">
        <v>984.3</v>
      </c>
      <c r="M206" s="43">
        <v>1286.9000000000001</v>
      </c>
      <c r="N206" s="36">
        <v>1303.4000000000001</v>
      </c>
      <c r="O206" s="36">
        <v>1761.9</v>
      </c>
      <c r="P206" s="43">
        <v>1783.9</v>
      </c>
      <c r="Q206" s="36">
        <v>1904</v>
      </c>
      <c r="R206" s="43">
        <v>1696</v>
      </c>
      <c r="S206" s="43">
        <v>1685</v>
      </c>
      <c r="T206" s="43">
        <v>1745</v>
      </c>
      <c r="U206" s="43">
        <v>1985</v>
      </c>
      <c r="V206" s="36">
        <v>1985</v>
      </c>
      <c r="W206" s="43">
        <v>1968</v>
      </c>
      <c r="X206" s="43">
        <v>1834</v>
      </c>
      <c r="Y206" s="43">
        <v>1913</v>
      </c>
      <c r="Z206" s="43">
        <v>1941</v>
      </c>
      <c r="AA206" s="36">
        <v>2053</v>
      </c>
      <c r="AB206" s="36">
        <v>1941</v>
      </c>
      <c r="AC206" s="43">
        <v>1974</v>
      </c>
      <c r="AD206" s="43">
        <v>1879</v>
      </c>
      <c r="AE206" s="43">
        <v>1899</v>
      </c>
      <c r="AF206" s="43">
        <v>1986</v>
      </c>
      <c r="AG206" s="36">
        <v>1986</v>
      </c>
      <c r="AH206" s="43">
        <v>1913</v>
      </c>
      <c r="AI206" s="43">
        <v>2005</v>
      </c>
      <c r="AJ206" s="43">
        <f>2303</f>
        <v>2303</v>
      </c>
      <c r="AK206" s="43">
        <v>2491</v>
      </c>
      <c r="AL206" s="36">
        <v>2491</v>
      </c>
      <c r="AM206" s="43">
        <v>2441</v>
      </c>
      <c r="AN206" s="43">
        <v>2622</v>
      </c>
      <c r="AO206" s="43">
        <v>3563</v>
      </c>
      <c r="AP206" s="43">
        <v>3951</v>
      </c>
      <c r="AQ206" s="36">
        <v>3951</v>
      </c>
      <c r="AR206" s="43">
        <v>3139</v>
      </c>
      <c r="AS206" s="43">
        <v>3451</v>
      </c>
      <c r="AT206" s="43">
        <v>3224</v>
      </c>
      <c r="AU206" s="43">
        <v>3037</v>
      </c>
      <c r="AV206" s="36">
        <v>3037</v>
      </c>
      <c r="AW206" s="43">
        <v>3147</v>
      </c>
      <c r="AX206" s="43">
        <v>3076</v>
      </c>
      <c r="AY206" s="43">
        <v>3228</v>
      </c>
      <c r="AZ206" s="43">
        <v>3011</v>
      </c>
      <c r="BA206" s="36">
        <v>3011</v>
      </c>
      <c r="BB206" s="43">
        <v>3501</v>
      </c>
      <c r="BC206" s="43">
        <v>3278</v>
      </c>
      <c r="BD206" s="43">
        <v>3727</v>
      </c>
      <c r="BE206" s="369">
        <v>3269</v>
      </c>
      <c r="BF206" s="36">
        <f>+BE206</f>
        <v>3269</v>
      </c>
      <c r="BG206" s="369">
        <v>4174</v>
      </c>
      <c r="BH206" s="369">
        <v>4478</v>
      </c>
      <c r="BI206" s="369">
        <v>4738</v>
      </c>
      <c r="BJ206" s="369">
        <v>5010</v>
      </c>
      <c r="BK206" s="15">
        <f>+BJ206</f>
        <v>5010</v>
      </c>
      <c r="BL206" s="369">
        <v>4455</v>
      </c>
      <c r="BM206" s="369">
        <v>4672</v>
      </c>
      <c r="BN206" s="369">
        <v>5356</v>
      </c>
      <c r="BO206" s="369">
        <v>5184</v>
      </c>
      <c r="BP206" s="15">
        <f>+BO206</f>
        <v>5184</v>
      </c>
      <c r="BQ206" s="369">
        <v>5742</v>
      </c>
      <c r="BR206" s="369">
        <v>6030</v>
      </c>
      <c r="BS206" s="369">
        <v>5907</v>
      </c>
      <c r="BT206" s="369">
        <v>6063</v>
      </c>
      <c r="BU206" s="15">
        <f>+BT206</f>
        <v>6063</v>
      </c>
      <c r="BV206" s="369">
        <v>5296</v>
      </c>
      <c r="BW206" s="369">
        <v>5431</v>
      </c>
      <c r="BX206" s="369">
        <v>5391</v>
      </c>
      <c r="BY206" s="369">
        <v>6220</v>
      </c>
      <c r="BZ206" s="15">
        <f>+BY206</f>
        <v>6220</v>
      </c>
      <c r="CA206" s="369">
        <v>6277</v>
      </c>
      <c r="CB206" s="369">
        <v>6020</v>
      </c>
      <c r="CC206" s="369">
        <v>5594</v>
      </c>
      <c r="CD206" s="369">
        <v>5723</v>
      </c>
      <c r="CE206" s="15">
        <f>+CD206</f>
        <v>5723</v>
      </c>
      <c r="CF206" s="369">
        <v>4987</v>
      </c>
      <c r="CG206" s="369">
        <v>5470</v>
      </c>
      <c r="CH206" s="369">
        <v>5818</v>
      </c>
      <c r="CI206" s="369">
        <v>5725</v>
      </c>
      <c r="CJ206" s="15">
        <f>+CI206</f>
        <v>5725</v>
      </c>
      <c r="CK206" s="369">
        <v>5075</v>
      </c>
      <c r="CL206" s="369">
        <v>5694</v>
      </c>
      <c r="CM206" s="369">
        <v>5905</v>
      </c>
      <c r="CN206" s="369">
        <v>5911</v>
      </c>
      <c r="CO206" s="15">
        <f>+CN206</f>
        <v>5911</v>
      </c>
      <c r="CP206" s="369">
        <v>5923</v>
      </c>
      <c r="CQ206" s="369">
        <v>5919</v>
      </c>
      <c r="CR206" s="369">
        <v>6183</v>
      </c>
      <c r="CS206" s="369">
        <v>6092</v>
      </c>
      <c r="CT206" s="15">
        <f>+CS206</f>
        <v>6092</v>
      </c>
      <c r="CU206" s="369">
        <v>5338</v>
      </c>
      <c r="CV206" s="369">
        <f t="shared" ref="CV206:CX208" si="561">+CU206</f>
        <v>5338</v>
      </c>
      <c r="CW206" s="369">
        <f t="shared" si="561"/>
        <v>5338</v>
      </c>
      <c r="CX206" s="369">
        <f t="shared" si="561"/>
        <v>5338</v>
      </c>
      <c r="CY206" s="15">
        <f>+CX206</f>
        <v>5338</v>
      </c>
      <c r="CZ206" s="369">
        <f t="shared" ref="CZ206:DC208" si="562">+CY206</f>
        <v>5338</v>
      </c>
      <c r="DA206" s="369">
        <f t="shared" si="562"/>
        <v>5338</v>
      </c>
      <c r="DB206" s="369">
        <f t="shared" si="562"/>
        <v>5338</v>
      </c>
      <c r="DC206" s="369">
        <f t="shared" si="562"/>
        <v>5338</v>
      </c>
      <c r="DD206" s="15">
        <f>+DC206</f>
        <v>5338</v>
      </c>
      <c r="DE206" s="369">
        <f t="shared" ref="DE206:DE208" si="563">+DD206</f>
        <v>5338</v>
      </c>
      <c r="DF206" s="369">
        <f t="shared" ref="DF206:DF208" si="564">+DE206</f>
        <v>5338</v>
      </c>
      <c r="DG206" s="369">
        <f t="shared" ref="DG206:DG208" si="565">+DF206</f>
        <v>5338</v>
      </c>
      <c r="DH206" s="369">
        <f t="shared" ref="DH206:DH208" si="566">+DG206</f>
        <v>5338</v>
      </c>
      <c r="DI206" s="15">
        <f>+DH206</f>
        <v>5338</v>
      </c>
    </row>
    <row r="207" spans="1:113" s="7" customFormat="1" ht="12" customHeight="1">
      <c r="A207" s="239"/>
      <c r="B207" s="450" t="s">
        <v>47</v>
      </c>
      <c r="C207" s="43">
        <v>452.36500000000001</v>
      </c>
      <c r="D207" s="36">
        <v>555.36900000000003</v>
      </c>
      <c r="E207" s="43">
        <v>481.82100000000202</v>
      </c>
      <c r="F207" s="36">
        <v>420.1</v>
      </c>
      <c r="G207" s="43">
        <v>974.30000000000007</v>
      </c>
      <c r="H207" s="36">
        <v>860.69999999999993</v>
      </c>
      <c r="I207" s="43">
        <v>480.5</v>
      </c>
      <c r="J207" s="36">
        <v>281.10000000000002</v>
      </c>
      <c r="K207" s="43">
        <v>152.6</v>
      </c>
      <c r="L207" s="36">
        <v>76</v>
      </c>
      <c r="M207" s="43">
        <v>298.7</v>
      </c>
      <c r="N207" s="36">
        <v>131.30000000000001</v>
      </c>
      <c r="O207" s="36">
        <v>184</v>
      </c>
      <c r="P207" s="43">
        <v>374.9</v>
      </c>
      <c r="Q207" s="36">
        <v>146</v>
      </c>
      <c r="R207" s="43">
        <f>132+109</f>
        <v>241</v>
      </c>
      <c r="S207" s="43">
        <f>132+128</f>
        <v>260</v>
      </c>
      <c r="T207" s="43">
        <f>198+139</f>
        <v>337</v>
      </c>
      <c r="U207" s="43">
        <f>200+187</f>
        <v>387</v>
      </c>
      <c r="V207" s="36">
        <v>387</v>
      </c>
      <c r="W207" s="43">
        <f>116+164</f>
        <v>280</v>
      </c>
      <c r="X207" s="43">
        <f>114+123</f>
        <v>237</v>
      </c>
      <c r="Y207" s="43">
        <f>49+91</f>
        <v>140</v>
      </c>
      <c r="Z207" s="43">
        <v>157</v>
      </c>
      <c r="AA207" s="36">
        <f>49+108</f>
        <v>157</v>
      </c>
      <c r="AB207" s="36">
        <f>49+108</f>
        <v>157</v>
      </c>
      <c r="AC207" s="43">
        <f>9+129</f>
        <v>138</v>
      </c>
      <c r="AD207" s="43">
        <f>58+100</f>
        <v>158</v>
      </c>
      <c r="AE207" s="43">
        <f>57+103</f>
        <v>160</v>
      </c>
      <c r="AF207" s="43">
        <f>57+121</f>
        <v>178</v>
      </c>
      <c r="AG207" s="36">
        <f>57+121</f>
        <v>178</v>
      </c>
      <c r="AH207" s="43">
        <f>57+111</f>
        <v>168</v>
      </c>
      <c r="AI207" s="43">
        <v>180</v>
      </c>
      <c r="AJ207" s="43">
        <f>7+119</f>
        <v>126</v>
      </c>
      <c r="AK207" s="43">
        <f>167+7</f>
        <v>174</v>
      </c>
      <c r="AL207" s="36">
        <f>7+167</f>
        <v>174</v>
      </c>
      <c r="AM207" s="43">
        <f>6+146</f>
        <v>152</v>
      </c>
      <c r="AN207" s="43">
        <f>110+93</f>
        <v>203</v>
      </c>
      <c r="AO207" s="43">
        <f>108+61</f>
        <v>169</v>
      </c>
      <c r="AP207" s="43">
        <f>107+74</f>
        <v>181</v>
      </c>
      <c r="AQ207" s="36">
        <f>107+74</f>
        <v>181</v>
      </c>
      <c r="AR207" s="43">
        <f>106+23</f>
        <v>129</v>
      </c>
      <c r="AS207" s="43">
        <f>99+5</f>
        <v>104</v>
      </c>
      <c r="AT207" s="43">
        <v>7</v>
      </c>
      <c r="AU207" s="43">
        <f>44+1</f>
        <v>45</v>
      </c>
      <c r="AV207" s="36">
        <f>44+1</f>
        <v>45</v>
      </c>
      <c r="AW207" s="43">
        <f>44+22</f>
        <v>66</v>
      </c>
      <c r="AX207" s="43">
        <f>44+20</f>
        <v>64</v>
      </c>
      <c r="AY207" s="43">
        <f>6+23</f>
        <v>29</v>
      </c>
      <c r="AZ207" s="43">
        <f>6+325</f>
        <v>331</v>
      </c>
      <c r="BA207" s="36">
        <f>6+325</f>
        <v>331</v>
      </c>
      <c r="BB207" s="43">
        <f>7+335</f>
        <v>342</v>
      </c>
      <c r="BC207" s="43">
        <f>10+1229</f>
        <v>1239</v>
      </c>
      <c r="BD207" s="43">
        <f>6+11</f>
        <v>17</v>
      </c>
      <c r="BE207" s="369">
        <f>6+336</f>
        <v>342</v>
      </c>
      <c r="BF207" s="15">
        <f>+BE207</f>
        <v>342</v>
      </c>
      <c r="BG207" s="369">
        <f>6+13</f>
        <v>19</v>
      </c>
      <c r="BH207" s="369">
        <f>6+9</f>
        <v>15</v>
      </c>
      <c r="BI207" s="369">
        <f>6+16</f>
        <v>22</v>
      </c>
      <c r="BJ207" s="369">
        <f>6+9</f>
        <v>15</v>
      </c>
      <c r="BK207" s="15">
        <f>+BJ207</f>
        <v>15</v>
      </c>
      <c r="BL207" s="369">
        <f>6+250</f>
        <v>256</v>
      </c>
      <c r="BM207" s="369">
        <f>6+300</f>
        <v>306</v>
      </c>
      <c r="BN207" s="369">
        <f>4+9</f>
        <v>13</v>
      </c>
      <c r="BO207" s="369">
        <f>3+248</f>
        <v>251</v>
      </c>
      <c r="BP207" s="15">
        <f>+BO207</f>
        <v>251</v>
      </c>
      <c r="BQ207" s="369">
        <f>137+1</f>
        <v>138</v>
      </c>
      <c r="BR207" s="369">
        <v>41</v>
      </c>
      <c r="BS207" s="369">
        <v>4</v>
      </c>
      <c r="BT207" s="369">
        <v>2</v>
      </c>
      <c r="BU207" s="15">
        <f>+BT207</f>
        <v>2</v>
      </c>
      <c r="BV207" s="369">
        <v>15</v>
      </c>
      <c r="BW207" s="369">
        <v>9</v>
      </c>
      <c r="BX207" s="369">
        <v>0</v>
      </c>
      <c r="BY207" s="369">
        <f>500+10</f>
        <v>510</v>
      </c>
      <c r="BZ207" s="15">
        <f>+BY207</f>
        <v>510</v>
      </c>
      <c r="CA207" s="369">
        <f>9+500</f>
        <v>509</v>
      </c>
      <c r="CB207" s="369">
        <f>500+7</f>
        <v>507</v>
      </c>
      <c r="CC207" s="369">
        <f>500+14</f>
        <v>514</v>
      </c>
      <c r="CD207" s="369">
        <f>6+0</f>
        <v>6</v>
      </c>
      <c r="CE207" s="15">
        <f>+CD207</f>
        <v>6</v>
      </c>
      <c r="CF207" s="369">
        <v>6</v>
      </c>
      <c r="CG207" s="369">
        <v>6</v>
      </c>
      <c r="CH207" s="369">
        <v>6</v>
      </c>
      <c r="CI207" s="369">
        <f>6+1000</f>
        <v>1006</v>
      </c>
      <c r="CJ207" s="15">
        <f>+CI207</f>
        <v>1006</v>
      </c>
      <c r="CK207" s="369">
        <f>1000+12</f>
        <v>1012</v>
      </c>
      <c r="CL207" s="369">
        <f>1000+49</f>
        <v>1049</v>
      </c>
      <c r="CM207" s="369">
        <f>1000+4</f>
        <v>1004</v>
      </c>
      <c r="CN207" s="369">
        <v>5</v>
      </c>
      <c r="CO207" s="15">
        <f>+CN207</f>
        <v>5</v>
      </c>
      <c r="CP207" s="369">
        <v>4</v>
      </c>
      <c r="CQ207" s="369">
        <v>999</v>
      </c>
      <c r="CR207" s="369">
        <v>999</v>
      </c>
      <c r="CS207" s="369">
        <v>2000</v>
      </c>
      <c r="CT207" s="15">
        <f>+CS207</f>
        <v>2000</v>
      </c>
      <c r="CU207" s="369">
        <v>2000</v>
      </c>
      <c r="CV207" s="369">
        <f t="shared" si="561"/>
        <v>2000</v>
      </c>
      <c r="CW207" s="369">
        <f t="shared" si="561"/>
        <v>2000</v>
      </c>
      <c r="CX207" s="369">
        <f t="shared" si="561"/>
        <v>2000</v>
      </c>
      <c r="CY207" s="15">
        <f>+CX207</f>
        <v>2000</v>
      </c>
      <c r="CZ207" s="369">
        <f t="shared" si="562"/>
        <v>2000</v>
      </c>
      <c r="DA207" s="369">
        <f t="shared" si="562"/>
        <v>2000</v>
      </c>
      <c r="DB207" s="369">
        <f t="shared" si="562"/>
        <v>2000</v>
      </c>
      <c r="DC207" s="369">
        <f t="shared" si="562"/>
        <v>2000</v>
      </c>
      <c r="DD207" s="15">
        <f>+DC207</f>
        <v>2000</v>
      </c>
      <c r="DE207" s="369">
        <f t="shared" si="563"/>
        <v>2000</v>
      </c>
      <c r="DF207" s="369">
        <f t="shared" si="564"/>
        <v>2000</v>
      </c>
      <c r="DG207" s="369">
        <f t="shared" si="565"/>
        <v>2000</v>
      </c>
      <c r="DH207" s="369">
        <f t="shared" si="566"/>
        <v>2000</v>
      </c>
      <c r="DI207" s="15">
        <f>+DH207</f>
        <v>2000</v>
      </c>
    </row>
    <row r="208" spans="1:113" s="7" customFormat="1" ht="12" customHeight="1">
      <c r="A208" s="239"/>
      <c r="B208" s="450" t="s">
        <v>48</v>
      </c>
      <c r="C208" s="43">
        <v>79.253</v>
      </c>
      <c r="D208" s="36">
        <v>53.923000000000002</v>
      </c>
      <c r="E208" s="43">
        <v>28.9</v>
      </c>
      <c r="F208" s="36">
        <v>0</v>
      </c>
      <c r="G208" s="43">
        <v>0</v>
      </c>
      <c r="H208" s="36">
        <v>21.9</v>
      </c>
      <c r="I208" s="43">
        <v>83</v>
      </c>
      <c r="J208" s="36">
        <v>107.2</v>
      </c>
      <c r="K208" s="43">
        <v>118.2</v>
      </c>
      <c r="L208" s="36">
        <v>95</v>
      </c>
      <c r="M208" s="43">
        <v>85.5</v>
      </c>
      <c r="N208" s="36">
        <v>109</v>
      </c>
      <c r="O208" s="36">
        <v>88</v>
      </c>
      <c r="P208" s="43">
        <v>86.3</v>
      </c>
      <c r="Q208" s="36">
        <v>59</v>
      </c>
      <c r="R208" s="43">
        <v>104</v>
      </c>
      <c r="S208" s="43">
        <v>78</v>
      </c>
      <c r="T208" s="43">
        <v>113</v>
      </c>
      <c r="U208" s="43">
        <v>117</v>
      </c>
      <c r="V208" s="36">
        <v>117</v>
      </c>
      <c r="W208" s="43">
        <v>91</v>
      </c>
      <c r="X208" s="43">
        <v>81</v>
      </c>
      <c r="Y208" s="43">
        <v>59</v>
      </c>
      <c r="Z208" s="43">
        <v>252</v>
      </c>
      <c r="AA208" s="36">
        <v>67</v>
      </c>
      <c r="AB208" s="36">
        <f>65+187</f>
        <v>252</v>
      </c>
      <c r="AC208" s="43">
        <v>113</v>
      </c>
      <c r="AD208" s="43">
        <f>45+198</f>
        <v>243</v>
      </c>
      <c r="AE208" s="43">
        <f>138+62</f>
        <v>200</v>
      </c>
      <c r="AF208" s="43">
        <f>98+18</f>
        <v>116</v>
      </c>
      <c r="AG208" s="36">
        <f>98+18</f>
        <v>116</v>
      </c>
      <c r="AH208" s="43">
        <f>211+12</f>
        <v>223</v>
      </c>
      <c r="AI208" s="43">
        <f>47+7</f>
        <v>54</v>
      </c>
      <c r="AJ208" s="43">
        <v>0</v>
      </c>
      <c r="AK208" s="43">
        <f>432</f>
        <v>432</v>
      </c>
      <c r="AL208" s="36">
        <v>432</v>
      </c>
      <c r="AM208" s="43">
        <v>250</v>
      </c>
      <c r="AN208" s="43">
        <v>38</v>
      </c>
      <c r="AO208" s="43">
        <v>33</v>
      </c>
      <c r="AP208" s="43">
        <v>71</v>
      </c>
      <c r="AQ208" s="36">
        <v>71</v>
      </c>
      <c r="AR208" s="43">
        <v>75</v>
      </c>
      <c r="AS208" s="43">
        <v>41</v>
      </c>
      <c r="AT208" s="43">
        <v>35</v>
      </c>
      <c r="AU208" s="43">
        <v>85</v>
      </c>
      <c r="AV208" s="36">
        <v>85</v>
      </c>
      <c r="AW208" s="43">
        <v>62</v>
      </c>
      <c r="AX208" s="43">
        <v>52</v>
      </c>
      <c r="AY208" s="43">
        <f>76</f>
        <v>76</v>
      </c>
      <c r="AZ208" s="43">
        <v>84</v>
      </c>
      <c r="BA208" s="36">
        <v>84</v>
      </c>
      <c r="BB208" s="43">
        <v>97</v>
      </c>
      <c r="BC208" s="43">
        <f>92</f>
        <v>92</v>
      </c>
      <c r="BD208" s="43">
        <v>78</v>
      </c>
      <c r="BE208" s="369">
        <v>150</v>
      </c>
      <c r="BF208" s="15">
        <f>+BE208</f>
        <v>150</v>
      </c>
      <c r="BG208" s="369">
        <v>182</v>
      </c>
      <c r="BH208" s="369">
        <v>211</v>
      </c>
      <c r="BI208" s="369">
        <v>214</v>
      </c>
      <c r="BJ208" s="369">
        <v>229</v>
      </c>
      <c r="BK208" s="15">
        <f>+BJ208</f>
        <v>229</v>
      </c>
      <c r="BL208" s="369">
        <v>216</v>
      </c>
      <c r="BM208" s="369">
        <v>228</v>
      </c>
      <c r="BN208" s="369">
        <v>268</v>
      </c>
      <c r="BO208" s="369">
        <v>156</v>
      </c>
      <c r="BP208" s="15">
        <f>+BO208</f>
        <v>156</v>
      </c>
      <c r="BQ208" s="369">
        <v>297</v>
      </c>
      <c r="BR208" s="369">
        <v>188</v>
      </c>
      <c r="BS208" s="369">
        <v>256</v>
      </c>
      <c r="BT208" s="369">
        <v>306</v>
      </c>
      <c r="BU208" s="15">
        <f>+BT208</f>
        <v>306</v>
      </c>
      <c r="BV208" s="369">
        <v>361</v>
      </c>
      <c r="BW208" s="369">
        <v>160</v>
      </c>
      <c r="BX208" s="369">
        <v>202</v>
      </c>
      <c r="BY208" s="369">
        <v>222</v>
      </c>
      <c r="BZ208" s="15">
        <f>+BY208</f>
        <v>222</v>
      </c>
      <c r="CA208" s="369">
        <v>338</v>
      </c>
      <c r="CB208" s="369">
        <v>436</v>
      </c>
      <c r="CC208" s="369">
        <v>330</v>
      </c>
      <c r="CD208" s="369">
        <v>240</v>
      </c>
      <c r="CE208" s="15">
        <f>+CD208</f>
        <v>240</v>
      </c>
      <c r="CF208" s="369">
        <v>295</v>
      </c>
      <c r="CG208" s="369">
        <v>358</v>
      </c>
      <c r="CH208" s="369">
        <v>391</v>
      </c>
      <c r="CI208" s="369">
        <v>534</v>
      </c>
      <c r="CJ208" s="15">
        <f>+CI208</f>
        <v>534</v>
      </c>
      <c r="CK208" s="369">
        <v>693</v>
      </c>
      <c r="CL208" s="369">
        <v>767</v>
      </c>
      <c r="CM208" s="369">
        <v>734</v>
      </c>
      <c r="CN208" s="369">
        <v>669</v>
      </c>
      <c r="CO208" s="15">
        <f>+CN208</f>
        <v>669</v>
      </c>
      <c r="CP208" s="369">
        <v>706</v>
      </c>
      <c r="CQ208" s="369">
        <v>492</v>
      </c>
      <c r="CR208" s="369">
        <v>275</v>
      </c>
      <c r="CS208" s="369">
        <v>377</v>
      </c>
      <c r="CT208" s="15">
        <f>+CS208</f>
        <v>377</v>
      </c>
      <c r="CU208" s="369">
        <v>178</v>
      </c>
      <c r="CV208" s="369">
        <f t="shared" si="561"/>
        <v>178</v>
      </c>
      <c r="CW208" s="369">
        <f t="shared" si="561"/>
        <v>178</v>
      </c>
      <c r="CX208" s="369">
        <f t="shared" si="561"/>
        <v>178</v>
      </c>
      <c r="CY208" s="15">
        <f>+CX208</f>
        <v>178</v>
      </c>
      <c r="CZ208" s="369">
        <f t="shared" si="562"/>
        <v>178</v>
      </c>
      <c r="DA208" s="369">
        <f t="shared" si="562"/>
        <v>178</v>
      </c>
      <c r="DB208" s="369">
        <f t="shared" si="562"/>
        <v>178</v>
      </c>
      <c r="DC208" s="369">
        <f t="shared" si="562"/>
        <v>178</v>
      </c>
      <c r="DD208" s="15">
        <f>+DC208</f>
        <v>178</v>
      </c>
      <c r="DE208" s="369">
        <f t="shared" si="563"/>
        <v>178</v>
      </c>
      <c r="DF208" s="369">
        <f t="shared" si="564"/>
        <v>178</v>
      </c>
      <c r="DG208" s="369">
        <f t="shared" si="565"/>
        <v>178</v>
      </c>
      <c r="DH208" s="369">
        <f t="shared" si="566"/>
        <v>178</v>
      </c>
      <c r="DI208" s="15">
        <f>+DH208</f>
        <v>178</v>
      </c>
    </row>
    <row r="209" spans="1:113" s="7" customFormat="1" ht="12" customHeight="1">
      <c r="A209" s="239"/>
      <c r="B209" s="450" t="s">
        <v>314</v>
      </c>
      <c r="C209" s="39"/>
      <c r="D209" s="40"/>
      <c r="E209" s="39"/>
      <c r="F209" s="40"/>
      <c r="G209" s="39"/>
      <c r="H209" s="40"/>
      <c r="I209" s="39"/>
      <c r="J209" s="40"/>
      <c r="K209" s="39"/>
      <c r="L209" s="40"/>
      <c r="M209" s="39"/>
      <c r="N209" s="40"/>
      <c r="O209" s="40"/>
      <c r="P209" s="39"/>
      <c r="Q209" s="40"/>
      <c r="R209" s="39"/>
      <c r="S209" s="43"/>
      <c r="T209" s="39"/>
      <c r="U209" s="39"/>
      <c r="V209" s="40"/>
      <c r="W209" s="39"/>
      <c r="X209" s="39"/>
      <c r="Y209" s="39"/>
      <c r="Z209" s="39"/>
      <c r="AA209" s="40"/>
      <c r="AB209" s="40"/>
      <c r="AC209" s="39"/>
      <c r="AD209" s="39"/>
      <c r="AE209" s="39"/>
      <c r="AF209" s="39"/>
      <c r="AG209" s="40"/>
      <c r="AH209" s="39"/>
      <c r="AI209" s="39"/>
      <c r="AJ209" s="39"/>
      <c r="AK209" s="39"/>
      <c r="AL209" s="40"/>
      <c r="AM209" s="39"/>
      <c r="AN209" s="39"/>
      <c r="AO209" s="39"/>
      <c r="AP209" s="39"/>
      <c r="AQ209" s="40"/>
      <c r="AR209" s="39"/>
      <c r="AS209" s="39"/>
      <c r="AT209" s="39"/>
      <c r="AU209" s="39"/>
      <c r="AV209" s="40"/>
      <c r="AW209" s="39"/>
      <c r="AX209" s="39"/>
      <c r="AY209" s="39"/>
      <c r="AZ209" s="39"/>
      <c r="BA209" s="40"/>
      <c r="BB209" s="39"/>
      <c r="BC209" s="39"/>
      <c r="BD209" s="39"/>
      <c r="BE209" s="39"/>
      <c r="BF209" s="40"/>
      <c r="BG209" s="39"/>
      <c r="BH209" s="39"/>
      <c r="BI209" s="39"/>
      <c r="BJ209" s="39"/>
      <c r="BK209" s="40"/>
      <c r="BL209" s="39">
        <v>427</v>
      </c>
      <c r="BM209" s="39">
        <v>431</v>
      </c>
      <c r="BN209" s="39">
        <v>422</v>
      </c>
      <c r="BO209" s="39">
        <v>445</v>
      </c>
      <c r="BP209" s="40">
        <f>BO209</f>
        <v>445</v>
      </c>
      <c r="BQ209" s="39">
        <v>459</v>
      </c>
      <c r="BR209" s="39">
        <v>458</v>
      </c>
      <c r="BS209" s="39">
        <v>470</v>
      </c>
      <c r="BT209" s="39">
        <v>467</v>
      </c>
      <c r="BU209" s="40">
        <f>BT209</f>
        <v>467</v>
      </c>
      <c r="BV209" s="39">
        <v>462</v>
      </c>
      <c r="BW209" s="39">
        <v>462</v>
      </c>
      <c r="BX209" s="39">
        <v>455</v>
      </c>
      <c r="BY209" s="39">
        <v>420</v>
      </c>
      <c r="BZ209" s="40">
        <f>BY209</f>
        <v>420</v>
      </c>
      <c r="CA209" s="39">
        <v>424</v>
      </c>
      <c r="CB209" s="39">
        <v>426</v>
      </c>
      <c r="CC209" s="39">
        <v>435</v>
      </c>
      <c r="CD209" s="39">
        <v>425</v>
      </c>
      <c r="CE209" s="40">
        <f>CD209</f>
        <v>425</v>
      </c>
      <c r="CF209" s="39">
        <v>435</v>
      </c>
      <c r="CG209" s="39">
        <v>456</v>
      </c>
      <c r="CH209" s="39">
        <v>474</v>
      </c>
      <c r="CI209" s="39">
        <v>477</v>
      </c>
      <c r="CJ209" s="40">
        <f>CI209</f>
        <v>477</v>
      </c>
      <c r="CK209" s="39">
        <v>491</v>
      </c>
      <c r="CL209" s="39">
        <v>481</v>
      </c>
      <c r="CM209" s="39">
        <v>474</v>
      </c>
      <c r="CN209" s="39">
        <v>502</v>
      </c>
      <c r="CO209" s="40">
        <f t="shared" ref="CO209:DD209" si="567">CN209</f>
        <v>502</v>
      </c>
      <c r="CP209" s="39">
        <v>506</v>
      </c>
      <c r="CQ209" s="39">
        <v>513</v>
      </c>
      <c r="CR209" s="39">
        <v>493</v>
      </c>
      <c r="CS209" s="39">
        <v>478</v>
      </c>
      <c r="CT209" s="40">
        <f t="shared" si="567"/>
        <v>478</v>
      </c>
      <c r="CU209" s="39">
        <v>473</v>
      </c>
      <c r="CV209" s="39">
        <f t="shared" si="567"/>
        <v>473</v>
      </c>
      <c r="CW209" s="39">
        <f t="shared" si="567"/>
        <v>473</v>
      </c>
      <c r="CX209" s="39">
        <f t="shared" si="567"/>
        <v>473</v>
      </c>
      <c r="CY209" s="40">
        <f t="shared" si="567"/>
        <v>473</v>
      </c>
      <c r="CZ209" s="39">
        <f t="shared" si="567"/>
        <v>473</v>
      </c>
      <c r="DA209" s="39">
        <f t="shared" si="567"/>
        <v>473</v>
      </c>
      <c r="DB209" s="39">
        <f t="shared" si="567"/>
        <v>473</v>
      </c>
      <c r="DC209" s="39">
        <f t="shared" si="567"/>
        <v>473</v>
      </c>
      <c r="DD209" s="40">
        <f t="shared" si="567"/>
        <v>473</v>
      </c>
      <c r="DE209" s="39">
        <f t="shared" ref="DE209" si="568">DD209</f>
        <v>473</v>
      </c>
      <c r="DF209" s="39">
        <f t="shared" ref="DF209" si="569">DE209</f>
        <v>473</v>
      </c>
      <c r="DG209" s="39">
        <f t="shared" ref="DG209" si="570">DF209</f>
        <v>473</v>
      </c>
      <c r="DH209" s="39">
        <f t="shared" ref="DH209" si="571">DG209</f>
        <v>473</v>
      </c>
      <c r="DI209" s="40">
        <f t="shared" ref="DI209" si="572">DH209</f>
        <v>473</v>
      </c>
    </row>
    <row r="210" spans="1:113" s="7" customFormat="1" ht="12" customHeight="1">
      <c r="A210" s="239"/>
      <c r="B210" s="450"/>
      <c r="C210" s="39"/>
      <c r="D210" s="40"/>
      <c r="E210" s="39"/>
      <c r="F210" s="40"/>
      <c r="G210" s="39"/>
      <c r="H210" s="40"/>
      <c r="I210" s="39"/>
      <c r="J210" s="40"/>
      <c r="K210" s="39"/>
      <c r="L210" s="40"/>
      <c r="M210" s="39"/>
      <c r="N210" s="40"/>
      <c r="O210" s="40"/>
      <c r="P210" s="39"/>
      <c r="Q210" s="40"/>
      <c r="R210" s="39"/>
      <c r="S210" s="43"/>
      <c r="T210" s="39"/>
      <c r="U210" s="39"/>
      <c r="V210" s="40"/>
      <c r="W210" s="39"/>
      <c r="X210" s="39"/>
      <c r="Y210" s="39"/>
      <c r="Z210" s="39"/>
      <c r="AA210" s="40"/>
      <c r="AB210" s="40"/>
      <c r="AC210" s="39"/>
      <c r="AD210" s="39"/>
      <c r="AE210" s="39"/>
      <c r="AF210" s="39"/>
      <c r="AG210" s="40"/>
      <c r="AH210" s="39"/>
      <c r="AI210" s="39"/>
      <c r="AJ210" s="39"/>
      <c r="AK210" s="39"/>
      <c r="AL210" s="40"/>
      <c r="AM210" s="39"/>
      <c r="AN210" s="39"/>
      <c r="AO210" s="39"/>
      <c r="AP210" s="39"/>
      <c r="AQ210" s="40"/>
      <c r="AR210" s="39"/>
      <c r="AS210" s="39"/>
      <c r="AT210" s="39"/>
      <c r="AU210" s="39"/>
      <c r="AV210" s="40"/>
      <c r="AW210" s="39"/>
      <c r="AX210" s="39"/>
      <c r="AY210" s="39"/>
      <c r="AZ210" s="39"/>
      <c r="BA210" s="40"/>
      <c r="BB210" s="39"/>
      <c r="BC210" s="39"/>
      <c r="BD210" s="39"/>
      <c r="BE210" s="39"/>
      <c r="BF210" s="40"/>
      <c r="BG210" s="39"/>
      <c r="BH210" s="39"/>
      <c r="BI210" s="39"/>
      <c r="BJ210" s="39"/>
      <c r="BK210" s="40"/>
      <c r="BL210" s="39"/>
      <c r="BM210" s="39"/>
      <c r="BN210" s="39"/>
      <c r="BO210" s="39"/>
      <c r="BP210" s="40"/>
      <c r="BQ210" s="39"/>
      <c r="BR210" s="39"/>
      <c r="BS210" s="39"/>
      <c r="BT210" s="39"/>
      <c r="BU210" s="40"/>
      <c r="BV210" s="39"/>
      <c r="BW210" s="39"/>
      <c r="BX210" s="39"/>
      <c r="BY210" s="39"/>
      <c r="BZ210" s="40"/>
      <c r="CA210" s="39"/>
      <c r="CB210" s="39"/>
      <c r="CC210" s="39"/>
      <c r="CD210" s="39"/>
      <c r="CE210" s="40"/>
      <c r="CF210" s="39"/>
      <c r="CG210" s="39"/>
      <c r="CH210" s="39"/>
      <c r="CI210" s="39"/>
      <c r="CJ210" s="40"/>
      <c r="CK210" s="39"/>
      <c r="CL210" s="39"/>
      <c r="CM210" s="39"/>
      <c r="CN210" s="39"/>
      <c r="CO210" s="40"/>
      <c r="CP210" s="39"/>
      <c r="CQ210" s="39"/>
      <c r="CR210" s="39"/>
      <c r="CS210" s="39"/>
      <c r="CT210" s="40"/>
      <c r="CU210" s="39"/>
      <c r="CV210" s="39"/>
      <c r="CW210" s="39"/>
      <c r="CX210" s="39"/>
      <c r="CY210" s="40"/>
      <c r="CZ210" s="39"/>
      <c r="DA210" s="39"/>
      <c r="DB210" s="39"/>
      <c r="DC210" s="39"/>
      <c r="DD210" s="40"/>
      <c r="DE210" s="39"/>
      <c r="DF210" s="39"/>
      <c r="DG210" s="39"/>
      <c r="DH210" s="39"/>
      <c r="DI210" s="40"/>
    </row>
    <row r="211" spans="1:113" s="7" customFormat="1" ht="12" customHeight="1">
      <c r="A211" s="239"/>
      <c r="B211" s="265" t="s">
        <v>49</v>
      </c>
      <c r="C211" s="48">
        <f t="shared" ref="C211:Y211" si="573">SUM(C205:C208)</f>
        <v>1467.059</v>
      </c>
      <c r="D211" s="266">
        <f t="shared" si="573"/>
        <v>1866.9170000000001</v>
      </c>
      <c r="E211" s="48">
        <f t="shared" si="573"/>
        <v>1703.821000000002</v>
      </c>
      <c r="F211" s="266">
        <f t="shared" si="573"/>
        <v>1446.9</v>
      </c>
      <c r="G211" s="48">
        <f t="shared" si="573"/>
        <v>2140</v>
      </c>
      <c r="H211" s="266">
        <f t="shared" si="573"/>
        <v>1786.7</v>
      </c>
      <c r="I211" s="48">
        <f t="shared" si="573"/>
        <v>1836.1999999999998</v>
      </c>
      <c r="J211" s="266">
        <f t="shared" si="573"/>
        <v>2015.2</v>
      </c>
      <c r="K211" s="48">
        <f t="shared" si="573"/>
        <v>2008.9999999999998</v>
      </c>
      <c r="L211" s="266">
        <f t="shared" si="573"/>
        <v>1999.1999999999998</v>
      </c>
      <c r="M211" s="48">
        <f t="shared" si="573"/>
        <v>2623.3</v>
      </c>
      <c r="N211" s="266">
        <f t="shared" si="573"/>
        <v>2584</v>
      </c>
      <c r="O211" s="266">
        <f t="shared" si="573"/>
        <v>3321.5</v>
      </c>
      <c r="P211" s="48">
        <f t="shared" si="573"/>
        <v>3277.0000000000005</v>
      </c>
      <c r="Q211" s="266">
        <f t="shared" si="573"/>
        <v>3364</v>
      </c>
      <c r="R211" s="48">
        <f t="shared" si="573"/>
        <v>3142</v>
      </c>
      <c r="S211" s="48">
        <f t="shared" si="573"/>
        <v>3248</v>
      </c>
      <c r="T211" s="48">
        <f t="shared" si="573"/>
        <v>3342</v>
      </c>
      <c r="U211" s="48">
        <f t="shared" si="573"/>
        <v>3958</v>
      </c>
      <c r="V211" s="266">
        <f t="shared" si="573"/>
        <v>3958</v>
      </c>
      <c r="W211" s="48">
        <f t="shared" si="573"/>
        <v>3760</v>
      </c>
      <c r="X211" s="48">
        <f t="shared" si="573"/>
        <v>3563</v>
      </c>
      <c r="Y211" s="48">
        <f t="shared" si="573"/>
        <v>3410</v>
      </c>
      <c r="Z211" s="48">
        <v>3898</v>
      </c>
      <c r="AA211" s="266">
        <f t="shared" ref="AA211:BK211" si="574">SUM(AA205:AA208)</f>
        <v>3865</v>
      </c>
      <c r="AB211" s="266">
        <f t="shared" si="574"/>
        <v>3898</v>
      </c>
      <c r="AC211" s="48">
        <f t="shared" si="574"/>
        <v>3776</v>
      </c>
      <c r="AD211" s="48">
        <f t="shared" si="574"/>
        <v>3799</v>
      </c>
      <c r="AE211" s="48">
        <f t="shared" si="574"/>
        <v>3500</v>
      </c>
      <c r="AF211" s="48">
        <f t="shared" si="574"/>
        <v>3926</v>
      </c>
      <c r="AG211" s="266">
        <f t="shared" si="574"/>
        <v>3926</v>
      </c>
      <c r="AH211" s="48">
        <f t="shared" si="574"/>
        <v>3863</v>
      </c>
      <c r="AI211" s="48">
        <f t="shared" si="574"/>
        <v>3851</v>
      </c>
      <c r="AJ211" s="48">
        <f t="shared" si="574"/>
        <v>3954</v>
      </c>
      <c r="AK211" s="48">
        <f t="shared" si="574"/>
        <v>5027</v>
      </c>
      <c r="AL211" s="266">
        <f t="shared" si="574"/>
        <v>5027</v>
      </c>
      <c r="AM211" s="48">
        <f t="shared" si="574"/>
        <v>4813</v>
      </c>
      <c r="AN211" s="48">
        <f t="shared" si="574"/>
        <v>4937</v>
      </c>
      <c r="AO211" s="48">
        <f t="shared" si="574"/>
        <v>5586</v>
      </c>
      <c r="AP211" s="48">
        <f t="shared" si="574"/>
        <v>6334</v>
      </c>
      <c r="AQ211" s="266">
        <f t="shared" si="574"/>
        <v>6334</v>
      </c>
      <c r="AR211" s="48">
        <f t="shared" si="574"/>
        <v>5276</v>
      </c>
      <c r="AS211" s="48">
        <f t="shared" si="574"/>
        <v>5511</v>
      </c>
      <c r="AT211" s="48">
        <f t="shared" si="574"/>
        <v>4980</v>
      </c>
      <c r="AU211" s="48">
        <f t="shared" si="574"/>
        <v>5358</v>
      </c>
      <c r="AV211" s="266">
        <f t="shared" si="574"/>
        <v>5358</v>
      </c>
      <c r="AW211" s="48">
        <f t="shared" si="574"/>
        <v>5363</v>
      </c>
      <c r="AX211" s="48">
        <f t="shared" si="574"/>
        <v>5225</v>
      </c>
      <c r="AY211" s="48">
        <f t="shared" si="574"/>
        <v>5271</v>
      </c>
      <c r="AZ211" s="48">
        <f t="shared" si="574"/>
        <v>5474</v>
      </c>
      <c r="BA211" s="266">
        <f t="shared" si="574"/>
        <v>5474</v>
      </c>
      <c r="BB211" s="48">
        <f t="shared" si="574"/>
        <v>6056</v>
      </c>
      <c r="BC211" s="48">
        <f t="shared" si="574"/>
        <v>6750</v>
      </c>
      <c r="BD211" s="48">
        <f t="shared" si="574"/>
        <v>5783</v>
      </c>
      <c r="BE211" s="48">
        <f t="shared" si="574"/>
        <v>6040</v>
      </c>
      <c r="BF211" s="266">
        <f t="shared" si="574"/>
        <v>6040</v>
      </c>
      <c r="BG211" s="48">
        <f t="shared" si="574"/>
        <v>6708</v>
      </c>
      <c r="BH211" s="48">
        <f t="shared" si="574"/>
        <v>7278</v>
      </c>
      <c r="BI211" s="48">
        <f t="shared" si="574"/>
        <v>7281</v>
      </c>
      <c r="BJ211" s="48">
        <f t="shared" si="574"/>
        <v>7866</v>
      </c>
      <c r="BK211" s="266">
        <f t="shared" si="574"/>
        <v>7866</v>
      </c>
      <c r="BL211" s="48">
        <f t="shared" ref="BL211:DD211" si="575">SUM(BL205:BL209)</f>
        <v>8070</v>
      </c>
      <c r="BM211" s="48">
        <f t="shared" si="575"/>
        <v>8264</v>
      </c>
      <c r="BN211" s="48">
        <f t="shared" si="575"/>
        <v>8280</v>
      </c>
      <c r="BO211" s="48">
        <f t="shared" si="575"/>
        <v>8284</v>
      </c>
      <c r="BP211" s="266">
        <f t="shared" si="575"/>
        <v>8284</v>
      </c>
      <c r="BQ211" s="48">
        <f t="shared" si="575"/>
        <v>8619</v>
      </c>
      <c r="BR211" s="48">
        <f t="shared" si="575"/>
        <v>8871</v>
      </c>
      <c r="BS211" s="48">
        <f t="shared" si="575"/>
        <v>8894</v>
      </c>
      <c r="BT211" s="48">
        <f t="shared" si="575"/>
        <v>9674</v>
      </c>
      <c r="BU211" s="266">
        <f t="shared" si="575"/>
        <v>9674</v>
      </c>
      <c r="BV211" s="48">
        <f t="shared" si="575"/>
        <v>8269</v>
      </c>
      <c r="BW211" s="48">
        <f t="shared" si="575"/>
        <v>8857</v>
      </c>
      <c r="BX211" s="48">
        <f t="shared" si="575"/>
        <v>8818</v>
      </c>
      <c r="BY211" s="48">
        <f t="shared" si="575"/>
        <v>10730</v>
      </c>
      <c r="BZ211" s="266">
        <f t="shared" si="575"/>
        <v>10730</v>
      </c>
      <c r="CA211" s="48">
        <f t="shared" si="575"/>
        <v>10919</v>
      </c>
      <c r="CB211" s="48">
        <f t="shared" si="575"/>
        <v>10199</v>
      </c>
      <c r="CC211" s="48">
        <f t="shared" si="575"/>
        <v>9548</v>
      </c>
      <c r="CD211" s="48">
        <f t="shared" si="575"/>
        <v>9256</v>
      </c>
      <c r="CE211" s="266">
        <f t="shared" si="575"/>
        <v>9256</v>
      </c>
      <c r="CF211" s="48">
        <f t="shared" si="575"/>
        <v>8461</v>
      </c>
      <c r="CG211" s="48">
        <f t="shared" si="575"/>
        <v>8999</v>
      </c>
      <c r="CH211" s="48">
        <f t="shared" si="575"/>
        <v>9029</v>
      </c>
      <c r="CI211" s="48">
        <f t="shared" si="575"/>
        <v>10593</v>
      </c>
      <c r="CJ211" s="266">
        <f t="shared" si="575"/>
        <v>10593</v>
      </c>
      <c r="CK211" s="48">
        <f t="shared" si="575"/>
        <v>10628</v>
      </c>
      <c r="CL211" s="48">
        <f t="shared" si="575"/>
        <v>11246</v>
      </c>
      <c r="CM211" s="48">
        <f t="shared" si="575"/>
        <v>11223</v>
      </c>
      <c r="CN211" s="48">
        <f t="shared" si="575"/>
        <v>10566</v>
      </c>
      <c r="CO211" s="266">
        <f t="shared" si="575"/>
        <v>10566</v>
      </c>
      <c r="CP211" s="48">
        <f t="shared" si="575"/>
        <v>10911</v>
      </c>
      <c r="CQ211" s="48">
        <f t="shared" si="575"/>
        <v>11640</v>
      </c>
      <c r="CR211" s="48">
        <f t="shared" si="575"/>
        <v>10838</v>
      </c>
      <c r="CS211" s="48">
        <f t="shared" si="575"/>
        <v>12547</v>
      </c>
      <c r="CT211" s="266">
        <f t="shared" si="575"/>
        <v>12547</v>
      </c>
      <c r="CU211" s="48">
        <f t="shared" si="575"/>
        <v>11409</v>
      </c>
      <c r="CV211" s="48">
        <f t="shared" si="575"/>
        <v>11408.377988186357</v>
      </c>
      <c r="CW211" s="48">
        <f t="shared" si="575"/>
        <v>10575.142024105931</v>
      </c>
      <c r="CX211" s="48">
        <f t="shared" si="575"/>
        <v>11385.893664114541</v>
      </c>
      <c r="CY211" s="266">
        <f t="shared" si="575"/>
        <v>11385.893664114541</v>
      </c>
      <c r="CZ211" s="48">
        <f t="shared" si="575"/>
        <v>11201.261361047073</v>
      </c>
      <c r="DA211" s="48">
        <f t="shared" si="575"/>
        <v>11281.917051082621</v>
      </c>
      <c r="DB211" s="48">
        <f t="shared" si="575"/>
        <v>10515.358015933074</v>
      </c>
      <c r="DC211" s="48">
        <f t="shared" si="575"/>
        <v>11242.3053808039</v>
      </c>
      <c r="DD211" s="266">
        <f t="shared" si="575"/>
        <v>11242.3053808039</v>
      </c>
      <c r="DE211" s="48">
        <f t="shared" ref="DE211:DI211" si="576">SUM(DE205:DE209)</f>
        <v>11118.170374442881</v>
      </c>
      <c r="DF211" s="48">
        <f t="shared" si="576"/>
        <v>11230.569862964874</v>
      </c>
      <c r="DG211" s="48">
        <f t="shared" si="576"/>
        <v>10494.091304522408</v>
      </c>
      <c r="DH211" s="48">
        <f t="shared" si="576"/>
        <v>11236.344119608391</v>
      </c>
      <c r="DI211" s="266">
        <f t="shared" si="576"/>
        <v>11236.344119608391</v>
      </c>
    </row>
    <row r="212" spans="1:113" s="7" customFormat="1" ht="12" customHeight="1">
      <c r="A212" s="239"/>
      <c r="B212" s="450"/>
      <c r="C212" s="39"/>
      <c r="D212" s="40"/>
      <c r="E212" s="39"/>
      <c r="F212" s="40"/>
      <c r="G212" s="39"/>
      <c r="H212" s="40"/>
      <c r="I212" s="39"/>
      <c r="J212" s="40"/>
      <c r="K212" s="39"/>
      <c r="L212" s="40"/>
      <c r="M212" s="39"/>
      <c r="N212" s="40"/>
      <c r="O212" s="40"/>
      <c r="P212" s="39"/>
      <c r="Q212" s="40"/>
      <c r="R212" s="39"/>
      <c r="S212" s="43"/>
      <c r="T212" s="39"/>
      <c r="U212" s="39"/>
      <c r="V212" s="40"/>
      <c r="W212" s="39"/>
      <c r="X212" s="39"/>
      <c r="Y212" s="39"/>
      <c r="Z212" s="39"/>
      <c r="AA212" s="40"/>
      <c r="AB212" s="40"/>
      <c r="AC212" s="39"/>
      <c r="AD212" s="39"/>
      <c r="AE212" s="39"/>
      <c r="AF212" s="39"/>
      <c r="AG212" s="40"/>
      <c r="AH212" s="39"/>
      <c r="AI212" s="39"/>
      <c r="AJ212" s="39"/>
      <c r="AK212" s="39"/>
      <c r="AL212" s="40"/>
      <c r="AM212" s="39"/>
      <c r="AN212" s="39"/>
      <c r="AO212" s="39"/>
      <c r="AP212" s="39"/>
      <c r="AQ212" s="40"/>
      <c r="AR212" s="39"/>
      <c r="AS212" s="39"/>
      <c r="AT212" s="39"/>
      <c r="AU212" s="39"/>
      <c r="AV212" s="40"/>
      <c r="AW212" s="39"/>
      <c r="AX212" s="39"/>
      <c r="AY212" s="39"/>
      <c r="AZ212" s="39"/>
      <c r="BA212" s="40"/>
      <c r="BB212" s="39"/>
      <c r="BC212" s="39"/>
      <c r="BD212" s="39"/>
      <c r="BE212" s="39"/>
      <c r="BF212" s="40"/>
      <c r="BG212" s="39"/>
      <c r="BH212" s="39"/>
      <c r="BI212" s="39"/>
      <c r="BJ212" s="39"/>
      <c r="BK212" s="40"/>
      <c r="BL212" s="39"/>
      <c r="BM212" s="39"/>
      <c r="BN212" s="39"/>
      <c r="BO212" s="39"/>
      <c r="BP212" s="40"/>
      <c r="BQ212" s="39"/>
      <c r="BR212" s="39"/>
      <c r="BS212" s="39"/>
      <c r="BT212" s="39"/>
      <c r="BU212" s="40"/>
      <c r="BV212" s="39"/>
      <c r="BW212" s="39"/>
      <c r="BX212" s="39"/>
      <c r="BY212" s="39"/>
      <c r="BZ212" s="40"/>
      <c r="CA212" s="39"/>
      <c r="CB212" s="39"/>
      <c r="CC212" s="39"/>
      <c r="CD212" s="39"/>
      <c r="CE212" s="40"/>
      <c r="CF212" s="39"/>
      <c r="CG212" s="39"/>
      <c r="CH212" s="39"/>
      <c r="CI212" s="39"/>
      <c r="CJ212" s="40"/>
      <c r="CK212" s="39"/>
      <c r="CL212" s="39"/>
      <c r="CM212" s="39"/>
      <c r="CN212" s="39"/>
      <c r="CO212" s="40"/>
      <c r="CP212" s="39"/>
      <c r="CQ212" s="39"/>
      <c r="CR212" s="39"/>
      <c r="CS212" s="39"/>
      <c r="CT212" s="40"/>
      <c r="CU212" s="39"/>
      <c r="CV212" s="39"/>
      <c r="CW212" s="39"/>
      <c r="CX212" s="39"/>
      <c r="CY212" s="40"/>
      <c r="CZ212" s="39"/>
      <c r="DA212" s="39"/>
      <c r="DB212" s="39"/>
      <c r="DC212" s="39"/>
      <c r="DD212" s="40"/>
      <c r="DE212" s="39"/>
      <c r="DF212" s="39"/>
      <c r="DG212" s="39"/>
      <c r="DH212" s="39"/>
      <c r="DI212" s="40"/>
    </row>
    <row r="213" spans="1:113" s="7" customFormat="1" ht="12" customHeight="1">
      <c r="A213" s="239"/>
      <c r="B213" s="450" t="s">
        <v>50</v>
      </c>
      <c r="C213" s="43">
        <v>9.5839999999999996</v>
      </c>
      <c r="D213" s="36">
        <v>296.02</v>
      </c>
      <c r="E213" s="43">
        <v>379.4</v>
      </c>
      <c r="F213" s="36">
        <v>386.1</v>
      </c>
      <c r="G213" s="43">
        <v>470.3</v>
      </c>
      <c r="H213" s="36">
        <v>435.9</v>
      </c>
      <c r="I213" s="43">
        <v>625.9</v>
      </c>
      <c r="J213" s="36">
        <v>551.6</v>
      </c>
      <c r="K213" s="39">
        <v>682.4</v>
      </c>
      <c r="L213" s="40">
        <v>687.3</v>
      </c>
      <c r="M213" s="39">
        <v>410.7</v>
      </c>
      <c r="N213" s="40">
        <v>409.9</v>
      </c>
      <c r="O213" s="40">
        <v>441.1</v>
      </c>
      <c r="P213" s="39">
        <v>437.2</v>
      </c>
      <c r="Q213" s="40">
        <v>446</v>
      </c>
      <c r="R213" s="39">
        <v>342</v>
      </c>
      <c r="S213" s="43">
        <v>338</v>
      </c>
      <c r="T213" s="39">
        <v>276</v>
      </c>
      <c r="U213" s="39">
        <v>276</v>
      </c>
      <c r="V213" s="40">
        <v>276</v>
      </c>
      <c r="W213" s="39">
        <v>238</v>
      </c>
      <c r="X213" s="39">
        <v>234</v>
      </c>
      <c r="Y213" s="39">
        <v>229</v>
      </c>
      <c r="Z213" s="39">
        <v>228</v>
      </c>
      <c r="AA213" s="36">
        <v>228</v>
      </c>
      <c r="AB213" s="36">
        <v>228</v>
      </c>
      <c r="AC213" s="43">
        <v>226</v>
      </c>
      <c r="AD213" s="43">
        <v>170</v>
      </c>
      <c r="AE213" s="43">
        <v>161</v>
      </c>
      <c r="AF213" s="43">
        <v>1210</v>
      </c>
      <c r="AG213" s="36">
        <v>1210</v>
      </c>
      <c r="AH213" s="43">
        <v>1207</v>
      </c>
      <c r="AI213" s="43">
        <v>1201</v>
      </c>
      <c r="AJ213" s="43">
        <v>1201</v>
      </c>
      <c r="AK213" s="43">
        <v>1199</v>
      </c>
      <c r="AL213" s="36">
        <v>1199</v>
      </c>
      <c r="AM213" s="43">
        <v>1195</v>
      </c>
      <c r="AN213" s="43">
        <v>1084</v>
      </c>
      <c r="AO213" s="43">
        <v>1082</v>
      </c>
      <c r="AP213" s="43">
        <v>1079</v>
      </c>
      <c r="AQ213" s="36">
        <v>1079</v>
      </c>
      <c r="AR213" s="43">
        <v>1079</v>
      </c>
      <c r="AS213" s="43">
        <v>2067</v>
      </c>
      <c r="AT213" s="43">
        <v>2048</v>
      </c>
      <c r="AU213" s="43">
        <v>2010</v>
      </c>
      <c r="AV213" s="36">
        <v>2010</v>
      </c>
      <c r="AW213" s="43">
        <v>1993</v>
      </c>
      <c r="AX213" s="43">
        <v>3473</v>
      </c>
      <c r="AY213" s="43">
        <v>3472</v>
      </c>
      <c r="AZ213" s="43">
        <v>3471</v>
      </c>
      <c r="BA213" s="36">
        <v>3471</v>
      </c>
      <c r="BB213" s="43">
        <v>3472</v>
      </c>
      <c r="BC213" s="43">
        <v>3472</v>
      </c>
      <c r="BD213" s="43">
        <v>3469</v>
      </c>
      <c r="BE213" s="43">
        <v>3468</v>
      </c>
      <c r="BF213" s="36">
        <f>+BE213</f>
        <v>3468</v>
      </c>
      <c r="BG213" s="43">
        <v>3467</v>
      </c>
      <c r="BH213" s="43">
        <v>3466</v>
      </c>
      <c r="BI213" s="43">
        <v>3465</v>
      </c>
      <c r="BJ213" s="43">
        <v>3464</v>
      </c>
      <c r="BK213" s="36">
        <f>+BJ213</f>
        <v>3464</v>
      </c>
      <c r="BL213" s="43">
        <v>3463</v>
      </c>
      <c r="BM213" s="43">
        <v>3462</v>
      </c>
      <c r="BN213" s="43">
        <v>3463</v>
      </c>
      <c r="BO213" s="43">
        <v>9406</v>
      </c>
      <c r="BP213" s="36">
        <f>+BO213</f>
        <v>9406</v>
      </c>
      <c r="BQ213" s="43">
        <v>9408</v>
      </c>
      <c r="BR213" s="43">
        <v>9410</v>
      </c>
      <c r="BS213" s="43">
        <v>9412</v>
      </c>
      <c r="BT213" s="43">
        <v>9413</v>
      </c>
      <c r="BU213" s="36">
        <f>+BT213</f>
        <v>9413</v>
      </c>
      <c r="BV213" s="43">
        <v>9415</v>
      </c>
      <c r="BW213" s="43">
        <v>9417</v>
      </c>
      <c r="BX213" s="43">
        <v>9418</v>
      </c>
      <c r="BY213" s="43">
        <v>8920</v>
      </c>
      <c r="BZ213" s="36">
        <f>+BY213</f>
        <v>8920</v>
      </c>
      <c r="CA213" s="43">
        <v>8922</v>
      </c>
      <c r="CB213" s="43">
        <v>8924</v>
      </c>
      <c r="CC213" s="43">
        <v>8925</v>
      </c>
      <c r="CD213" s="43">
        <v>8927</v>
      </c>
      <c r="CE213" s="36">
        <f>+CD213</f>
        <v>8927</v>
      </c>
      <c r="CF213" s="43">
        <v>8929</v>
      </c>
      <c r="CG213" s="43">
        <v>8930</v>
      </c>
      <c r="CH213" s="43">
        <v>8930</v>
      </c>
      <c r="CI213" s="43">
        <v>7903</v>
      </c>
      <c r="CJ213" s="36">
        <f>+CI213</f>
        <v>7903</v>
      </c>
      <c r="CK213" s="43">
        <v>7998</v>
      </c>
      <c r="CL213" s="43">
        <v>7973</v>
      </c>
      <c r="CM213" s="43">
        <v>7956</v>
      </c>
      <c r="CN213" s="43">
        <v>7961</v>
      </c>
      <c r="CO213" s="36">
        <f>+CN213</f>
        <v>7961</v>
      </c>
      <c r="CP213" s="43">
        <v>7996</v>
      </c>
      <c r="CQ213" s="43">
        <v>7016</v>
      </c>
      <c r="CR213" s="43">
        <v>7030</v>
      </c>
      <c r="CS213" s="43">
        <v>5942</v>
      </c>
      <c r="CT213" s="36">
        <f>+CS213</f>
        <v>5942</v>
      </c>
      <c r="CU213" s="43">
        <v>5893</v>
      </c>
      <c r="CV213" s="43">
        <f>CU213+'2. Consolidated'!CV130</f>
        <v>5893</v>
      </c>
      <c r="CW213" s="43">
        <f>CV213+'2. Consolidated'!CW130</f>
        <v>5893</v>
      </c>
      <c r="CX213" s="43">
        <f>CW213+'2. Consolidated'!CX130</f>
        <v>5893</v>
      </c>
      <c r="CY213" s="36">
        <f>+CX213</f>
        <v>5893</v>
      </c>
      <c r="CZ213" s="43">
        <f>CY213+'2. Consolidated'!CZ130</f>
        <v>5893</v>
      </c>
      <c r="DA213" s="43">
        <f>CZ213+'2. Consolidated'!DA130</f>
        <v>5893</v>
      </c>
      <c r="DB213" s="43">
        <f>DA213+'2. Consolidated'!DB130</f>
        <v>5893</v>
      </c>
      <c r="DC213" s="43">
        <f>DB213+'2. Consolidated'!DC130</f>
        <v>5893</v>
      </c>
      <c r="DD213" s="36">
        <f>+DC213</f>
        <v>5893</v>
      </c>
      <c r="DE213" s="43">
        <f>DD213+'2. Consolidated'!DE130</f>
        <v>5893</v>
      </c>
      <c r="DF213" s="43">
        <f>DE213+'2. Consolidated'!DF130</f>
        <v>5893</v>
      </c>
      <c r="DG213" s="43">
        <f>DF213+'2. Consolidated'!DG130</f>
        <v>5893</v>
      </c>
      <c r="DH213" s="43">
        <f>DG213+'2. Consolidated'!DH130</f>
        <v>5893</v>
      </c>
      <c r="DI213" s="36">
        <f>+DH213</f>
        <v>5893</v>
      </c>
    </row>
    <row r="214" spans="1:113" s="7" customFormat="1" ht="12" customHeight="1">
      <c r="A214" s="239"/>
      <c r="B214" s="450" t="s">
        <v>315</v>
      </c>
      <c r="C214" s="43"/>
      <c r="D214" s="36"/>
      <c r="E214" s="43"/>
      <c r="F214" s="36"/>
      <c r="G214" s="43"/>
      <c r="H214" s="36"/>
      <c r="I214" s="43"/>
      <c r="J214" s="36"/>
      <c r="K214" s="39"/>
      <c r="L214" s="40"/>
      <c r="M214" s="39"/>
      <c r="N214" s="40"/>
      <c r="O214" s="40"/>
      <c r="P214" s="39"/>
      <c r="Q214" s="40"/>
      <c r="R214" s="39"/>
      <c r="S214" s="43"/>
      <c r="T214" s="39"/>
      <c r="U214" s="39"/>
      <c r="V214" s="40"/>
      <c r="W214" s="39"/>
      <c r="X214" s="39"/>
      <c r="Y214" s="39"/>
      <c r="Z214" s="39"/>
      <c r="AA214" s="36"/>
      <c r="AB214" s="36"/>
      <c r="AC214" s="43"/>
      <c r="AD214" s="43"/>
      <c r="AE214" s="43"/>
      <c r="AF214" s="43"/>
      <c r="AG214" s="36"/>
      <c r="AH214" s="43"/>
      <c r="AI214" s="43"/>
      <c r="AJ214" s="43"/>
      <c r="AK214" s="43"/>
      <c r="AL214" s="36"/>
      <c r="AM214" s="43"/>
      <c r="AN214" s="43"/>
      <c r="AO214" s="43"/>
      <c r="AP214" s="43"/>
      <c r="AQ214" s="36"/>
      <c r="AR214" s="43"/>
      <c r="AS214" s="43"/>
      <c r="AT214" s="43"/>
      <c r="AU214" s="43"/>
      <c r="AV214" s="36"/>
      <c r="AW214" s="43"/>
      <c r="AX214" s="43"/>
      <c r="AY214" s="43"/>
      <c r="AZ214" s="43"/>
      <c r="BA214" s="36"/>
      <c r="BB214" s="43"/>
      <c r="BC214" s="43"/>
      <c r="BD214" s="43"/>
      <c r="BE214" s="43"/>
      <c r="BF214" s="36"/>
      <c r="BG214" s="43"/>
      <c r="BH214" s="43"/>
      <c r="BI214" s="43"/>
      <c r="BJ214" s="43"/>
      <c r="BK214" s="36"/>
      <c r="BL214" s="43">
        <v>2675</v>
      </c>
      <c r="BM214" s="43">
        <v>2723</v>
      </c>
      <c r="BN214" s="43">
        <v>2758</v>
      </c>
      <c r="BO214" s="43">
        <v>2913</v>
      </c>
      <c r="BP214" s="36">
        <f>BO214</f>
        <v>2913</v>
      </c>
      <c r="BQ214" s="43">
        <v>2961</v>
      </c>
      <c r="BR214" s="43">
        <v>2896</v>
      </c>
      <c r="BS214" s="43">
        <v>2964</v>
      </c>
      <c r="BT214" s="43">
        <v>2931</v>
      </c>
      <c r="BU214" s="36">
        <f>BT214</f>
        <v>2931</v>
      </c>
      <c r="BV214" s="43">
        <v>2898</v>
      </c>
      <c r="BW214" s="43">
        <v>2835</v>
      </c>
      <c r="BX214" s="43">
        <v>2784</v>
      </c>
      <c r="BY214" s="43">
        <v>2777</v>
      </c>
      <c r="BZ214" s="36">
        <f>BY214</f>
        <v>2777</v>
      </c>
      <c r="CA214" s="43">
        <v>2736</v>
      </c>
      <c r="CB214" s="43">
        <v>2668</v>
      </c>
      <c r="CC214" s="43">
        <v>2692</v>
      </c>
      <c r="CD214" s="43">
        <v>2786</v>
      </c>
      <c r="CE214" s="36">
        <f>CD214</f>
        <v>2786</v>
      </c>
      <c r="CF214" s="43">
        <v>2807</v>
      </c>
      <c r="CG214" s="43">
        <v>2785</v>
      </c>
      <c r="CH214" s="43">
        <v>2691</v>
      </c>
      <c r="CI214" s="43">
        <v>2566</v>
      </c>
      <c r="CJ214" s="36">
        <f>CI214</f>
        <v>2566</v>
      </c>
      <c r="CK214" s="43">
        <v>2625</v>
      </c>
      <c r="CL214" s="43">
        <v>2562</v>
      </c>
      <c r="CM214" s="43">
        <v>2477</v>
      </c>
      <c r="CN214" s="43">
        <v>2550</v>
      </c>
      <c r="CO214" s="36">
        <f t="shared" ref="CO214:DD214" si="577">CN214</f>
        <v>2550</v>
      </c>
      <c r="CP214" s="43">
        <v>2555</v>
      </c>
      <c r="CQ214" s="43">
        <v>2754</v>
      </c>
      <c r="CR214" s="43">
        <v>2656</v>
      </c>
      <c r="CS214" s="43">
        <v>2613</v>
      </c>
      <c r="CT214" s="36">
        <f t="shared" si="577"/>
        <v>2613</v>
      </c>
      <c r="CU214" s="43">
        <v>2706</v>
      </c>
      <c r="CV214" s="43">
        <f t="shared" si="577"/>
        <v>2706</v>
      </c>
      <c r="CW214" s="43">
        <f t="shared" si="577"/>
        <v>2706</v>
      </c>
      <c r="CX214" s="43">
        <f t="shared" si="577"/>
        <v>2706</v>
      </c>
      <c r="CY214" s="36">
        <f t="shared" si="577"/>
        <v>2706</v>
      </c>
      <c r="CZ214" s="43">
        <f t="shared" si="577"/>
        <v>2706</v>
      </c>
      <c r="DA214" s="43">
        <f t="shared" si="577"/>
        <v>2706</v>
      </c>
      <c r="DB214" s="43">
        <f t="shared" si="577"/>
        <v>2706</v>
      </c>
      <c r="DC214" s="43">
        <f t="shared" si="577"/>
        <v>2706</v>
      </c>
      <c r="DD214" s="36">
        <f t="shared" si="577"/>
        <v>2706</v>
      </c>
      <c r="DE214" s="43">
        <f t="shared" ref="DE214" si="578">DD214</f>
        <v>2706</v>
      </c>
      <c r="DF214" s="43">
        <f t="shared" ref="DF214" si="579">DE214</f>
        <v>2706</v>
      </c>
      <c r="DG214" s="43">
        <f t="shared" ref="DG214" si="580">DF214</f>
        <v>2706</v>
      </c>
      <c r="DH214" s="43">
        <f t="shared" ref="DH214" si="581">DG214</f>
        <v>2706</v>
      </c>
      <c r="DI214" s="36">
        <f t="shared" ref="DI214" si="582">DH214</f>
        <v>2706</v>
      </c>
    </row>
    <row r="215" spans="1:113" s="7" customFormat="1" ht="12" customHeight="1">
      <c r="A215" s="239"/>
      <c r="B215" s="450" t="s">
        <v>51</v>
      </c>
      <c r="C215" s="43">
        <v>43.285000000000004</v>
      </c>
      <c r="D215" s="36">
        <v>42.131999999999998</v>
      </c>
      <c r="E215" s="43">
        <v>52.3</v>
      </c>
      <c r="F215" s="36">
        <v>79.8</v>
      </c>
      <c r="G215" s="43">
        <v>110.3</v>
      </c>
      <c r="H215" s="36">
        <v>102.2</v>
      </c>
      <c r="I215" s="43">
        <v>141.6</v>
      </c>
      <c r="J215" s="36">
        <v>214.2</v>
      </c>
      <c r="K215" s="43">
        <v>418.2</v>
      </c>
      <c r="L215" s="36">
        <v>462.6</v>
      </c>
      <c r="M215" s="43">
        <v>550.1</v>
      </c>
      <c r="N215" s="36">
        <v>668.7</v>
      </c>
      <c r="O215" s="36">
        <v>854.5</v>
      </c>
      <c r="P215" s="43">
        <v>842</v>
      </c>
      <c r="Q215" s="36">
        <v>855</v>
      </c>
      <c r="R215" s="43">
        <v>907</v>
      </c>
      <c r="S215" s="43">
        <v>929</v>
      </c>
      <c r="T215" s="43">
        <v>958</v>
      </c>
      <c r="U215" s="43">
        <v>921</v>
      </c>
      <c r="V215" s="36">
        <v>921</v>
      </c>
      <c r="W215" s="43">
        <v>906</v>
      </c>
      <c r="X215" s="43">
        <v>925</v>
      </c>
      <c r="Y215" s="43">
        <v>979</v>
      </c>
      <c r="Z215" s="43">
        <v>958</v>
      </c>
      <c r="AA215" s="36">
        <v>991</v>
      </c>
      <c r="AB215" s="36">
        <v>958</v>
      </c>
      <c r="AC215" s="43">
        <v>1065</v>
      </c>
      <c r="AD215" s="43">
        <v>1188</v>
      </c>
      <c r="AE215" s="43">
        <v>1287</v>
      </c>
      <c r="AF215" s="43">
        <v>1292</v>
      </c>
      <c r="AG215" s="36">
        <v>1292</v>
      </c>
      <c r="AH215" s="43">
        <v>1322</v>
      </c>
      <c r="AI215" s="43">
        <v>1424</v>
      </c>
      <c r="AJ215" s="43">
        <v>1515</v>
      </c>
      <c r="AK215" s="43">
        <v>1544</v>
      </c>
      <c r="AL215" s="36">
        <v>1544</v>
      </c>
      <c r="AM215" s="43">
        <v>1408</v>
      </c>
      <c r="AN215" s="43">
        <v>1446</v>
      </c>
      <c r="AO215" s="43">
        <v>1505</v>
      </c>
      <c r="AP215" s="43">
        <v>1480</v>
      </c>
      <c r="AQ215" s="36">
        <v>1480</v>
      </c>
      <c r="AR215" s="43">
        <v>1517</v>
      </c>
      <c r="AS215" s="43">
        <v>1600</v>
      </c>
      <c r="AT215" s="43">
        <v>1659</v>
      </c>
      <c r="AU215" s="43">
        <v>1770</v>
      </c>
      <c r="AV215" s="36">
        <v>1770</v>
      </c>
      <c r="AW215" s="43">
        <v>1635</v>
      </c>
      <c r="AX215" s="43">
        <f>1631</f>
        <v>1631</v>
      </c>
      <c r="AY215" s="43">
        <f>1687</f>
        <v>1687</v>
      </c>
      <c r="AZ215" s="43">
        <v>1907</v>
      </c>
      <c r="BA215" s="36">
        <v>1907</v>
      </c>
      <c r="BB215" s="43">
        <f>2126</f>
        <v>2126</v>
      </c>
      <c r="BC215" s="43">
        <v>2075</v>
      </c>
      <c r="BD215" s="43">
        <v>3518</v>
      </c>
      <c r="BE215" s="43">
        <v>3216</v>
      </c>
      <c r="BF215" s="36">
        <f>+BE215</f>
        <v>3216</v>
      </c>
      <c r="BG215" s="43">
        <v>3316</v>
      </c>
      <c r="BH215" s="43">
        <v>3204</v>
      </c>
      <c r="BI215" s="43">
        <v>3214</v>
      </c>
      <c r="BJ215" s="43">
        <v>3347</v>
      </c>
      <c r="BK215" s="36">
        <f>+BJ215</f>
        <v>3347</v>
      </c>
      <c r="BL215" s="43">
        <v>2841</v>
      </c>
      <c r="BM215" s="43">
        <v>2802</v>
      </c>
      <c r="BN215" s="43">
        <v>2674</v>
      </c>
      <c r="BO215" s="43">
        <v>2684</v>
      </c>
      <c r="BP215" s="36">
        <f>+BO215</f>
        <v>2684</v>
      </c>
      <c r="BQ215" s="43">
        <v>3046</v>
      </c>
      <c r="BR215" s="43">
        <v>3019</v>
      </c>
      <c r="BS215" s="43">
        <v>2984</v>
      </c>
      <c r="BT215" s="43">
        <v>2955</v>
      </c>
      <c r="BU215" s="36">
        <f>+BT215</f>
        <v>2955</v>
      </c>
      <c r="BV215" s="43">
        <v>2992</v>
      </c>
      <c r="BW215" s="43">
        <v>2884</v>
      </c>
      <c r="BX215" s="43">
        <v>2748</v>
      </c>
      <c r="BY215" s="43">
        <v>2613</v>
      </c>
      <c r="BZ215" s="36">
        <f>+BY215</f>
        <v>2613</v>
      </c>
      <c r="CA215" s="43">
        <v>2689</v>
      </c>
      <c r="CB215" s="43">
        <v>2584</v>
      </c>
      <c r="CC215" s="43">
        <v>2598</v>
      </c>
      <c r="CD215" s="43">
        <v>2558</v>
      </c>
      <c r="CE215" s="36">
        <f>+CD215</f>
        <v>2558</v>
      </c>
      <c r="CF215" s="43">
        <v>2618</v>
      </c>
      <c r="CG215" s="43">
        <v>2343</v>
      </c>
      <c r="CH215" s="43">
        <v>2480</v>
      </c>
      <c r="CI215" s="43">
        <v>2618</v>
      </c>
      <c r="CJ215" s="36">
        <f>+CI215</f>
        <v>2618</v>
      </c>
      <c r="CK215" s="43">
        <v>2672</v>
      </c>
      <c r="CL215" s="43">
        <v>2141</v>
      </c>
      <c r="CM215" s="43">
        <v>2130</v>
      </c>
      <c r="CN215" s="43">
        <v>2289</v>
      </c>
      <c r="CO215" s="36">
        <f>+CN215</f>
        <v>2289</v>
      </c>
      <c r="CP215" s="43">
        <v>2404</v>
      </c>
      <c r="CQ215" s="43">
        <v>2292</v>
      </c>
      <c r="CR215" s="43">
        <v>2450</v>
      </c>
      <c r="CS215" s="43">
        <v>2443</v>
      </c>
      <c r="CT215" s="36">
        <f>+CS215</f>
        <v>2443</v>
      </c>
      <c r="CU215" s="43">
        <v>2566</v>
      </c>
      <c r="CV215" s="43">
        <f>CU215+'2. Consolidated'!CV134+'2. Consolidated'!CV112</f>
        <v>2538</v>
      </c>
      <c r="CW215" s="43">
        <f>CV215+'2. Consolidated'!CW134+'2. Consolidated'!CW112</f>
        <v>2510</v>
      </c>
      <c r="CX215" s="43">
        <f>CW215+'2. Consolidated'!CX134+'2. Consolidated'!CX112</f>
        <v>2482</v>
      </c>
      <c r="CY215" s="36">
        <f>+CX215</f>
        <v>2482</v>
      </c>
      <c r="CZ215" s="43">
        <f>CY215+'2. Consolidated'!CZ134+'2. Consolidated'!CZ112</f>
        <v>2454</v>
      </c>
      <c r="DA215" s="43">
        <f>CZ215+'2. Consolidated'!DA134+'2. Consolidated'!DA112</f>
        <v>2426</v>
      </c>
      <c r="DB215" s="43">
        <f>DA215+'2. Consolidated'!DB134+'2. Consolidated'!DB112</f>
        <v>2398</v>
      </c>
      <c r="DC215" s="43">
        <f>DB215+'2. Consolidated'!DC134+'2. Consolidated'!DC112</f>
        <v>2370</v>
      </c>
      <c r="DD215" s="36">
        <f>+DC215</f>
        <v>2370</v>
      </c>
      <c r="DE215" s="43">
        <f>DD215+'2. Consolidated'!DE134+'2. Consolidated'!DE112</f>
        <v>2342</v>
      </c>
      <c r="DF215" s="43">
        <f>DE215+'2. Consolidated'!DF134+'2. Consolidated'!DF112</f>
        <v>2314</v>
      </c>
      <c r="DG215" s="43">
        <f>DF215+'2. Consolidated'!DG134+'2. Consolidated'!DG112</f>
        <v>2286</v>
      </c>
      <c r="DH215" s="43">
        <f>DG215+'2. Consolidated'!DH134+'2. Consolidated'!DH112</f>
        <v>2258</v>
      </c>
      <c r="DI215" s="36">
        <f>+DH215</f>
        <v>2258</v>
      </c>
    </row>
    <row r="216" spans="1:113" s="117" customFormat="1" ht="12" customHeight="1">
      <c r="A216" s="239"/>
      <c r="B216" s="451" t="s">
        <v>52</v>
      </c>
      <c r="C216" s="363">
        <v>2431.6999999999998</v>
      </c>
      <c r="D216" s="364">
        <v>3156.1379999999999</v>
      </c>
      <c r="E216" s="363">
        <v>3261.9</v>
      </c>
      <c r="F216" s="364">
        <v>3334.9</v>
      </c>
      <c r="G216" s="363">
        <v>3136.2999999999997</v>
      </c>
      <c r="H216" s="364">
        <v>3494.8</v>
      </c>
      <c r="I216" s="363">
        <v>3839.3</v>
      </c>
      <c r="J216" s="364">
        <v>3990.9999999999991</v>
      </c>
      <c r="K216" s="363">
        <v>4782</v>
      </c>
      <c r="L216" s="364">
        <v>5644.5</v>
      </c>
      <c r="M216" s="363">
        <v>6285.4999999999991</v>
      </c>
      <c r="N216" s="364">
        <v>7025.6999999999989</v>
      </c>
      <c r="O216" s="364">
        <v>7825.6</v>
      </c>
      <c r="P216" s="363">
        <v>8693.4000000000015</v>
      </c>
      <c r="Q216" s="364">
        <v>9754</v>
      </c>
      <c r="R216" s="363">
        <v>9660</v>
      </c>
      <c r="S216" s="363">
        <v>9949</v>
      </c>
      <c r="T216" s="363">
        <v>9902</v>
      </c>
      <c r="U216" s="363">
        <v>9843</v>
      </c>
      <c r="V216" s="364">
        <v>9843</v>
      </c>
      <c r="W216" s="363">
        <v>9899</v>
      </c>
      <c r="X216" s="363">
        <v>9843</v>
      </c>
      <c r="Y216" s="363">
        <v>10176</v>
      </c>
      <c r="Z216" s="363">
        <v>10381</v>
      </c>
      <c r="AA216" s="364">
        <v>10381</v>
      </c>
      <c r="AB216" s="364">
        <v>10381</v>
      </c>
      <c r="AC216" s="363">
        <v>10047</v>
      </c>
      <c r="AD216" s="363">
        <v>10014</v>
      </c>
      <c r="AE216" s="363">
        <v>10667</v>
      </c>
      <c r="AF216" s="363">
        <v>11156</v>
      </c>
      <c r="AG216" s="364">
        <v>11156</v>
      </c>
      <c r="AH216" s="363">
        <v>11282</v>
      </c>
      <c r="AI216" s="363">
        <v>11344</v>
      </c>
      <c r="AJ216" s="363">
        <v>11133</v>
      </c>
      <c r="AK216" s="363">
        <v>10824</v>
      </c>
      <c r="AL216" s="364">
        <v>10824</v>
      </c>
      <c r="AM216" s="363">
        <v>11105</v>
      </c>
      <c r="AN216" s="363">
        <v>11700</v>
      </c>
      <c r="AO216" s="363">
        <v>12368</v>
      </c>
      <c r="AP216" s="363">
        <v>12707</v>
      </c>
      <c r="AQ216" s="364">
        <v>12707</v>
      </c>
      <c r="AR216" s="363">
        <v>12894</v>
      </c>
      <c r="AS216" s="363">
        <v>13405</v>
      </c>
      <c r="AT216" s="363">
        <v>12300</v>
      </c>
      <c r="AU216" s="363">
        <v>12258</v>
      </c>
      <c r="AV216" s="364">
        <v>12258</v>
      </c>
      <c r="AW216" s="363">
        <v>12165</v>
      </c>
      <c r="AX216" s="363">
        <v>12323</v>
      </c>
      <c r="AY216" s="363">
        <v>12722</v>
      </c>
      <c r="AZ216" s="363">
        <v>12407</v>
      </c>
      <c r="BA216" s="364">
        <v>12407</v>
      </c>
      <c r="BB216" s="363">
        <v>11993</v>
      </c>
      <c r="BC216" s="363">
        <v>11758</v>
      </c>
      <c r="BD216" s="363">
        <v>9782</v>
      </c>
      <c r="BE216" s="363">
        <v>9812</v>
      </c>
      <c r="BF216" s="364">
        <f>+BE216</f>
        <v>9812</v>
      </c>
      <c r="BG216" s="363">
        <v>8992</v>
      </c>
      <c r="BH216" s="363">
        <v>8729</v>
      </c>
      <c r="BI216" s="363">
        <v>8961</v>
      </c>
      <c r="BJ216" s="363">
        <v>9040</v>
      </c>
      <c r="BK216" s="364">
        <f>+BJ216</f>
        <v>9040</v>
      </c>
      <c r="BL216" s="363">
        <v>9200</v>
      </c>
      <c r="BM216" s="363">
        <v>9351</v>
      </c>
      <c r="BN216" s="363">
        <v>9045</v>
      </c>
      <c r="BO216" s="363">
        <v>8055</v>
      </c>
      <c r="BP216" s="364">
        <f>+BO216</f>
        <v>8055</v>
      </c>
      <c r="BQ216" s="363">
        <v>9224</v>
      </c>
      <c r="BR216" s="363">
        <v>10640</v>
      </c>
      <c r="BS216" s="363">
        <v>11931</v>
      </c>
      <c r="BT216" s="363">
        <v>12767</v>
      </c>
      <c r="BU216" s="364">
        <f>+BT216</f>
        <v>12767</v>
      </c>
      <c r="BV216" s="363">
        <v>14343</v>
      </c>
      <c r="BW216" s="371">
        <v>14924</v>
      </c>
      <c r="BX216" s="363">
        <v>14809</v>
      </c>
      <c r="BY216" s="363">
        <v>15281</v>
      </c>
      <c r="BZ216" s="364">
        <f>+BY216</f>
        <v>15281</v>
      </c>
      <c r="CA216" s="363">
        <v>15822</v>
      </c>
      <c r="CB216" s="363">
        <v>15272</v>
      </c>
      <c r="CC216" s="363">
        <v>14531</v>
      </c>
      <c r="CD216" s="363">
        <v>14004</v>
      </c>
      <c r="CE216" s="364">
        <f>+CD216</f>
        <v>14004</v>
      </c>
      <c r="CF216" s="363">
        <v>13971</v>
      </c>
      <c r="CG216" s="363">
        <v>14146</v>
      </c>
      <c r="CH216" s="363">
        <v>14226</v>
      </c>
      <c r="CI216" s="363">
        <v>14430</v>
      </c>
      <c r="CJ216" s="364">
        <f>+CI216</f>
        <v>14430</v>
      </c>
      <c r="CK216" s="363">
        <v>13944</v>
      </c>
      <c r="CL216" s="363">
        <v>14037</v>
      </c>
      <c r="CM216" s="363">
        <v>14007</v>
      </c>
      <c r="CN216" s="363">
        <v>13213</v>
      </c>
      <c r="CO216" s="364">
        <f>+CN216</f>
        <v>13213</v>
      </c>
      <c r="CP216" s="363">
        <v>13468</v>
      </c>
      <c r="CQ216" s="363">
        <v>14085</v>
      </c>
      <c r="CR216" s="363">
        <v>14090</v>
      </c>
      <c r="CS216" s="363">
        <v>14865</v>
      </c>
      <c r="CT216" s="364">
        <f>+CS216</f>
        <v>14865</v>
      </c>
      <c r="CU216" s="363">
        <v>15220</v>
      </c>
      <c r="CV216" s="363">
        <f>CU216+'2. Consolidated'!CV131+'2. Consolidated'!CV132+'2. Consolidated'!CV133+'2. Consolidated'!CV109+'2. Consolidated'!CV111+'2. Consolidated'!CV137</f>
        <v>15325.822959588131</v>
      </c>
      <c r="CW216" s="363">
        <f>CV216+'2. Consolidated'!CW131+'2. Consolidated'!CW132+'2. Consolidated'!CW133+'2. Consolidated'!CW109+'2. Consolidated'!CW111+'2. Consolidated'!CW137</f>
        <v>15299.019493161915</v>
      </c>
      <c r="CX216" s="363">
        <f>CW216+'2. Consolidated'!CX131+'2. Consolidated'!CX132+'2. Consolidated'!CX133+'2. Consolidated'!CX109+'2. Consolidated'!CX111+'2. Consolidated'!CX137</f>
        <v>15060.141603222164</v>
      </c>
      <c r="CY216" s="364">
        <f>+CX216</f>
        <v>15060.141603222164</v>
      </c>
      <c r="CZ216" s="363">
        <f>CY216+'2. Consolidated'!CZ131+'2. Consolidated'!CZ132+'2. Consolidated'!CZ133+'2. Consolidated'!CZ109+'2. Consolidated'!CZ111+'2. Consolidated'!CZ137</f>
        <v>15324.7596413013</v>
      </c>
      <c r="DA216" s="363">
        <f>CZ216+'2. Consolidated'!DA131+'2. Consolidated'!DA132+'2. Consolidated'!DA133+'2. Consolidated'!DA109+'2. Consolidated'!DA111+'2. Consolidated'!DA137</f>
        <v>15358.107172939546</v>
      </c>
      <c r="DB216" s="363">
        <f>DA216+'2. Consolidated'!DB131+'2. Consolidated'!DB132+'2. Consolidated'!DB133+'2. Consolidated'!DB109+'2. Consolidated'!DB111+'2. Consolidated'!DB137</f>
        <v>15312.040915914577</v>
      </c>
      <c r="DC216" s="363">
        <f>DB216+'2. Consolidated'!DC131+'2. Consolidated'!DC132+'2. Consolidated'!DC133+'2. Consolidated'!DC109+'2. Consolidated'!DC111+'2. Consolidated'!DC137</f>
        <v>15053.538900078898</v>
      </c>
      <c r="DD216" s="364">
        <f>+DC216</f>
        <v>15053.538900078898</v>
      </c>
      <c r="DE216" s="363">
        <f>DD216+'2. Consolidated'!DE131+'2. Consolidated'!DE132+'2. Consolidated'!DE133+'2. Consolidated'!DE109+'2. Consolidated'!DE111+'2. Consolidated'!DE137</f>
        <v>15072.770265098088</v>
      </c>
      <c r="DF216" s="363">
        <f>DE216+'2. Consolidated'!DF131+'2. Consolidated'!DF132+'2. Consolidated'!DF133+'2. Consolidated'!DF109+'2. Consolidated'!DF111+'2. Consolidated'!DF137</f>
        <v>14858.828851053751</v>
      </c>
      <c r="DG216" s="363">
        <f>DF216+'2. Consolidated'!DG131+'2. Consolidated'!DG132+'2. Consolidated'!DG133+'2. Consolidated'!DG109+'2. Consolidated'!DG111+'2. Consolidated'!DG137</f>
        <v>14567.357290513006</v>
      </c>
      <c r="DH216" s="363">
        <f>DG216+'2. Consolidated'!DH131+'2. Consolidated'!DH132+'2. Consolidated'!DH133+'2. Consolidated'!DH109+'2. Consolidated'!DH111+'2. Consolidated'!DH137</f>
        <v>14060.038400405707</v>
      </c>
      <c r="DI216" s="364">
        <f>+DH216</f>
        <v>14060.038400405707</v>
      </c>
    </row>
    <row r="217" spans="1:113" s="7" customFormat="1" ht="12" customHeight="1">
      <c r="A217" s="239"/>
      <c r="B217" s="450"/>
      <c r="C217" s="39"/>
      <c r="D217" s="40"/>
      <c r="E217" s="39"/>
      <c r="F217" s="40"/>
      <c r="G217" s="39"/>
      <c r="H217" s="40"/>
      <c r="I217" s="39"/>
      <c r="J217" s="40"/>
      <c r="K217" s="39"/>
      <c r="L217" s="40"/>
      <c r="M217" s="39"/>
      <c r="N217" s="40"/>
      <c r="O217" s="40"/>
      <c r="P217" s="39"/>
      <c r="Q217" s="40"/>
      <c r="R217" s="39"/>
      <c r="S217" s="43"/>
      <c r="T217" s="39"/>
      <c r="U217" s="39"/>
      <c r="V217" s="40"/>
      <c r="W217" s="39"/>
      <c r="X217" s="39"/>
      <c r="Y217" s="39"/>
      <c r="Z217" s="39"/>
      <c r="AA217" s="40"/>
      <c r="AB217" s="40"/>
      <c r="AC217" s="39"/>
      <c r="AD217" s="39"/>
      <c r="AE217" s="39"/>
      <c r="AF217" s="39"/>
      <c r="AG217" s="40"/>
      <c r="AH217" s="39"/>
      <c r="AI217" s="39"/>
      <c r="AJ217" s="39"/>
      <c r="AK217" s="39"/>
      <c r="AL217" s="40"/>
      <c r="AM217" s="39"/>
      <c r="AN217" s="39"/>
      <c r="AO217" s="39"/>
      <c r="AP217" s="39"/>
      <c r="AQ217" s="40"/>
      <c r="AR217" s="39"/>
      <c r="AS217" s="39"/>
      <c r="AT217" s="39"/>
      <c r="AU217" s="39"/>
      <c r="AV217" s="40"/>
      <c r="AW217" s="39"/>
      <c r="AX217" s="39"/>
      <c r="AY217" s="39"/>
      <c r="AZ217" s="39"/>
      <c r="BA217" s="40"/>
      <c r="BB217" s="39"/>
      <c r="BC217" s="39"/>
      <c r="BD217" s="39"/>
      <c r="BE217" s="39"/>
      <c r="BF217" s="40"/>
      <c r="BG217" s="39"/>
      <c r="BH217" s="39"/>
      <c r="BI217" s="39"/>
      <c r="BJ217" s="39"/>
      <c r="BK217" s="40"/>
      <c r="BL217" s="39"/>
      <c r="BM217" s="39"/>
      <c r="BN217" s="39"/>
      <c r="BO217" s="39"/>
      <c r="BP217" s="40"/>
      <c r="BQ217" s="39"/>
      <c r="BR217" s="39"/>
      <c r="BS217" s="39"/>
      <c r="BT217" s="39"/>
      <c r="BU217" s="40"/>
      <c r="BV217" s="39"/>
      <c r="BW217" s="39"/>
      <c r="BX217" s="39"/>
      <c r="BY217" s="39"/>
      <c r="BZ217" s="40"/>
      <c r="CA217" s="39"/>
      <c r="CB217" s="39"/>
      <c r="CC217" s="39"/>
      <c r="CD217" s="39"/>
      <c r="CE217" s="40"/>
      <c r="CF217" s="39"/>
      <c r="CG217" s="39"/>
      <c r="CH217" s="39"/>
      <c r="CI217" s="39"/>
      <c r="CJ217" s="40"/>
      <c r="CK217" s="39"/>
      <c r="CL217" s="39"/>
      <c r="CM217" s="39"/>
      <c r="CN217" s="39"/>
      <c r="CO217" s="40"/>
      <c r="CP217" s="39"/>
      <c r="CQ217" s="39"/>
      <c r="CR217" s="39"/>
      <c r="CS217" s="39"/>
      <c r="CT217" s="40"/>
      <c r="CU217" s="39"/>
      <c r="CV217" s="39"/>
      <c r="CW217" s="39"/>
      <c r="CX217" s="39"/>
      <c r="CY217" s="40"/>
      <c r="CZ217" s="39"/>
      <c r="DA217" s="39"/>
      <c r="DB217" s="39"/>
      <c r="DC217" s="39"/>
      <c r="DD217" s="40"/>
      <c r="DE217" s="39"/>
      <c r="DF217" s="39"/>
      <c r="DG217" s="39"/>
      <c r="DH217" s="39"/>
      <c r="DI217" s="40"/>
    </row>
    <row r="218" spans="1:113" s="117" customFormat="1" ht="12" customHeight="1">
      <c r="A218" s="239"/>
      <c r="B218" s="265" t="s">
        <v>131</v>
      </c>
      <c r="C218" s="48">
        <f t="shared" ref="C218:AH218" si="583">SUM(C211:C216)</f>
        <v>3951.6279999999997</v>
      </c>
      <c r="D218" s="266">
        <f t="shared" si="583"/>
        <v>5361.2070000000003</v>
      </c>
      <c r="E218" s="48">
        <f t="shared" si="583"/>
        <v>5397.4210000000021</v>
      </c>
      <c r="F218" s="266">
        <f t="shared" si="583"/>
        <v>5247.7</v>
      </c>
      <c r="G218" s="48">
        <f t="shared" si="583"/>
        <v>5856.9</v>
      </c>
      <c r="H218" s="266">
        <f t="shared" si="583"/>
        <v>5819.6</v>
      </c>
      <c r="I218" s="48">
        <f t="shared" si="583"/>
        <v>6443</v>
      </c>
      <c r="J218" s="266">
        <f t="shared" si="583"/>
        <v>6771.9999999999991</v>
      </c>
      <c r="K218" s="48">
        <f t="shared" si="583"/>
        <v>7891.5999999999995</v>
      </c>
      <c r="L218" s="266">
        <f t="shared" si="583"/>
        <v>8793.6</v>
      </c>
      <c r="M218" s="48">
        <f t="shared" si="583"/>
        <v>9869.5999999999985</v>
      </c>
      <c r="N218" s="266">
        <f t="shared" si="583"/>
        <v>10688.3</v>
      </c>
      <c r="O218" s="266">
        <f t="shared" si="583"/>
        <v>12442.7</v>
      </c>
      <c r="P218" s="48">
        <f t="shared" si="583"/>
        <v>13249.600000000002</v>
      </c>
      <c r="Q218" s="266">
        <f t="shared" si="583"/>
        <v>14419</v>
      </c>
      <c r="R218" s="48">
        <f t="shared" si="583"/>
        <v>14051</v>
      </c>
      <c r="S218" s="48">
        <f t="shared" si="583"/>
        <v>14464</v>
      </c>
      <c r="T218" s="48">
        <f t="shared" si="583"/>
        <v>14478</v>
      </c>
      <c r="U218" s="48">
        <f t="shared" si="583"/>
        <v>14998</v>
      </c>
      <c r="V218" s="266">
        <f t="shared" si="583"/>
        <v>14998</v>
      </c>
      <c r="W218" s="48">
        <f t="shared" si="583"/>
        <v>14803</v>
      </c>
      <c r="X218" s="48">
        <f t="shared" si="583"/>
        <v>14565</v>
      </c>
      <c r="Y218" s="48">
        <f t="shared" si="583"/>
        <v>14794</v>
      </c>
      <c r="Z218" s="48">
        <f t="shared" si="583"/>
        <v>15465</v>
      </c>
      <c r="AA218" s="266">
        <f t="shared" si="583"/>
        <v>15465</v>
      </c>
      <c r="AB218" s="266">
        <f t="shared" si="583"/>
        <v>15465</v>
      </c>
      <c r="AC218" s="48">
        <f t="shared" si="583"/>
        <v>15114</v>
      </c>
      <c r="AD218" s="48">
        <f t="shared" si="583"/>
        <v>15171</v>
      </c>
      <c r="AE218" s="48">
        <f t="shared" si="583"/>
        <v>15615</v>
      </c>
      <c r="AF218" s="48">
        <f t="shared" si="583"/>
        <v>17584</v>
      </c>
      <c r="AG218" s="266">
        <f t="shared" si="583"/>
        <v>17584</v>
      </c>
      <c r="AH218" s="48">
        <f t="shared" si="583"/>
        <v>17674</v>
      </c>
      <c r="AI218" s="48">
        <f t="shared" ref="AI218:BN218" si="584">SUM(AI211:AI216)</f>
        <v>17820</v>
      </c>
      <c r="AJ218" s="48">
        <f t="shared" si="584"/>
        <v>17803</v>
      </c>
      <c r="AK218" s="48">
        <f t="shared" si="584"/>
        <v>18594</v>
      </c>
      <c r="AL218" s="266">
        <f t="shared" si="584"/>
        <v>18594</v>
      </c>
      <c r="AM218" s="48">
        <f t="shared" si="584"/>
        <v>18521</v>
      </c>
      <c r="AN218" s="48">
        <f t="shared" si="584"/>
        <v>19167</v>
      </c>
      <c r="AO218" s="48">
        <f t="shared" si="584"/>
        <v>20541</v>
      </c>
      <c r="AP218" s="48">
        <f t="shared" si="584"/>
        <v>21600</v>
      </c>
      <c r="AQ218" s="266">
        <f t="shared" si="584"/>
        <v>21600</v>
      </c>
      <c r="AR218" s="48">
        <f t="shared" si="584"/>
        <v>20766</v>
      </c>
      <c r="AS218" s="48">
        <f t="shared" si="584"/>
        <v>22583</v>
      </c>
      <c r="AT218" s="48">
        <f t="shared" si="584"/>
        <v>20987</v>
      </c>
      <c r="AU218" s="48">
        <f t="shared" si="584"/>
        <v>21396</v>
      </c>
      <c r="AV218" s="266">
        <f t="shared" si="584"/>
        <v>21396</v>
      </c>
      <c r="AW218" s="48">
        <f t="shared" si="584"/>
        <v>21156</v>
      </c>
      <c r="AX218" s="48">
        <f t="shared" si="584"/>
        <v>22652</v>
      </c>
      <c r="AY218" s="48">
        <f t="shared" si="584"/>
        <v>23152</v>
      </c>
      <c r="AZ218" s="48">
        <f t="shared" si="584"/>
        <v>23259</v>
      </c>
      <c r="BA218" s="266">
        <f t="shared" si="584"/>
        <v>23259</v>
      </c>
      <c r="BB218" s="48">
        <f t="shared" si="584"/>
        <v>23647</v>
      </c>
      <c r="BC218" s="48">
        <f t="shared" si="584"/>
        <v>24055</v>
      </c>
      <c r="BD218" s="48">
        <f t="shared" si="584"/>
        <v>22552</v>
      </c>
      <c r="BE218" s="48">
        <f t="shared" si="584"/>
        <v>22536</v>
      </c>
      <c r="BF218" s="266">
        <f t="shared" si="584"/>
        <v>22536</v>
      </c>
      <c r="BG218" s="48">
        <f t="shared" si="584"/>
        <v>22483</v>
      </c>
      <c r="BH218" s="48">
        <f t="shared" si="584"/>
        <v>22677</v>
      </c>
      <c r="BI218" s="48">
        <f t="shared" si="584"/>
        <v>22921</v>
      </c>
      <c r="BJ218" s="48">
        <f t="shared" si="584"/>
        <v>23717</v>
      </c>
      <c r="BK218" s="266">
        <f t="shared" si="584"/>
        <v>23717</v>
      </c>
      <c r="BL218" s="48">
        <f t="shared" si="584"/>
        <v>26249</v>
      </c>
      <c r="BM218" s="48">
        <f t="shared" si="584"/>
        <v>26602</v>
      </c>
      <c r="BN218" s="48">
        <f t="shared" si="584"/>
        <v>26220</v>
      </c>
      <c r="BO218" s="48">
        <f t="shared" ref="BO218:CT218" si="585">SUM(BO211:BO216)</f>
        <v>31342</v>
      </c>
      <c r="BP218" s="266">
        <f t="shared" si="585"/>
        <v>31342</v>
      </c>
      <c r="BQ218" s="48">
        <f t="shared" si="585"/>
        <v>33258</v>
      </c>
      <c r="BR218" s="48">
        <f t="shared" si="585"/>
        <v>34836</v>
      </c>
      <c r="BS218" s="48">
        <f t="shared" si="585"/>
        <v>36185</v>
      </c>
      <c r="BT218" s="48">
        <f t="shared" si="585"/>
        <v>37740</v>
      </c>
      <c r="BU218" s="266">
        <f t="shared" si="585"/>
        <v>37740</v>
      </c>
      <c r="BV218" s="48">
        <f t="shared" si="585"/>
        <v>37917</v>
      </c>
      <c r="BW218" s="48">
        <f t="shared" si="585"/>
        <v>38917</v>
      </c>
      <c r="BX218" s="48">
        <f t="shared" si="585"/>
        <v>38577</v>
      </c>
      <c r="BY218" s="48">
        <f t="shared" si="585"/>
        <v>40321</v>
      </c>
      <c r="BZ218" s="266">
        <f t="shared" si="585"/>
        <v>40321</v>
      </c>
      <c r="CA218" s="48">
        <f t="shared" si="585"/>
        <v>41088</v>
      </c>
      <c r="CB218" s="48">
        <f t="shared" si="585"/>
        <v>39647</v>
      </c>
      <c r="CC218" s="48">
        <f t="shared" si="585"/>
        <v>38294</v>
      </c>
      <c r="CD218" s="48">
        <f t="shared" si="585"/>
        <v>37531</v>
      </c>
      <c r="CE218" s="266">
        <f t="shared" si="585"/>
        <v>37531</v>
      </c>
      <c r="CF218" s="48">
        <f t="shared" si="585"/>
        <v>36786</v>
      </c>
      <c r="CG218" s="48">
        <f t="shared" si="585"/>
        <v>37203</v>
      </c>
      <c r="CH218" s="48">
        <f t="shared" si="585"/>
        <v>37356</v>
      </c>
      <c r="CI218" s="48">
        <f t="shared" si="585"/>
        <v>38110</v>
      </c>
      <c r="CJ218" s="266">
        <f t="shared" si="585"/>
        <v>38110</v>
      </c>
      <c r="CK218" s="48">
        <f t="shared" si="585"/>
        <v>37867</v>
      </c>
      <c r="CL218" s="48">
        <f t="shared" si="585"/>
        <v>37959</v>
      </c>
      <c r="CM218" s="48">
        <f t="shared" si="585"/>
        <v>37793</v>
      </c>
      <c r="CN218" s="48">
        <f t="shared" si="585"/>
        <v>36579</v>
      </c>
      <c r="CO218" s="266">
        <f t="shared" si="585"/>
        <v>36579</v>
      </c>
      <c r="CP218" s="48">
        <f t="shared" si="585"/>
        <v>37334</v>
      </c>
      <c r="CQ218" s="48">
        <f t="shared" si="585"/>
        <v>37787</v>
      </c>
      <c r="CR218" s="48">
        <f t="shared" si="585"/>
        <v>37064</v>
      </c>
      <c r="CS218" s="48">
        <f t="shared" si="585"/>
        <v>38410</v>
      </c>
      <c r="CT218" s="266">
        <f t="shared" si="585"/>
        <v>38410</v>
      </c>
      <c r="CU218" s="48">
        <f t="shared" ref="CU218:DD218" si="586">SUM(CU211:CU216)</f>
        <v>37794</v>
      </c>
      <c r="CV218" s="48">
        <f t="shared" si="586"/>
        <v>37871.200947774487</v>
      </c>
      <c r="CW218" s="48">
        <f t="shared" si="586"/>
        <v>36983.161517267843</v>
      </c>
      <c r="CX218" s="48">
        <f t="shared" si="586"/>
        <v>37527.035267336702</v>
      </c>
      <c r="CY218" s="266">
        <f t="shared" si="586"/>
        <v>37527.035267336702</v>
      </c>
      <c r="CZ218" s="48">
        <f t="shared" si="586"/>
        <v>37579.021002348374</v>
      </c>
      <c r="DA218" s="48">
        <f t="shared" si="586"/>
        <v>37665.024224022171</v>
      </c>
      <c r="DB218" s="48">
        <f t="shared" si="586"/>
        <v>36824.398931847652</v>
      </c>
      <c r="DC218" s="48">
        <f t="shared" si="586"/>
        <v>37264.844280882797</v>
      </c>
      <c r="DD218" s="266">
        <f t="shared" si="586"/>
        <v>37264.844280882797</v>
      </c>
      <c r="DE218" s="48">
        <f t="shared" ref="DE218:DI218" si="587">SUM(DE211:DE216)</f>
        <v>37131.940639540968</v>
      </c>
      <c r="DF218" s="48">
        <f t="shared" si="587"/>
        <v>37002.398714018629</v>
      </c>
      <c r="DG218" s="48">
        <f t="shared" si="587"/>
        <v>35946.448595035414</v>
      </c>
      <c r="DH218" s="48">
        <f t="shared" si="587"/>
        <v>36153.3825200141</v>
      </c>
      <c r="DI218" s="266">
        <f t="shared" si="587"/>
        <v>36153.3825200141</v>
      </c>
    </row>
    <row r="219" spans="1:113" s="4" customFormat="1" ht="12" customHeight="1">
      <c r="A219" s="219"/>
      <c r="B219" s="452" t="s">
        <v>119</v>
      </c>
      <c r="C219" s="453">
        <f t="shared" ref="C219:AH219" si="588">C203-C218</f>
        <v>0</v>
      </c>
      <c r="D219" s="454">
        <f t="shared" si="588"/>
        <v>0</v>
      </c>
      <c r="E219" s="453">
        <f t="shared" si="588"/>
        <v>0</v>
      </c>
      <c r="F219" s="454">
        <f t="shared" si="588"/>
        <v>0</v>
      </c>
      <c r="G219" s="453">
        <f t="shared" si="588"/>
        <v>0</v>
      </c>
      <c r="H219" s="454">
        <f t="shared" si="588"/>
        <v>0</v>
      </c>
      <c r="I219" s="453">
        <f t="shared" si="588"/>
        <v>0</v>
      </c>
      <c r="J219" s="454">
        <f t="shared" si="588"/>
        <v>0</v>
      </c>
      <c r="K219" s="453">
        <f t="shared" si="588"/>
        <v>0</v>
      </c>
      <c r="L219" s="454">
        <f t="shared" si="588"/>
        <v>0</v>
      </c>
      <c r="M219" s="453">
        <f t="shared" si="588"/>
        <v>0</v>
      </c>
      <c r="N219" s="454">
        <f t="shared" si="588"/>
        <v>0</v>
      </c>
      <c r="O219" s="454">
        <f t="shared" si="588"/>
        <v>0</v>
      </c>
      <c r="P219" s="453">
        <f t="shared" si="588"/>
        <v>0</v>
      </c>
      <c r="Q219" s="454">
        <f t="shared" si="588"/>
        <v>0</v>
      </c>
      <c r="R219" s="455">
        <f t="shared" si="588"/>
        <v>0</v>
      </c>
      <c r="S219" s="455">
        <f t="shared" si="588"/>
        <v>0</v>
      </c>
      <c r="T219" s="455">
        <f t="shared" si="588"/>
        <v>0</v>
      </c>
      <c r="U219" s="455">
        <f t="shared" si="588"/>
        <v>0</v>
      </c>
      <c r="V219" s="454">
        <f t="shared" si="588"/>
        <v>0</v>
      </c>
      <c r="W219" s="455">
        <f t="shared" si="588"/>
        <v>0</v>
      </c>
      <c r="X219" s="455">
        <f t="shared" si="588"/>
        <v>0</v>
      </c>
      <c r="Y219" s="455">
        <f t="shared" si="588"/>
        <v>0</v>
      </c>
      <c r="Z219" s="455">
        <f t="shared" si="588"/>
        <v>0</v>
      </c>
      <c r="AA219" s="456">
        <f t="shared" si="588"/>
        <v>0</v>
      </c>
      <c r="AB219" s="456">
        <f t="shared" si="588"/>
        <v>0</v>
      </c>
      <c r="AC219" s="455">
        <f t="shared" si="588"/>
        <v>0</v>
      </c>
      <c r="AD219" s="455">
        <f t="shared" si="588"/>
        <v>0</v>
      </c>
      <c r="AE219" s="455">
        <f t="shared" si="588"/>
        <v>0</v>
      </c>
      <c r="AF219" s="455">
        <f t="shared" si="588"/>
        <v>0</v>
      </c>
      <c r="AG219" s="456">
        <f t="shared" si="588"/>
        <v>0</v>
      </c>
      <c r="AH219" s="455">
        <f t="shared" si="588"/>
        <v>0</v>
      </c>
      <c r="AI219" s="455">
        <f t="shared" ref="AI219:BN219" si="589">AI203-AI218</f>
        <v>0</v>
      </c>
      <c r="AJ219" s="455">
        <f t="shared" si="589"/>
        <v>0</v>
      </c>
      <c r="AK219" s="455">
        <f t="shared" si="589"/>
        <v>0</v>
      </c>
      <c r="AL219" s="456">
        <f t="shared" si="589"/>
        <v>0</v>
      </c>
      <c r="AM219" s="455">
        <f t="shared" si="589"/>
        <v>0</v>
      </c>
      <c r="AN219" s="455">
        <f t="shared" si="589"/>
        <v>0</v>
      </c>
      <c r="AO219" s="455">
        <f t="shared" si="589"/>
        <v>0</v>
      </c>
      <c r="AP219" s="455">
        <f t="shared" si="589"/>
        <v>0</v>
      </c>
      <c r="AQ219" s="456">
        <f t="shared" si="589"/>
        <v>0</v>
      </c>
      <c r="AR219" s="455">
        <f t="shared" si="589"/>
        <v>0</v>
      </c>
      <c r="AS219" s="455">
        <f t="shared" si="589"/>
        <v>0</v>
      </c>
      <c r="AT219" s="455">
        <f t="shared" si="589"/>
        <v>0</v>
      </c>
      <c r="AU219" s="455">
        <f t="shared" si="589"/>
        <v>0</v>
      </c>
      <c r="AV219" s="456">
        <f t="shared" si="589"/>
        <v>0</v>
      </c>
      <c r="AW219" s="455">
        <f t="shared" si="589"/>
        <v>0</v>
      </c>
      <c r="AX219" s="455">
        <f t="shared" si="589"/>
        <v>0</v>
      </c>
      <c r="AY219" s="455">
        <f t="shared" si="589"/>
        <v>0</v>
      </c>
      <c r="AZ219" s="455">
        <f t="shared" si="589"/>
        <v>0</v>
      </c>
      <c r="BA219" s="456">
        <f t="shared" si="589"/>
        <v>0</v>
      </c>
      <c r="BB219" s="455">
        <f t="shared" si="589"/>
        <v>0</v>
      </c>
      <c r="BC219" s="455">
        <f t="shared" si="589"/>
        <v>0</v>
      </c>
      <c r="BD219" s="455">
        <f t="shared" si="589"/>
        <v>0</v>
      </c>
      <c r="BE219" s="455">
        <f t="shared" si="589"/>
        <v>0</v>
      </c>
      <c r="BF219" s="456">
        <f t="shared" si="589"/>
        <v>0</v>
      </c>
      <c r="BG219" s="455">
        <f t="shared" si="589"/>
        <v>0</v>
      </c>
      <c r="BH219" s="455">
        <f t="shared" si="589"/>
        <v>0</v>
      </c>
      <c r="BI219" s="455">
        <f t="shared" si="589"/>
        <v>0</v>
      </c>
      <c r="BJ219" s="455">
        <f t="shared" si="589"/>
        <v>0</v>
      </c>
      <c r="BK219" s="456">
        <f t="shared" si="589"/>
        <v>0</v>
      </c>
      <c r="BL219" s="455">
        <f t="shared" si="589"/>
        <v>0</v>
      </c>
      <c r="BM219" s="455">
        <f t="shared" si="589"/>
        <v>0</v>
      </c>
      <c r="BN219" s="455">
        <f t="shared" si="589"/>
        <v>0</v>
      </c>
      <c r="BO219" s="455">
        <f t="shared" ref="BO219:CT219" si="590">BO203-BO218</f>
        <v>0</v>
      </c>
      <c r="BP219" s="456">
        <f t="shared" si="590"/>
        <v>0</v>
      </c>
      <c r="BQ219" s="455">
        <f t="shared" si="590"/>
        <v>0</v>
      </c>
      <c r="BR219" s="455">
        <f t="shared" si="590"/>
        <v>0</v>
      </c>
      <c r="BS219" s="455">
        <f t="shared" si="590"/>
        <v>0</v>
      </c>
      <c r="BT219" s="455">
        <f t="shared" si="590"/>
        <v>0</v>
      </c>
      <c r="BU219" s="456">
        <f t="shared" si="590"/>
        <v>0</v>
      </c>
      <c r="BV219" s="455">
        <f t="shared" si="590"/>
        <v>0</v>
      </c>
      <c r="BW219" s="455">
        <f t="shared" si="590"/>
        <v>0</v>
      </c>
      <c r="BX219" s="455">
        <f t="shared" si="590"/>
        <v>0</v>
      </c>
      <c r="BY219" s="457">
        <f t="shared" si="590"/>
        <v>0</v>
      </c>
      <c r="BZ219" s="456">
        <f t="shared" si="590"/>
        <v>0</v>
      </c>
      <c r="CA219" s="455">
        <f t="shared" si="590"/>
        <v>0</v>
      </c>
      <c r="CB219" s="458">
        <f t="shared" si="590"/>
        <v>0</v>
      </c>
      <c r="CC219" s="455">
        <f t="shared" si="590"/>
        <v>0</v>
      </c>
      <c r="CD219" s="455">
        <f t="shared" si="590"/>
        <v>0</v>
      </c>
      <c r="CE219" s="456">
        <f t="shared" si="590"/>
        <v>0</v>
      </c>
      <c r="CF219" s="455">
        <f t="shared" si="590"/>
        <v>0</v>
      </c>
      <c r="CG219" s="455">
        <f t="shared" si="590"/>
        <v>0</v>
      </c>
      <c r="CH219" s="455">
        <f t="shared" si="590"/>
        <v>0</v>
      </c>
      <c r="CI219" s="455">
        <f t="shared" si="590"/>
        <v>0</v>
      </c>
      <c r="CJ219" s="456">
        <f t="shared" si="590"/>
        <v>0</v>
      </c>
      <c r="CK219" s="455">
        <f t="shared" si="590"/>
        <v>0</v>
      </c>
      <c r="CL219" s="455">
        <f t="shared" si="590"/>
        <v>0</v>
      </c>
      <c r="CM219" s="455">
        <f t="shared" si="590"/>
        <v>0</v>
      </c>
      <c r="CN219" s="455">
        <f t="shared" si="590"/>
        <v>0</v>
      </c>
      <c r="CO219" s="456">
        <f t="shared" si="590"/>
        <v>0</v>
      </c>
      <c r="CP219" s="455">
        <f t="shared" si="590"/>
        <v>0</v>
      </c>
      <c r="CQ219" s="455">
        <f t="shared" si="590"/>
        <v>0</v>
      </c>
      <c r="CR219" s="455">
        <f t="shared" si="590"/>
        <v>0</v>
      </c>
      <c r="CS219" s="455">
        <f t="shared" si="590"/>
        <v>0</v>
      </c>
      <c r="CT219" s="456">
        <f t="shared" si="590"/>
        <v>0</v>
      </c>
      <c r="CU219" s="455">
        <f t="shared" ref="CU219:DD219" si="591">CU203-CU218</f>
        <v>0</v>
      </c>
      <c r="CV219" s="455">
        <f t="shared" si="591"/>
        <v>0</v>
      </c>
      <c r="CW219" s="455">
        <f t="shared" si="591"/>
        <v>0</v>
      </c>
      <c r="CX219" s="455">
        <f t="shared" si="591"/>
        <v>0</v>
      </c>
      <c r="CY219" s="456">
        <f t="shared" si="591"/>
        <v>0</v>
      </c>
      <c r="CZ219" s="455">
        <f t="shared" si="591"/>
        <v>0</v>
      </c>
      <c r="DA219" s="455">
        <f t="shared" si="591"/>
        <v>0</v>
      </c>
      <c r="DB219" s="455">
        <f t="shared" si="591"/>
        <v>0</v>
      </c>
      <c r="DC219" s="455">
        <f t="shared" si="591"/>
        <v>0</v>
      </c>
      <c r="DD219" s="456">
        <f t="shared" si="591"/>
        <v>0</v>
      </c>
      <c r="DE219" s="455">
        <f t="shared" ref="DE219:DI219" si="592">DE203-DE218</f>
        <v>0</v>
      </c>
      <c r="DF219" s="455">
        <f t="shared" si="592"/>
        <v>0</v>
      </c>
      <c r="DG219" s="455">
        <f t="shared" si="592"/>
        <v>0</v>
      </c>
      <c r="DH219" s="455">
        <f t="shared" si="592"/>
        <v>0</v>
      </c>
      <c r="DI219" s="456">
        <f t="shared" si="592"/>
        <v>0</v>
      </c>
    </row>
    <row r="220" spans="1:113" s="4" customFormat="1" ht="12" customHeight="1">
      <c r="A220" s="219"/>
      <c r="B220" s="459"/>
      <c r="C220" s="363"/>
      <c r="D220" s="364"/>
      <c r="E220" s="363"/>
      <c r="F220" s="364"/>
      <c r="G220" s="363"/>
      <c r="H220" s="364"/>
      <c r="I220" s="363"/>
      <c r="J220" s="364"/>
      <c r="K220" s="363"/>
      <c r="L220" s="364"/>
      <c r="M220" s="363"/>
      <c r="N220" s="364"/>
      <c r="O220" s="364"/>
      <c r="P220" s="363"/>
      <c r="Q220" s="364"/>
      <c r="R220" s="460"/>
      <c r="S220" s="460"/>
      <c r="T220" s="460"/>
      <c r="U220" s="460"/>
      <c r="V220" s="364"/>
      <c r="W220" s="460"/>
      <c r="X220" s="460"/>
      <c r="Y220" s="460"/>
      <c r="Z220" s="460"/>
      <c r="AA220" s="16"/>
      <c r="AB220" s="16"/>
      <c r="AC220" s="460"/>
      <c r="AD220" s="460"/>
      <c r="AE220" s="460"/>
      <c r="AF220" s="460"/>
      <c r="AG220" s="16"/>
      <c r="AH220" s="460"/>
      <c r="AI220" s="460"/>
      <c r="AJ220" s="460"/>
      <c r="AK220" s="460"/>
      <c r="AL220" s="16"/>
      <c r="AM220" s="460"/>
      <c r="AN220" s="460"/>
      <c r="AO220" s="460"/>
      <c r="AP220" s="460"/>
      <c r="AQ220" s="16"/>
      <c r="AR220" s="460"/>
      <c r="AS220" s="460"/>
      <c r="AT220" s="460"/>
      <c r="AU220" s="460"/>
      <c r="AV220" s="16"/>
      <c r="AW220" s="460"/>
      <c r="AX220" s="460"/>
      <c r="AY220" s="460"/>
      <c r="AZ220" s="460"/>
      <c r="BA220" s="16"/>
      <c r="BB220" s="460"/>
      <c r="BC220" s="460"/>
      <c r="BD220" s="460"/>
      <c r="BE220" s="460"/>
      <c r="BF220" s="16"/>
      <c r="BG220" s="460"/>
      <c r="BH220" s="460"/>
      <c r="BI220" s="460"/>
      <c r="BJ220" s="460"/>
      <c r="BK220" s="16"/>
      <c r="BL220" s="460"/>
      <c r="BM220" s="460"/>
      <c r="BN220" s="460"/>
      <c r="BO220" s="460"/>
      <c r="BP220" s="16"/>
      <c r="BQ220" s="460"/>
      <c r="BR220" s="460"/>
      <c r="BS220" s="460"/>
      <c r="BT220" s="460"/>
      <c r="BU220" s="16"/>
      <c r="BV220" s="460"/>
      <c r="BW220" s="460"/>
      <c r="BX220" s="460"/>
      <c r="BY220" s="460"/>
      <c r="BZ220" s="16"/>
      <c r="CA220" s="460"/>
      <c r="CB220" s="460"/>
      <c r="CC220" s="460"/>
      <c r="CD220" s="460"/>
      <c r="CE220" s="16"/>
      <c r="CF220" s="460"/>
      <c r="CG220" s="460"/>
      <c r="CH220" s="460"/>
      <c r="CI220" s="460"/>
      <c r="CJ220" s="16"/>
      <c r="CK220" s="460"/>
      <c r="CL220" s="460"/>
      <c r="CM220" s="460"/>
      <c r="CN220" s="460"/>
      <c r="CO220" s="16"/>
      <c r="CP220" s="460"/>
      <c r="CQ220" s="460"/>
      <c r="CR220" s="460"/>
      <c r="CS220" s="460"/>
      <c r="CT220" s="16"/>
      <c r="CU220" s="460"/>
      <c r="CV220" s="460"/>
      <c r="CW220" s="460"/>
      <c r="CX220" s="460"/>
      <c r="CY220" s="16"/>
      <c r="CZ220" s="460"/>
      <c r="DA220" s="460"/>
      <c r="DB220" s="460"/>
      <c r="DC220" s="460"/>
      <c r="DD220" s="16"/>
      <c r="DE220" s="460"/>
      <c r="DF220" s="460"/>
      <c r="DG220" s="460"/>
      <c r="DH220" s="460"/>
      <c r="DI220" s="16"/>
    </row>
    <row r="221" spans="1:113" s="4" customFormat="1" ht="12" customHeight="1">
      <c r="A221" s="5"/>
      <c r="B221" s="78" t="s">
        <v>240</v>
      </c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215"/>
      <c r="CZ221" s="80"/>
      <c r="DA221" s="80"/>
      <c r="DB221" s="80"/>
      <c r="DC221" s="80"/>
      <c r="DD221" s="215"/>
      <c r="DE221" s="80"/>
      <c r="DF221" s="80"/>
      <c r="DG221" s="80"/>
      <c r="DH221" s="80"/>
      <c r="DI221" s="215"/>
    </row>
    <row r="222" spans="1:113" s="396" customFormat="1" ht="12" customHeight="1">
      <c r="A222" s="239"/>
      <c r="B222" s="461" t="s">
        <v>132</v>
      </c>
      <c r="C222" s="369">
        <f>+'2. Consolidated'!C57</f>
        <v>6470.625</v>
      </c>
      <c r="D222" s="15">
        <f>+'2. Consolidated'!D57</f>
        <v>9186.5390000000007</v>
      </c>
      <c r="E222" s="369">
        <f>+'2. Consolidated'!E57</f>
        <v>9553.0999999999985</v>
      </c>
      <c r="F222" s="15">
        <f>+'2. Consolidated'!F57</f>
        <v>8776.9000000000015</v>
      </c>
      <c r="G222" s="369">
        <f>+'2. Consolidated'!G57</f>
        <v>8995.1</v>
      </c>
      <c r="H222" s="15">
        <f>+'2. Consolidated'!H57</f>
        <v>9488.7999999999993</v>
      </c>
      <c r="I222" s="369">
        <f>+'2. Consolidated'!I57</f>
        <v>9893</v>
      </c>
      <c r="J222" s="15">
        <f>+'2. Consolidated'!J57</f>
        <v>10697</v>
      </c>
      <c r="K222" s="369">
        <f>+'2. Consolidated'!K57</f>
        <v>12253.1</v>
      </c>
      <c r="L222" s="15">
        <f>+'2. Consolidated'!L57</f>
        <v>13739.699999999999</v>
      </c>
      <c r="M222" s="369">
        <f>+'2. Consolidated'!M57</f>
        <v>14954.9</v>
      </c>
      <c r="N222" s="15">
        <f>+'2. Consolidated'!N57</f>
        <v>16325.900000000001</v>
      </c>
      <c r="O222" s="15">
        <f>+'2. Consolidated'!O57</f>
        <v>18627</v>
      </c>
      <c r="P222" s="369">
        <f>+'2. Consolidated'!P57</f>
        <v>19176.099999999999</v>
      </c>
      <c r="Q222" s="15">
        <f>+'2. Consolidated'!Q57</f>
        <v>19014</v>
      </c>
      <c r="R222" s="443" t="s">
        <v>126</v>
      </c>
      <c r="S222" s="443" t="s">
        <v>126</v>
      </c>
      <c r="T222" s="443" t="s">
        <v>126</v>
      </c>
      <c r="U222" s="369">
        <f>+'2. Consolidated'!U57+'2. Consolidated'!T57+'2. Consolidated'!S57+'2. Consolidated'!R57</f>
        <v>20862</v>
      </c>
      <c r="V222" s="15">
        <f>+'2. Consolidated'!U57+'2. Consolidated'!T57+'2. Consolidated'!S57+'2. Consolidated'!R57</f>
        <v>20862</v>
      </c>
      <c r="W222" s="369">
        <f>+'2. Consolidated'!W57+'2. Consolidated'!U57+'2. Consolidated'!T57+'2. Consolidated'!S57</f>
        <v>21768</v>
      </c>
      <c r="X222" s="369">
        <f>+'2. Consolidated'!X57+'2. Consolidated'!W57+'2. Consolidated'!U57+'2. Consolidated'!T57</f>
        <v>22657</v>
      </c>
      <c r="Y222" s="369">
        <f>+'2. Consolidated'!Y57+'2. Consolidated'!X57+'2. Consolidated'!W57+'2. Consolidated'!U57</f>
        <v>23424</v>
      </c>
      <c r="Z222" s="369">
        <f>+'2. Consolidated'!Z57+'2. Consolidated'!Y57+'2. Consolidated'!X57+'2. Consolidated'!W57</f>
        <v>24128</v>
      </c>
      <c r="AA222" s="15">
        <f>+'2. Consolidated'!Z57+'2. Consolidated'!Y57+'2. Consolidated'!X57+'2. Consolidated'!W57</f>
        <v>24128</v>
      </c>
      <c r="AB222" s="15"/>
      <c r="AC222" s="369">
        <f>+'2. Consolidated'!AC57+'2. Consolidated'!Z57+'2. Consolidated'!Y57+'2. Consolidated'!X57</f>
        <v>24521</v>
      </c>
      <c r="AD222" s="369">
        <f>+'2. Consolidated'!AD57+'2. Consolidated'!AC57+'2. Consolidated'!Z57+'2. Consolidated'!Y57</f>
        <v>24745</v>
      </c>
      <c r="AE222" s="369">
        <f>+'2. Consolidated'!AE57+'2. Consolidated'!AD57+'2. Consolidated'!AC57+'2. Consolidated'!Z57</f>
        <v>25086</v>
      </c>
      <c r="AF222" s="369">
        <f>+'2. Consolidated'!AF57+'2. Consolidated'!AE57+'2. Consolidated'!AD57+'2. Consolidated'!AC57</f>
        <v>25313</v>
      </c>
      <c r="AG222" s="15">
        <f>+'2. Consolidated'!AF57+'2. Consolidated'!AE57+'2. Consolidated'!AD57+'2. Consolidated'!AC57</f>
        <v>25313</v>
      </c>
      <c r="AH222" s="369">
        <f>+'2. Consolidated'!AH57+'2. Consolidated'!AF57+'2. Consolidated'!AE57+'2. Consolidated'!AD57</f>
        <v>25810</v>
      </c>
      <c r="AI222" s="369">
        <f>+'2. Consolidated'!AI57+'2. Consolidated'!AH57+'2. Consolidated'!AF57+'2. Consolidated'!AE57</f>
        <v>26286</v>
      </c>
      <c r="AJ222" s="369">
        <f>+'2. Consolidated'!AJ57+'2. Consolidated'!AI57+'2. Consolidated'!AH57+'2. Consolidated'!AF57</f>
        <v>27071</v>
      </c>
      <c r="AK222" s="369">
        <f>+'2. Consolidated'!AK57+'2. Consolidated'!AJ57+'2. Consolidated'!AI57+'2. Consolidated'!AH57</f>
        <v>27799</v>
      </c>
      <c r="AL222" s="15">
        <f>+'2. Consolidated'!AK57+'2. Consolidated'!AJ57+'2. Consolidated'!AI57+'2. Consolidated'!AH57</f>
        <v>27799</v>
      </c>
      <c r="AM222" s="369">
        <f>+'2. Consolidated'!AM57+'2. Consolidated'!AK57+'2. Consolidated'!AJ57+'2. Consolidated'!AI57</f>
        <v>28810</v>
      </c>
      <c r="AN222" s="369">
        <f>+'2. Consolidated'!AN57+'2. Consolidated'!AM57+'2. Consolidated'!AK57+'2. Consolidated'!AJ57</f>
        <v>29759</v>
      </c>
      <c r="AO222" s="369">
        <f>+'2. Consolidated'!AO57+'2. Consolidated'!AN57+'2. Consolidated'!AM57+'2. Consolidated'!AK57</f>
        <v>30247</v>
      </c>
      <c r="AP222" s="369">
        <f>+'2. Consolidated'!AP57+'2. Consolidated'!AO57+'2. Consolidated'!AN57+'2. Consolidated'!AM57</f>
        <v>30601</v>
      </c>
      <c r="AQ222" s="15">
        <f>+'2. Consolidated'!AP57+'2. Consolidated'!AO57+'2. Consolidated'!AN57+'2. Consolidated'!AM57</f>
        <v>30601</v>
      </c>
      <c r="AR222" s="369">
        <f>+'2. Consolidated'!AR57+'2. Consolidated'!AP57+'2. Consolidated'!AO57+'2. Consolidated'!AN57</f>
        <v>31033</v>
      </c>
      <c r="AS222" s="369">
        <f>+'2. Consolidated'!AS57+'2. Consolidated'!AR57+'2. Consolidated'!AP57+'2. Consolidated'!AO57</f>
        <v>31339</v>
      </c>
      <c r="AT222" s="369">
        <f>+'2. Consolidated'!AT57+'2. Consolidated'!AS57+'2. Consolidated'!AR57+'2. Consolidated'!AP57</f>
        <v>31911</v>
      </c>
      <c r="AU222" s="369">
        <f>+'2. Consolidated'!AU57+'2. Consolidated'!AT57+'2. Consolidated'!AS57+'2. Consolidated'!AR57</f>
        <v>32376</v>
      </c>
      <c r="AV222" s="15">
        <f>+'2. Consolidated'!AU57+'2. Consolidated'!AT57+'2. Consolidated'!AS57+'2. Consolidated'!AR57</f>
        <v>32376</v>
      </c>
      <c r="AW222" s="369">
        <f>+'2. Consolidated'!AW57+'2. Consolidated'!AU57+'2. Consolidated'!AT57+'2. Consolidated'!AS57</f>
        <v>33023</v>
      </c>
      <c r="AX222" s="369">
        <f>+'2. Consolidated'!AX57+'2. Consolidated'!AW57+'2. Consolidated'!AU57+'2. Consolidated'!AT57</f>
        <v>33517</v>
      </c>
      <c r="AY222" s="369">
        <f>+'2. Consolidated'!AY57+'2. Consolidated'!AX57+'2. Consolidated'!AW57+'2. Consolidated'!AU57</f>
        <v>33917</v>
      </c>
      <c r="AZ222" s="369">
        <f>+'2. Consolidated'!AZ57+'2. Consolidated'!AY57+'2. Consolidated'!AX57+'2. Consolidated'!AW57</f>
        <v>34350</v>
      </c>
      <c r="BA222" s="15">
        <f>+'2. Consolidated'!AZ57+'2. Consolidated'!AY57+'2. Consolidated'!AX57+'2. Consolidated'!AW57</f>
        <v>34350</v>
      </c>
      <c r="BB222" s="369">
        <f>+'2. Consolidated'!BB57+'2. Consolidated'!AZ57+'2. Consolidated'!AY57+'2. Consolidated'!AX57</f>
        <v>34359</v>
      </c>
      <c r="BC222" s="369">
        <f>+'2. Consolidated'!BC57+'2. Consolidated'!BB57+'2. Consolidated'!AZ57+'2. Consolidated'!AY57</f>
        <v>34733</v>
      </c>
      <c r="BD222" s="369">
        <f>+'2. Consolidated'!BD57+'2. Consolidated'!BC57+'2. Consolidated'!BB57+'2. Consolidated'!AZ57</f>
        <v>35285</v>
      </c>
      <c r="BE222" s="369">
        <f>+'2. Consolidated'!BE57+'2. Consolidated'!BD57+'2. Consolidated'!BC57+'2. Consolidated'!BB57</f>
        <v>36397</v>
      </c>
      <c r="BF222" s="15">
        <f>+'2. Consolidated'!BE57+'2. Consolidated'!BD57+'2. Consolidated'!BC57+'2. Consolidated'!BB57</f>
        <v>36397</v>
      </c>
      <c r="BG222" s="369">
        <f>+'2. Consolidated'!BG57+'2. Consolidated'!BE57+'2. Consolidated'!BD57+'2. Consolidated'!BC57</f>
        <v>37275</v>
      </c>
      <c r="BH222" s="369">
        <f>+'2. Consolidated'!BH57+'2. Consolidated'!BG57+'2. Consolidated'!BE57+'2. Consolidated'!BD57</f>
        <v>38095</v>
      </c>
      <c r="BI222" s="369">
        <f>+'2. Consolidated'!BI57+'2. Consolidated'!BH57+'2. Consolidated'!BG57+'2. Consolidated'!BE57</f>
        <v>38722</v>
      </c>
      <c r="BJ222" s="369">
        <f>+'2. Consolidated'!BJ57+'2. Consolidated'!BI57+'2. Consolidated'!BH57+'2. Consolidated'!BG57</f>
        <v>39117</v>
      </c>
      <c r="BK222" s="15">
        <f>+'2. Consolidated'!BJ57+'2. Consolidated'!BI57+'2. Consolidated'!BH57+'2. Consolidated'!BG57</f>
        <v>39117</v>
      </c>
      <c r="BL222" s="369">
        <f>+'2. Consolidated'!BL57+'2. Consolidated'!BJ57+'2. Consolidated'!BI57+'2. Consolidated'!BH57</f>
        <v>39829</v>
      </c>
      <c r="BM222" s="369">
        <f>+'2. Consolidated'!BM57+'2. Consolidated'!BL57+'2. Consolidated'!BJ57+'2. Consolidated'!BI57</f>
        <v>40781</v>
      </c>
      <c r="BN222" s="369">
        <f>+'2. Consolidated'!BN57+'2. Consolidated'!BM57+'2. Consolidated'!BL57+'2. Consolidated'!BJ57</f>
        <v>41274</v>
      </c>
      <c r="BO222" s="369">
        <f>+'2. Consolidated'!BO57+'2. Consolidated'!BN57+'2. Consolidated'!BM57+'2. Consolidated'!BL57</f>
        <v>37403</v>
      </c>
      <c r="BP222" s="15">
        <f>+'2. Consolidated'!BO57+'2. Consolidated'!BN57+'2. Consolidated'!BM57+'2. Consolidated'!BL57</f>
        <v>37403</v>
      </c>
      <c r="BQ222" s="369">
        <f>+'2. Consolidated'!BQ57+'2. Consolidated'!BO57+'2. Consolidated'!BN57+'2. Consolidated'!BM57</f>
        <v>37337</v>
      </c>
      <c r="BR222" s="369">
        <f>+'2. Consolidated'!BR57+'2. Consolidated'!BQ57+'2. Consolidated'!BO57+'2. Consolidated'!BN57</f>
        <v>38254</v>
      </c>
      <c r="BS222" s="369">
        <f>+'2. Consolidated'!BS57+'2. Consolidated'!BR57+'2. Consolidated'!BQ57+'2. Consolidated'!BO57</f>
        <v>38507</v>
      </c>
      <c r="BT222" s="369">
        <f>+'2. Consolidated'!BT57+'2. Consolidated'!BS57+'2. Consolidated'!BR57+'2. Consolidated'!BQ57</f>
        <v>44538</v>
      </c>
      <c r="BU222" s="15">
        <f>+'2. Consolidated'!BT57+'2. Consolidated'!BS57+'2. Consolidated'!BR57+'2. Consolidated'!BQ57</f>
        <v>44538</v>
      </c>
      <c r="BV222" s="369">
        <f>+'2. Consolidated'!BV57+'2. Consolidated'!BT57+'2. Consolidated'!BS57+'2. Consolidated'!BR57</f>
        <v>46192</v>
      </c>
      <c r="BW222" s="369">
        <f>+'2. Consolidated'!BW57+'2. Consolidated'!BV57+'2. Consolidated'!BT57+'2. Consolidated'!BS57</f>
        <v>46306</v>
      </c>
      <c r="BX222" s="369">
        <f>+'2. Consolidated'!BX57+'2. Consolidated'!BW57+'2. Consolidated'!BV57+'2. Consolidated'!BT57</f>
        <v>46820</v>
      </c>
      <c r="BY222" s="369">
        <f>+'2. Consolidated'!BY57+'2. Consolidated'!BX57+'2. Consolidated'!BW57+'2. Consolidated'!BV57</f>
        <v>46710</v>
      </c>
      <c r="BZ222" s="15">
        <f>+'2. Consolidated'!BY57+'2. Consolidated'!BX57+'2. Consolidated'!BW57+'2. Consolidated'!BV57</f>
        <v>46710</v>
      </c>
      <c r="CA222" s="369">
        <f>+'2. Consolidated'!CA57+'2. Consolidated'!BY57+'2. Consolidated'!BX57+'2. Consolidated'!BW57</f>
        <v>47149</v>
      </c>
      <c r="CB222" s="369">
        <f>+'2. Consolidated'!CB57+'2. Consolidated'!CA57+'2. Consolidated'!BY57+'2. Consolidated'!BX57</f>
        <v>49107</v>
      </c>
      <c r="CC222" s="369">
        <f>+'2. Consolidated'!CC57+'2. Consolidated'!CB57+'2. Consolidated'!CA57+'2. Consolidated'!BY57</f>
        <v>50626</v>
      </c>
      <c r="CD222" s="369">
        <f>+'2. Consolidated'!CD57+'2. Consolidated'!CC57+'2. Consolidated'!CB57+'2. Consolidated'!CA57</f>
        <v>51217</v>
      </c>
      <c r="CE222" s="15">
        <f>+'2. Consolidated'!CD57+'2. Consolidated'!CC57+'2. Consolidated'!CB57+'2. Consolidated'!CA57</f>
        <v>51217</v>
      </c>
      <c r="CF222" s="369">
        <f>+'2. Consolidated'!CF57+'2. Consolidated'!CD57+'2. Consolidated'!CC57+'2. Consolidated'!CB57</f>
        <v>51469</v>
      </c>
      <c r="CG222" s="369">
        <f>+'2. Consolidated'!CG57+'2. Consolidated'!CF57+'2. Consolidated'!CD57+'2. Consolidated'!CC57</f>
        <v>51542</v>
      </c>
      <c r="CH222" s="369">
        <f>+'2. Consolidated'!CH57+'2. Consolidated'!CG57+'2. Consolidated'!CF57+'2. Consolidated'!CD57</f>
        <v>51581</v>
      </c>
      <c r="CI222" s="369">
        <f>+'2. Consolidated'!CI57+'2. Consolidated'!CH57+'2. Consolidated'!CG57+'2. Consolidated'!CF57</f>
        <v>51362</v>
      </c>
      <c r="CJ222" s="15">
        <f>+'2. Consolidated'!CI57+'2. Consolidated'!CH57+'2. Consolidated'!CG57+'2. Consolidated'!CF57</f>
        <v>51362</v>
      </c>
      <c r="CK222" s="369">
        <f>+'2. Consolidated'!CK57+'2. Consolidated'!CI57+'2. Consolidated'!CH57+'2. Consolidated'!CG57</f>
        <v>50012</v>
      </c>
      <c r="CL222" s="369">
        <f>+'2. Consolidated'!CL57+'2. Consolidated'!CK57+'2. Consolidated'!CI57+'2. Consolidated'!CH57</f>
        <v>48978</v>
      </c>
      <c r="CM222" s="369">
        <f>+'2. Consolidated'!CM57+'2. Consolidated'!CL57+'2. Consolidated'!CK57+'2. Consolidated'!CI57</f>
        <v>47818</v>
      </c>
      <c r="CN222" s="369">
        <f>+'2. Consolidated'!CN57+'2. Consolidated'!CM57+'2. Consolidated'!CL57+'2. Consolidated'!CK57</f>
        <v>46309</v>
      </c>
      <c r="CO222" s="15">
        <f>+'2. Consolidated'!CN57+'2. Consolidated'!CM57+'2. Consolidated'!CL57+'2. Consolidated'!CK57</f>
        <v>46309</v>
      </c>
      <c r="CP222" s="369">
        <f>+'2. Consolidated'!CP57+'2. Consolidated'!CN57+'2. Consolidated'!CM57+'2. Consolidated'!CL57</f>
        <v>46440</v>
      </c>
      <c r="CQ222" s="369">
        <f>+'2. Consolidated'!CQ57+'2. Consolidated'!CP57+'2. Consolidated'!CN57+'2. Consolidated'!CM57</f>
        <v>46513</v>
      </c>
      <c r="CR222" s="369">
        <f>+'2. Consolidated'!CR57+'2. Consolidated'!CQ57+'2. Consolidated'!CP57+'2. Consolidated'!CN57</f>
        <v>46523</v>
      </c>
      <c r="CS222" s="369">
        <f>+'2. Consolidated'!CS57+'2. Consolidated'!CR57+'2. Consolidated'!CQ57+'2. Consolidated'!CP57</f>
        <v>46398</v>
      </c>
      <c r="CT222" s="15">
        <f>+'2. Consolidated'!CS57+'2. Consolidated'!CR57+'2. Consolidated'!CQ57+'2. Consolidated'!CP57</f>
        <v>46398</v>
      </c>
      <c r="CU222" s="369">
        <f>+'2. Consolidated'!CU57+'2. Consolidated'!CS57+'2. Consolidated'!CR57+'2. Consolidated'!CQ57</f>
        <v>45891</v>
      </c>
      <c r="CV222" s="369">
        <f>+'2. Consolidated'!CV57+'2. Consolidated'!CU57+'2. Consolidated'!CS57+'2. Consolidated'!CR57</f>
        <v>44342.09794</v>
      </c>
      <c r="CW222" s="369">
        <f>+'2. Consolidated'!CW57+'2. Consolidated'!CV57+'2. Consolidated'!CU57+'2. Consolidated'!CS57</f>
        <v>43369.081149999998</v>
      </c>
      <c r="CX222" s="369">
        <f>+'2. Consolidated'!CX57+'2. Consolidated'!CW57+'2. Consolidated'!CV57+'2. Consolidated'!CU57</f>
        <v>42278.42452</v>
      </c>
      <c r="CY222" s="15">
        <f>+'2. Consolidated'!CX57+'2. Consolidated'!CW57+'2. Consolidated'!CV57+'2. Consolidated'!CU57</f>
        <v>42278.42452</v>
      </c>
      <c r="CZ222" s="369">
        <f>+'2. Consolidated'!CZ57+'2. Consolidated'!CX57+'2. Consolidated'!CW57+'2. Consolidated'!CV57</f>
        <v>41393.657329999995</v>
      </c>
      <c r="DA222" s="369">
        <f>+'2. Consolidated'!DA57+'2. Consolidated'!CZ57+'2. Consolidated'!CX57+'2. Consolidated'!CW57</f>
        <v>40875.568570099989</v>
      </c>
      <c r="DB222" s="369">
        <f>+'2. Consolidated'!DB57+'2. Consolidated'!DA57+'2. Consolidated'!CZ57+'2. Consolidated'!CX57</f>
        <v>40595.232430799995</v>
      </c>
      <c r="DC222" s="369">
        <f>+'2. Consolidated'!DC57+'2. Consolidated'!DB57+'2. Consolidated'!DA57+'2. Consolidated'!CZ57</f>
        <v>40341.78107759999</v>
      </c>
      <c r="DD222" s="15">
        <f>+'2. Consolidated'!DC57+'2. Consolidated'!DB57+'2. Consolidated'!DA57+'2. Consolidated'!CZ57</f>
        <v>40341.78107759999</v>
      </c>
      <c r="DE222" s="369">
        <f>+'2. Consolidated'!DE57+'2. Consolidated'!DC57+'2. Consolidated'!DB57+'2. Consolidated'!DA57</f>
        <v>40347.602657399999</v>
      </c>
      <c r="DF222" s="369">
        <f>+'2. Consolidated'!DF57+'2. Consolidated'!DE57+'2. Consolidated'!DC57+'2. Consolidated'!DB57</f>
        <v>40367.305830405989</v>
      </c>
      <c r="DG222" s="369">
        <f>+'2. Consolidated'!DG57+'2. Consolidated'!DF57+'2. Consolidated'!DE57+'2. Consolidated'!DC57</f>
        <v>40436.352234082995</v>
      </c>
      <c r="DH222" s="369">
        <f>+'2. Consolidated'!DH57+'2. Consolidated'!DG57+'2. Consolidated'!DF57+'2. Consolidated'!DE57</f>
        <v>40505.133482619</v>
      </c>
      <c r="DI222" s="15">
        <f>+'2. Consolidated'!DH57+'2. Consolidated'!DG57+'2. Consolidated'!DF57+'2. Consolidated'!DE57</f>
        <v>40505.133482619</v>
      </c>
    </row>
    <row r="223" spans="1:113" s="396" customFormat="1" ht="12" customHeight="1">
      <c r="A223" s="239"/>
      <c r="B223" s="461" t="s">
        <v>211</v>
      </c>
      <c r="C223" s="369">
        <f>+-('2. Consolidated'!C59)</f>
        <v>3906.7460000000001</v>
      </c>
      <c r="D223" s="15">
        <f>+-('2. Consolidated'!D59)</f>
        <v>5502.9930000000004</v>
      </c>
      <c r="E223" s="369">
        <f>+-('2. Consolidated'!E59)</f>
        <v>6065.4</v>
      </c>
      <c r="F223" s="15">
        <f>+-('2. Consolidated'!F59)</f>
        <v>5493.5</v>
      </c>
      <c r="G223" s="369">
        <f>+-('2. Consolidated'!G59)</f>
        <v>5403.8</v>
      </c>
      <c r="H223" s="15">
        <f>+-('2. Consolidated'!H59)</f>
        <v>5784.9</v>
      </c>
      <c r="I223" s="369">
        <f>+-('2. Consolidated'!I59)</f>
        <v>6004.7</v>
      </c>
      <c r="J223" s="15">
        <f>+-('2. Consolidated'!J59)</f>
        <v>6313.6</v>
      </c>
      <c r="K223" s="369">
        <f>+-('2. Consolidated'!K59)</f>
        <v>7001.4</v>
      </c>
      <c r="L223" s="15">
        <f>+-('2. Consolidated'!L59)</f>
        <v>7624.3</v>
      </c>
      <c r="M223" s="369">
        <f>+-('2. Consolidated'!M59)</f>
        <v>8367.9</v>
      </c>
      <c r="N223" s="15">
        <f>+-('2. Consolidated'!N59)</f>
        <v>9165.4</v>
      </c>
      <c r="O223" s="15">
        <f>+-('2. Consolidated'!O59)</f>
        <v>10239.6</v>
      </c>
      <c r="P223" s="369">
        <f>+-('2. Consolidated'!P59)</f>
        <v>10571.7</v>
      </c>
      <c r="Q223" s="15">
        <f>+-('2. Consolidated'!Q59)</f>
        <v>10213.599999999999</v>
      </c>
      <c r="R223" s="369" t="s">
        <v>126</v>
      </c>
      <c r="S223" s="369" t="s">
        <v>126</v>
      </c>
      <c r="T223" s="369" t="s">
        <v>126</v>
      </c>
      <c r="U223" s="369">
        <f>+-('2. Consolidated'!U59+'2. Consolidated'!T59+'2. Consolidated'!S59+'2. Consolidated'!R59)</f>
        <v>11354</v>
      </c>
      <c r="V223" s="15">
        <f>+-('2. Consolidated'!U59+'2. Consolidated'!T59+'2. Consolidated'!S59+'2. Consolidated'!R59)</f>
        <v>11354</v>
      </c>
      <c r="W223" s="369">
        <f>+-('2. Consolidated'!W59+'2. Consolidated'!U59+'2. Consolidated'!T59+'2. Consolidated'!S59)</f>
        <v>12001</v>
      </c>
      <c r="X223" s="369">
        <f>+-('2. Consolidated'!X59+'2. Consolidated'!W59+'2. Consolidated'!U59+'2. Consolidated'!T59)</f>
        <v>12633</v>
      </c>
      <c r="Y223" s="369">
        <f>+-('2. Consolidated'!Y59+'2. Consolidated'!X59+'2. Consolidated'!W59+'2. Consolidated'!U59)</f>
        <v>13166</v>
      </c>
      <c r="Z223" s="369">
        <f>+-('2. Consolidated'!Z59+'2. Consolidated'!Y59+'2. Consolidated'!X59+'2. Consolidated'!W59)</f>
        <v>13657</v>
      </c>
      <c r="AA223" s="15">
        <f>+-('2. Consolidated'!Z59+'2. Consolidated'!Y59+'2. Consolidated'!X59+'2. Consolidated'!W59)</f>
        <v>13657</v>
      </c>
      <c r="AB223" s="15"/>
      <c r="AC223" s="369">
        <f>+'2. Consolidated'!AC59+'2. Consolidated'!Z59+'2. Consolidated'!Y59+'2. Consolidated'!X59</f>
        <v>-13915</v>
      </c>
      <c r="AD223" s="369">
        <f>+'2. Consolidated'!AD59+'2. Consolidated'!AC59+'2. Consolidated'!Z59+'2. Consolidated'!Y59</f>
        <v>-14059</v>
      </c>
      <c r="AE223" s="369">
        <f>+'2. Consolidated'!AE59+'2. Consolidated'!AD59+'2. Consolidated'!AC59+'2. Consolidated'!Z59</f>
        <v>-14225</v>
      </c>
      <c r="AF223" s="369">
        <f>+'2. Consolidated'!AF59+'2. Consolidated'!AE59+'2. Consolidated'!AD59+'2. Consolidated'!AC59</f>
        <v>-14279</v>
      </c>
      <c r="AG223" s="15">
        <f>+-('2. Consolidated'!AF59+'2. Consolidated'!AE59+'2. Consolidated'!AD59+'2. Consolidated'!AC59)</f>
        <v>14279</v>
      </c>
      <c r="AH223" s="369">
        <f>+-('2. Consolidated'!AH59+'2. Consolidated'!AF59+'2. Consolidated'!AE59+'2. Consolidated'!AD59)</f>
        <v>14472</v>
      </c>
      <c r="AI223" s="369">
        <f>+-('2. Consolidated'!AI59+'2. Consolidated'!AH59+'2. Consolidated'!AF59+'2. Consolidated'!AE59)</f>
        <v>14652</v>
      </c>
      <c r="AJ223" s="369">
        <f>+-('2. Consolidated'!AJ59+'2. Consolidated'!AI59+'2. Consolidated'!AH59+'2. Consolidated'!AF59)</f>
        <v>15070</v>
      </c>
      <c r="AK223" s="369">
        <f>+-('2. Consolidated'!AK59+'2. Consolidated'!AJ59+'2. Consolidated'!AI59+'2. Consolidated'!AH59)</f>
        <v>15353</v>
      </c>
      <c r="AL223" s="15">
        <f>+-('2. Consolidated'!AK59+'2. Consolidated'!AJ59+'2. Consolidated'!AI59+'2. Consolidated'!AH59)</f>
        <v>15353</v>
      </c>
      <c r="AM223" s="369">
        <f>+-('2. Consolidated'!AM59+'2. Consolidated'!AK59+'2. Consolidated'!AJ59+'2. Consolidated'!AI59)</f>
        <v>15775</v>
      </c>
      <c r="AN223" s="369">
        <f>+-('2. Consolidated'!AN59+'2. Consolidated'!AM59+'2. Consolidated'!AK59+'2. Consolidated'!AJ59)</f>
        <v>16223</v>
      </c>
      <c r="AO223" s="369">
        <f>+-('2. Consolidated'!AO59+'2. Consolidated'!AN59+'2. Consolidated'!AM59+'2. Consolidated'!AK59)</f>
        <v>16388</v>
      </c>
      <c r="AP223" s="369">
        <f>+-('2. Consolidated'!AP59+'2. Consolidated'!AO59+'2. Consolidated'!AN59+'2. Consolidated'!AM59)</f>
        <v>16534</v>
      </c>
      <c r="AQ223" s="15">
        <f>+-('2. Consolidated'!AP59+'2. Consolidated'!AO59+'2. Consolidated'!AN59+'2. Consolidated'!AM59)</f>
        <v>16534</v>
      </c>
      <c r="AR223" s="369">
        <f>+-('2. Consolidated'!AR59+'2. Consolidated'!AP59+'2. Consolidated'!AO59+'2. Consolidated'!AN59)</f>
        <v>16692</v>
      </c>
      <c r="AS223" s="369">
        <f>+-('2. Consolidated'!AS59+'2. Consolidated'!AR59+'2. Consolidated'!AP59+'2. Consolidated'!AO59)</f>
        <v>16824</v>
      </c>
      <c r="AT223" s="369">
        <f>+-('2. Consolidated'!AT59+'2. Consolidated'!AS59+'2. Consolidated'!AR59+'2. Consolidated'!AP59)</f>
        <v>17133</v>
      </c>
      <c r="AU223" s="369">
        <f>+-('2. Consolidated'!AU59+'2. Consolidated'!AT59+'2. Consolidated'!AS59+'2. Consolidated'!AR59)</f>
        <v>17405</v>
      </c>
      <c r="AV223" s="15">
        <f>+-('2. Consolidated'!AU59+'2. Consolidated'!AT59+'2. Consolidated'!AS59+'2. Consolidated'!AR59)</f>
        <v>17405</v>
      </c>
      <c r="AW223" s="369">
        <f>+-('2. Consolidated'!AW59+'2. Consolidated'!AU59+'2. Consolidated'!AT59+'2. Consolidated'!AS59)</f>
        <v>17924</v>
      </c>
      <c r="AX223" s="369">
        <f>+-('2. Consolidated'!AX59+'2. Consolidated'!AW59+'2. Consolidated'!AU59+'2. Consolidated'!AT59)</f>
        <v>18303</v>
      </c>
      <c r="AY223" s="369">
        <f>+-('2. Consolidated'!AY59+'2. Consolidated'!AX59+'2. Consolidated'!AW59+'2. Consolidated'!AU59)</f>
        <v>18642</v>
      </c>
      <c r="AZ223" s="369">
        <f>+-('2. Consolidated'!AZ59+'2. Consolidated'!AY59+'2. Consolidated'!AX59+'2. Consolidated'!AW59)</f>
        <v>19038</v>
      </c>
      <c r="BA223" s="15">
        <f>+-('2. Consolidated'!AZ59+'2. Consolidated'!AY59+'2. Consolidated'!AX59+'2. Consolidated'!AW59)</f>
        <v>19038</v>
      </c>
      <c r="BB223" s="369">
        <f>+-('2. Consolidated'!BB59+'2. Consolidated'!AZ59+'2. Consolidated'!AY59+'2. Consolidated'!AX59)</f>
        <v>19208</v>
      </c>
      <c r="BC223" s="369">
        <f>+-('2. Consolidated'!BC59+'2. Consolidated'!BB59+'2. Consolidated'!AZ59+'2. Consolidated'!AY59)</f>
        <v>19520</v>
      </c>
      <c r="BD223" s="369">
        <f>+-('2. Consolidated'!BD59+'2. Consolidated'!BC59+'2. Consolidated'!BB59+'2. Consolidated'!AZ59)</f>
        <v>19884</v>
      </c>
      <c r="BE223" s="369">
        <f>+-('2. Consolidated'!BE59+'2. Consolidated'!BD59+'2. Consolidated'!BC59+'2. Consolidated'!BB59)</f>
        <v>20441</v>
      </c>
      <c r="BF223" s="15">
        <f>+-('2. Consolidated'!BE59+'2. Consolidated'!BD59+'2. Consolidated'!BC59+'2. Consolidated'!BB59)</f>
        <v>20441</v>
      </c>
      <c r="BG223" s="369">
        <f>+-('2. Consolidated'!BG59+'2. Consolidated'!BE59+'2. Consolidated'!BD59+'2. Consolidated'!BC59)</f>
        <v>20884</v>
      </c>
      <c r="BH223" s="369">
        <f>+-('2. Consolidated'!BH59+'2. Consolidated'!BG59+'2. Consolidated'!BE59+'2. Consolidated'!BD59)</f>
        <v>21277</v>
      </c>
      <c r="BI223" s="369">
        <f>+-('2. Consolidated'!BI59+'2. Consolidated'!BH59+'2. Consolidated'!BG59+'2. Consolidated'!BE59)</f>
        <v>21503</v>
      </c>
      <c r="BJ223" s="369">
        <f>+-('2. Consolidated'!BJ59+'2. Consolidated'!BI59+'2. Consolidated'!BH59+'2. Consolidated'!BG59)</f>
        <v>21643</v>
      </c>
      <c r="BK223" s="15">
        <f>+-('2. Consolidated'!BJ59+'2. Consolidated'!BI59+'2. Consolidated'!BH59+'2. Consolidated'!BG59)</f>
        <v>21643</v>
      </c>
      <c r="BL223" s="369">
        <f>+-('2. Consolidated'!BL59+'2. Consolidated'!BJ59+'2. Consolidated'!BI59+'2. Consolidated'!BH59)</f>
        <v>21881</v>
      </c>
      <c r="BM223" s="369">
        <f>+-('2. Consolidated'!BM59+'2. Consolidated'!BL59+'2. Consolidated'!BJ59+'2. Consolidated'!BI59)</f>
        <v>22394</v>
      </c>
      <c r="BN223" s="369">
        <f>+-('2. Consolidated'!BN59+'2. Consolidated'!BM59+'2. Consolidated'!BL59+'2. Consolidated'!BJ59)</f>
        <v>22753</v>
      </c>
      <c r="BO223" s="369">
        <f>+-('2. Consolidated'!BO59+'2. Consolidated'!BN59+'2. Consolidated'!BM59+'2. Consolidated'!BL59)</f>
        <v>21162</v>
      </c>
      <c r="BP223" s="15">
        <f>+-('2. Consolidated'!BO59+'2. Consolidated'!BN59+'2. Consolidated'!BM59+'2. Consolidated'!BL59)</f>
        <v>21162</v>
      </c>
      <c r="BQ223" s="369">
        <f>+-('2. Consolidated'!BQ59+'2. Consolidated'!BO59+'2. Consolidated'!BN59+'2. Consolidated'!BM59)</f>
        <v>21226</v>
      </c>
      <c r="BR223" s="369">
        <f>+-('2. Consolidated'!BR59+'2. Consolidated'!BQ59+'2. Consolidated'!BO59+'2. Consolidated'!BN59)</f>
        <v>21840</v>
      </c>
      <c r="BS223" s="369">
        <f>+-('2. Consolidated'!BS59+'2. Consolidated'!BR59+'2. Consolidated'!BQ59+'2. Consolidated'!BO59)</f>
        <v>21847</v>
      </c>
      <c r="BT223" s="369">
        <f>+-('2. Consolidated'!BT59+'2. Consolidated'!BS59+'2. Consolidated'!BR59+'2. Consolidated'!BQ59)</f>
        <v>24576</v>
      </c>
      <c r="BU223" s="15">
        <f>+-('2. Consolidated'!BT59+'2. Consolidated'!BS59+'2. Consolidated'!BR59+'2. Consolidated'!BQ59)</f>
        <v>24576</v>
      </c>
      <c r="BV223" s="369">
        <f>+-('2. Consolidated'!BV59+'2. Consolidated'!BT59+'2. Consolidated'!BS59+'2. Consolidated'!BR59)</f>
        <v>25275</v>
      </c>
      <c r="BW223" s="369">
        <f>+-('2. Consolidated'!BW59+'2. Consolidated'!BV59+'2. Consolidated'!BT59+'2. Consolidated'!BS59)</f>
        <v>25023</v>
      </c>
      <c r="BX223" s="369">
        <f>+-('2. Consolidated'!BX59+'2. Consolidated'!BW59+'2. Consolidated'!BV59+'2. Consolidated'!BT59)</f>
        <v>25189</v>
      </c>
      <c r="BY223" s="369">
        <f>+-('2. Consolidated'!BY59+'2. Consolidated'!BX59+'2. Consolidated'!BW59+'2. Consolidated'!BV59)</f>
        <v>25231</v>
      </c>
      <c r="BZ223" s="15">
        <f>+-('2. Consolidated'!BY59+'2. Consolidated'!BX59+'2. Consolidated'!BW59+'2. Consolidated'!BV59)</f>
        <v>25231</v>
      </c>
      <c r="CA223" s="369">
        <f>+-('2. Consolidated'!CA59+'2. Consolidated'!BY59+'2. Consolidated'!BX59+'2. Consolidated'!BW59)</f>
        <v>25751</v>
      </c>
      <c r="CB223" s="369">
        <f>+-('2. Consolidated'!CB59+'2. Consolidated'!CA59+'2. Consolidated'!BY59+'2. Consolidated'!BX59)</f>
        <v>27211</v>
      </c>
      <c r="CC223" s="369">
        <f>+-('2. Consolidated'!CC59+'2. Consolidated'!CB59+'2. Consolidated'!CA59+'2. Consolidated'!BY59)</f>
        <v>28426</v>
      </c>
      <c r="CD223" s="369">
        <f>+-('2. Consolidated'!CD59+'2. Consolidated'!CC59+'2. Consolidated'!CB59+'2. Consolidated'!CA59)</f>
        <v>28925</v>
      </c>
      <c r="CE223" s="15">
        <f>+-('2. Consolidated'!CD59+'2. Consolidated'!CC59+'2. Consolidated'!CB59+'2. Consolidated'!CA59)</f>
        <v>28925</v>
      </c>
      <c r="CF223" s="369">
        <f>+-('2. Consolidated'!CF59+'2. Consolidated'!CD59+'2. Consolidated'!CC59+'2. Consolidated'!CB59)</f>
        <v>29072</v>
      </c>
      <c r="CG223" s="369">
        <f>+-('2. Consolidated'!CG59+'2. Consolidated'!CF59+'2. Consolidated'!CD59+'2. Consolidated'!CC59)</f>
        <v>28885</v>
      </c>
      <c r="CH223" s="369">
        <f>+-('2. Consolidated'!CH59+'2. Consolidated'!CG59+'2. Consolidated'!CF59+'2. Consolidated'!CD59)</f>
        <v>28670</v>
      </c>
      <c r="CI223" s="369">
        <f>+-('2. Consolidated'!CI59+'2. Consolidated'!CH59+'2. Consolidated'!CG59+'2. Consolidated'!CF59)</f>
        <v>28411</v>
      </c>
      <c r="CJ223" s="15">
        <f>+-('2. Consolidated'!CI59+'2. Consolidated'!CH59+'2. Consolidated'!CG59+'2. Consolidated'!CF59)</f>
        <v>28411</v>
      </c>
      <c r="CK223" s="369">
        <f>+-('2. Consolidated'!CK59+'2. Consolidated'!CI59+'2. Consolidated'!CH59+'2. Consolidated'!CG59)</f>
        <v>27524</v>
      </c>
      <c r="CL223" s="369">
        <f>+-('2. Consolidated'!CL59+'2. Consolidated'!CK59+'2. Consolidated'!CI59+'2. Consolidated'!CH59)</f>
        <v>27072</v>
      </c>
      <c r="CM223" s="369">
        <f>+-('2. Consolidated'!CM59+'2. Consolidated'!CL59+'2. Consolidated'!CK59+'2. Consolidated'!CI59)</f>
        <v>26862</v>
      </c>
      <c r="CN223" s="369">
        <f>+-('2. Consolidated'!CN59+'2. Consolidated'!CM59+'2. Consolidated'!CL59+'2. Consolidated'!CK59)</f>
        <v>26519</v>
      </c>
      <c r="CO223" s="15">
        <f>+-('2. Consolidated'!CN59+'2. Consolidated'!CM59+'2. Consolidated'!CL59+'2. Consolidated'!CK59)</f>
        <v>26519</v>
      </c>
      <c r="CP223" s="369">
        <f>+-('2. Consolidated'!CP59+'2. Consolidated'!CN59+'2. Consolidated'!CM59+'2. Consolidated'!CL59)</f>
        <v>26964</v>
      </c>
      <c r="CQ223" s="369">
        <f>+-('2. Consolidated'!CQ59+'2. Consolidated'!CP59+'2. Consolidated'!CN59+'2. Consolidated'!CM59)</f>
        <v>27381</v>
      </c>
      <c r="CR223" s="369">
        <f>+-('2. Consolidated'!CR59+'2. Consolidated'!CQ59+'2. Consolidated'!CP59+'2. Consolidated'!CN59)</f>
        <v>27536</v>
      </c>
      <c r="CS223" s="369">
        <f>+-('2. Consolidated'!CS59+'2. Consolidated'!CR59+'2. Consolidated'!CQ59+'2. Consolidated'!CP59)</f>
        <v>26487</v>
      </c>
      <c r="CT223" s="15">
        <f>+-('2. Consolidated'!CS59+'2. Consolidated'!CR59+'2. Consolidated'!CQ59+'2. Consolidated'!CP59)</f>
        <v>26487</v>
      </c>
      <c r="CU223" s="369">
        <f>+-('2. Consolidated'!CU59+'2. Consolidated'!CS59+'2. Consolidated'!CR59+'2. Consolidated'!CQ59)</f>
        <v>26125</v>
      </c>
      <c r="CV223" s="369">
        <f>+-('2. Consolidated'!CV59+'2. Consolidated'!CU59+'2. Consolidated'!CS59+'2. Consolidated'!CR59)</f>
        <v>25188.589909747279</v>
      </c>
      <c r="CW223" s="369">
        <f>+-('2. Consolidated'!CW59+'2. Consolidated'!CV59+'2. Consolidated'!CU59+'2. Consolidated'!CS59)</f>
        <v>24657.897083026641</v>
      </c>
      <c r="CX223" s="369">
        <f>+-('2. Consolidated'!CX59+'2. Consolidated'!CW59+'2. Consolidated'!CV59+'2. Consolidated'!CU59)</f>
        <v>24992.645133722741</v>
      </c>
      <c r="CY223" s="15">
        <f>+-('2. Consolidated'!CX59+'2. Consolidated'!CW59+'2. Consolidated'!CV59+'2. Consolidated'!CU59)</f>
        <v>24992.645133722741</v>
      </c>
      <c r="CZ223" s="369">
        <f>+-('2. Consolidated'!CZ59+'2. Consolidated'!CX59+'2. Consolidated'!CW59+'2. Consolidated'!CV59)</f>
        <v>24538.107619109582</v>
      </c>
      <c r="DA223" s="369">
        <f>+-('2. Consolidated'!DA59+'2. Consolidated'!CZ59+'2. Consolidated'!CX59+'2. Consolidated'!CW59)</f>
        <v>24257.024959831382</v>
      </c>
      <c r="DB223" s="369">
        <f>+-('2. Consolidated'!DB59+'2. Consolidated'!DA59+'2. Consolidated'!CZ59+'2. Consolidated'!CX59)</f>
        <v>24087.878921998999</v>
      </c>
      <c r="DC223" s="369">
        <f>+-('2. Consolidated'!DC59+'2. Consolidated'!DB59+'2. Consolidated'!DA59+'2. Consolidated'!CZ59)</f>
        <v>23936.194339264697</v>
      </c>
      <c r="DD223" s="15">
        <f>+-('2. Consolidated'!DC59+'2. Consolidated'!DB59+'2. Consolidated'!DA59+'2. Consolidated'!CZ59)</f>
        <v>23936.194339264697</v>
      </c>
      <c r="DE223" s="369">
        <f>+-('2. Consolidated'!DE59+'2. Consolidated'!DC59+'2. Consolidated'!DB59+'2. Consolidated'!DA59)</f>
        <v>23903.384804772017</v>
      </c>
      <c r="DF223" s="369">
        <f>+-('2. Consolidated'!DF59+'2. Consolidated'!DE59+'2. Consolidated'!DC59+'2. Consolidated'!DB59)</f>
        <v>23878.77977343051</v>
      </c>
      <c r="DG223" s="369">
        <f>+-('2. Consolidated'!DG59+'2. Consolidated'!DF59+'2. Consolidated'!DE59+'2. Consolidated'!DC59)</f>
        <v>23885.108781623629</v>
      </c>
      <c r="DH223" s="369">
        <f>+-('2. Consolidated'!DH59+'2. Consolidated'!DG59+'2. Consolidated'!DF59+'2. Consolidated'!DE59)</f>
        <v>23892.334360018744</v>
      </c>
      <c r="DI223" s="15">
        <f>+-('2. Consolidated'!DH59+'2. Consolidated'!DG59+'2. Consolidated'!DF59+'2. Consolidated'!DE59)</f>
        <v>23892.334360018744</v>
      </c>
    </row>
    <row r="224" spans="1:113" s="396" customFormat="1" ht="12" customHeight="1">
      <c r="A224" s="239"/>
      <c r="B224" s="461" t="s">
        <v>212</v>
      </c>
      <c r="C224" s="369">
        <f>+'2. Consolidated'!C98</f>
        <v>1072.4459999999999</v>
      </c>
      <c r="D224" s="15">
        <f>+'2. Consolidated'!D98</f>
        <v>1517.8800000000006</v>
      </c>
      <c r="E224" s="369">
        <f>+'2. Consolidated'!E98</f>
        <v>1048.2999999999988</v>
      </c>
      <c r="F224" s="15">
        <f>+'2. Consolidated'!F98</f>
        <v>1055.0000000000016</v>
      </c>
      <c r="G224" s="369">
        <f>+'2. Consolidated'!G98</f>
        <v>1172.9000000000005</v>
      </c>
      <c r="H224" s="15">
        <f>+'2. Consolidated'!H98</f>
        <v>1211.5999999999999</v>
      </c>
      <c r="I224" s="369">
        <f>+'2. Consolidated'!I98</f>
        <v>1291.4000000000001</v>
      </c>
      <c r="J224" s="15">
        <f>+'2. Consolidated'!J98</f>
        <v>1471.8999999999999</v>
      </c>
      <c r="K224" s="369">
        <f>+'2. Consolidated'!K98</f>
        <v>1804.9000000000003</v>
      </c>
      <c r="L224" s="15">
        <f>+'2. Consolidated'!L98</f>
        <v>2150.8999999999987</v>
      </c>
      <c r="M224" s="369">
        <f>+'2. Consolidated'!M98</f>
        <v>2391.1999999999998</v>
      </c>
      <c r="N224" s="15">
        <f>+'2. Consolidated'!N98</f>
        <v>2401.5000000000009</v>
      </c>
      <c r="O224" s="15">
        <f>+'2. Consolidated'!O98</f>
        <v>2737.3000000000006</v>
      </c>
      <c r="P224" s="369">
        <f>+'2. Consolidated'!P98</f>
        <v>2878.2999999999984</v>
      </c>
      <c r="Q224" s="15">
        <f>+'2. Consolidated'!Q98</f>
        <v>2846.9000000000015</v>
      </c>
      <c r="R224" s="369" t="s">
        <v>126</v>
      </c>
      <c r="S224" s="369" t="s">
        <v>126</v>
      </c>
      <c r="T224" s="369" t="s">
        <v>126</v>
      </c>
      <c r="U224" s="369">
        <f>+'2. Consolidated'!U98+'2. Consolidated'!T98+'2. Consolidated'!S98+'2. Consolidated'!R98</f>
        <v>3183</v>
      </c>
      <c r="V224" s="15">
        <f>+'2. Consolidated'!U98+'2. Consolidated'!T98+'2. Consolidated'!S98+'2. Consolidated'!R98</f>
        <v>3183</v>
      </c>
      <c r="W224" s="369">
        <f>+'2. Consolidated'!W98+'2. Consolidated'!U98+'2. Consolidated'!T98+'2. Consolidated'!S98</f>
        <v>3289</v>
      </c>
      <c r="X224" s="369">
        <f>+'2. Consolidated'!X98+'2. Consolidated'!W98+'2. Consolidated'!U98+'2. Consolidated'!T98</f>
        <v>3309</v>
      </c>
      <c r="Y224" s="369">
        <f>+'2. Consolidated'!Y98+'2. Consolidated'!X98+'2. Consolidated'!W98+'2. Consolidated'!U98</f>
        <v>3378</v>
      </c>
      <c r="Z224" s="369">
        <f>+'2. Consolidated'!Z98+'2. Consolidated'!Y98+'2. Consolidated'!X98+'2. Consolidated'!W98</f>
        <v>3359</v>
      </c>
      <c r="AA224" s="15">
        <f>+'2. Consolidated'!Z98+'2. Consolidated'!Y98+'2. Consolidated'!X98+'2. Consolidated'!W98</f>
        <v>3359</v>
      </c>
      <c r="AB224" s="15"/>
      <c r="AC224" s="369">
        <f>+'2. Consolidated'!AC98+'2. Consolidated'!Z98+'2. Consolidated'!Y98+'2. Consolidated'!X98</f>
        <v>3317</v>
      </c>
      <c r="AD224" s="369">
        <f>+'2. Consolidated'!AD98+'2. Consolidated'!AC98+'2. Consolidated'!Z98+'2. Consolidated'!Y98</f>
        <v>3420</v>
      </c>
      <c r="AE224" s="369">
        <f>+'2. Consolidated'!AE98+'2. Consolidated'!AD98+'2. Consolidated'!AC98+'2. Consolidated'!Z98</f>
        <v>3521</v>
      </c>
      <c r="AF224" s="369">
        <f>+'2. Consolidated'!AF98+'2. Consolidated'!AE98+'2. Consolidated'!AD98+'2. Consolidated'!AC98</f>
        <v>3691</v>
      </c>
      <c r="AG224" s="15">
        <f>+'2. Consolidated'!AF98+'2. Consolidated'!AE98+'2. Consolidated'!AD98+'2. Consolidated'!AC98</f>
        <v>3691</v>
      </c>
      <c r="AH224" s="369">
        <f>+'2. Consolidated'!AH98+'2. Consolidated'!AF98+'2. Consolidated'!AE98+'2. Consolidated'!AD98</f>
        <v>3963</v>
      </c>
      <c r="AI224" s="369">
        <f>+'2. Consolidated'!AI98+'2. Consolidated'!AH98+'2. Consolidated'!AF98+'2. Consolidated'!AE98</f>
        <v>3993</v>
      </c>
      <c r="AJ224" s="369">
        <f>+'2. Consolidated'!AJ98+'2. Consolidated'!AI98+'2. Consolidated'!AH98+'2. Consolidated'!AF98</f>
        <v>4049</v>
      </c>
      <c r="AK224" s="369">
        <f>+'2. Consolidated'!AK98+'2. Consolidated'!AJ98+'2. Consolidated'!AI98+'2. Consolidated'!AH98</f>
        <v>4095</v>
      </c>
      <c r="AL224" s="15">
        <f>+'2. Consolidated'!AK98+'2. Consolidated'!AJ98+'2. Consolidated'!AI98+'2. Consolidated'!AH98</f>
        <v>4095</v>
      </c>
      <c r="AM224" s="369">
        <f>+'2. Consolidated'!AM98+'2. Consolidated'!AK98+'2. Consolidated'!AJ98+'2. Consolidated'!AI98</f>
        <v>4312</v>
      </c>
      <c r="AN224" s="369">
        <f>+'2. Consolidated'!AN98+'2. Consolidated'!AM98+'2. Consolidated'!AK98+'2. Consolidated'!AJ98</f>
        <v>4453</v>
      </c>
      <c r="AO224" s="369">
        <f>+'2. Consolidated'!AO98+'2. Consolidated'!AN98+'2. Consolidated'!AM98+'2. Consolidated'!AK98</f>
        <v>4718</v>
      </c>
      <c r="AP224" s="369">
        <f>+'2. Consolidated'!AP98+'2. Consolidated'!AO98+'2. Consolidated'!AN98+'2. Consolidated'!AM98</f>
        <v>4882</v>
      </c>
      <c r="AQ224" s="15">
        <f>+'2. Consolidated'!AP98+'2. Consolidated'!AO98+'2. Consolidated'!AN98+'2. Consolidated'!AM98</f>
        <v>4882</v>
      </c>
      <c r="AR224" s="369">
        <f>+'2. Consolidated'!AR98+'2. Consolidated'!AP98+'2. Consolidated'!AO98+'2. Consolidated'!AN98</f>
        <v>5111</v>
      </c>
      <c r="AS224" s="369">
        <f>+'2. Consolidated'!AS98+'2. Consolidated'!AR98+'2. Consolidated'!AP98+'2. Consolidated'!AO98</f>
        <v>5256</v>
      </c>
      <c r="AT224" s="369">
        <f>+'2. Consolidated'!AT98+'2. Consolidated'!AS98+'2. Consolidated'!AR98+'2. Consolidated'!AP98</f>
        <v>5269</v>
      </c>
      <c r="AU224" s="369">
        <f>+'2. Consolidated'!AU98+'2. Consolidated'!AT98+'2. Consolidated'!AS98+'2. Consolidated'!AR98</f>
        <v>5304</v>
      </c>
      <c r="AV224" s="15">
        <f>+'2. Consolidated'!AU98+'2. Consolidated'!AT98+'2. Consolidated'!AS98+'2. Consolidated'!AR98</f>
        <v>5304</v>
      </c>
      <c r="AW224" s="369">
        <f>+'2. Consolidated'!AW98+'2. Consolidated'!AU98+'2. Consolidated'!AT98+'2. Consolidated'!AS98</f>
        <v>5151</v>
      </c>
      <c r="AX224" s="369">
        <f>+'2. Consolidated'!AX98+'2. Consolidated'!AW98+'2. Consolidated'!AU98+'2. Consolidated'!AT98</f>
        <v>5321</v>
      </c>
      <c r="AY224" s="369">
        <f>+'2. Consolidated'!AY98+'2. Consolidated'!AX98+'2. Consolidated'!AW98+'2. Consolidated'!AU98</f>
        <v>5539</v>
      </c>
      <c r="AZ224" s="369">
        <f>+'2. Consolidated'!AZ98+'2. Consolidated'!AY98+'2. Consolidated'!AX98+'2. Consolidated'!AW98</f>
        <v>5651</v>
      </c>
      <c r="BA224" s="15">
        <f>+'2. Consolidated'!AZ98+'2. Consolidated'!AY98+'2. Consolidated'!AX98+'2. Consolidated'!AW98</f>
        <v>5651</v>
      </c>
      <c r="BB224" s="369">
        <f>+'2. Consolidated'!BB98+'2. Consolidated'!AZ98+'2. Consolidated'!AY98+'2. Consolidated'!AX98</f>
        <v>5457</v>
      </c>
      <c r="BC224" s="369">
        <f>+'2. Consolidated'!BC98+'2. Consolidated'!BB98+'2. Consolidated'!AZ98+'2. Consolidated'!AY98</f>
        <v>5234</v>
      </c>
      <c r="BD224" s="369">
        <f>+'2. Consolidated'!BD98+'2. Consolidated'!BC98+'2. Consolidated'!BB98+'2. Consolidated'!AZ98</f>
        <v>5074</v>
      </c>
      <c r="BE224" s="369">
        <f>+'2. Consolidated'!BE98+'2. Consolidated'!BD98+'2. Consolidated'!BC98+'2. Consolidated'!BB98</f>
        <v>5126</v>
      </c>
      <c r="BF224" s="15">
        <f>+'2. Consolidated'!BE98+'2. Consolidated'!BD98+'2. Consolidated'!BC98+'2. Consolidated'!BB98</f>
        <v>5126</v>
      </c>
      <c r="BG224" s="369">
        <f>+'2. Consolidated'!BG98+'2. Consolidated'!BE98+'2. Consolidated'!BD98+'2. Consolidated'!BC98</f>
        <v>5318</v>
      </c>
      <c r="BH224" s="369">
        <f>+'2. Consolidated'!BH98+'2. Consolidated'!BG98+'2. Consolidated'!BE98+'2. Consolidated'!BD98</f>
        <v>5421</v>
      </c>
      <c r="BI224" s="369">
        <f>+'2. Consolidated'!BI98+'2. Consolidated'!BH98+'2. Consolidated'!BG98+'2. Consolidated'!BE98</f>
        <v>5545</v>
      </c>
      <c r="BJ224" s="369">
        <f>+'2. Consolidated'!BJ98+'2. Consolidated'!BI98+'2. Consolidated'!BH98+'2. Consolidated'!BG98</f>
        <v>5555</v>
      </c>
      <c r="BK224" s="15">
        <f>+'2. Consolidated'!BJ98+'2. Consolidated'!BI98+'2. Consolidated'!BH98+'2. Consolidated'!BG98</f>
        <v>5555</v>
      </c>
      <c r="BL224" s="369">
        <f>+'2. Consolidated'!BL98+'2. Consolidated'!BJ98+'2. Consolidated'!BI98+'2. Consolidated'!BH98</f>
        <v>5841</v>
      </c>
      <c r="BM224" s="369">
        <f>+'2. Consolidated'!BM98+'2. Consolidated'!BL98+'2. Consolidated'!BJ98+'2. Consolidated'!BI98</f>
        <v>6094</v>
      </c>
      <c r="BN224" s="369">
        <f>+'2. Consolidated'!BN98+'2. Consolidated'!BM98+'2. Consolidated'!BL98+'2. Consolidated'!BJ98</f>
        <v>6076</v>
      </c>
      <c r="BO224" s="369">
        <f>+'2. Consolidated'!BO98+'2. Consolidated'!BN98+'2. Consolidated'!BM98+'2. Consolidated'!BL98</f>
        <v>4097</v>
      </c>
      <c r="BP224" s="15">
        <f>+'2. Consolidated'!BO98+'2. Consolidated'!BN98+'2. Consolidated'!BM98+'2. Consolidated'!BL98</f>
        <v>4097</v>
      </c>
      <c r="BQ224" s="369">
        <f>+'2. Consolidated'!BQ98+'2. Consolidated'!BO98+'2. Consolidated'!BN98+'2. Consolidated'!BM98</f>
        <v>4308</v>
      </c>
      <c r="BR224" s="369">
        <f>+'2. Consolidated'!BR98+'2. Consolidated'!BQ98+'2. Consolidated'!BO98+'2. Consolidated'!BN98</f>
        <v>4584</v>
      </c>
      <c r="BS224" s="369">
        <f>+'2. Consolidated'!BS98+'2. Consolidated'!BR98+'2. Consolidated'!BQ98+'2. Consolidated'!BO98</f>
        <v>5003</v>
      </c>
      <c r="BT224" s="369">
        <f>+'2. Consolidated'!BT98+'2. Consolidated'!BS98+'2. Consolidated'!BR98+'2. Consolidated'!BQ98</f>
        <v>7667</v>
      </c>
      <c r="BU224" s="15">
        <f>+'2. Consolidated'!BT98+'2. Consolidated'!BS98+'2. Consolidated'!BR98+'2. Consolidated'!BQ98</f>
        <v>7667</v>
      </c>
      <c r="BV224" s="369">
        <f>+'2. Consolidated'!BV98+'2. Consolidated'!BT98+'2. Consolidated'!BS98+'2. Consolidated'!BR98</f>
        <v>8051</v>
      </c>
      <c r="BW224" s="369">
        <f>+'2. Consolidated'!BW98+'2. Consolidated'!BV98+'2. Consolidated'!BT98+'2. Consolidated'!BS98</f>
        <v>8077</v>
      </c>
      <c r="BX224" s="369">
        <f>+'2. Consolidated'!BX98+'2. Consolidated'!BW98+'2. Consolidated'!BV98+'2. Consolidated'!BT98</f>
        <v>8098</v>
      </c>
      <c r="BY224" s="369">
        <f>+'2. Consolidated'!BY98+'2. Consolidated'!BX98+'2. Consolidated'!BW98+'2. Consolidated'!BV98</f>
        <v>7573</v>
      </c>
      <c r="BZ224" s="15">
        <f>+'2. Consolidated'!BY98+'2. Consolidated'!BX98+'2. Consolidated'!BW98+'2. Consolidated'!BV98</f>
        <v>7573</v>
      </c>
      <c r="CA224" s="369">
        <f>+'2. Consolidated'!CA98+'2. Consolidated'!BY98+'2. Consolidated'!BX98+'2. Consolidated'!BW98</f>
        <v>7243</v>
      </c>
      <c r="CB224" s="369">
        <f>+'2. Consolidated'!CB98+'2. Consolidated'!CA98+'2. Consolidated'!BY98+'2. Consolidated'!BX98</f>
        <v>7345</v>
      </c>
      <c r="CC224" s="369">
        <f>+'2. Consolidated'!CC98+'2. Consolidated'!CB98+'2. Consolidated'!CA98+'2. Consolidated'!BY98</f>
        <v>7086</v>
      </c>
      <c r="CD224" s="369">
        <f>+'2. Consolidated'!CD98+'2. Consolidated'!CC98+'2. Consolidated'!CB98+'2. Consolidated'!CA98</f>
        <v>6898</v>
      </c>
      <c r="CE224" s="15">
        <f>+'2. Consolidated'!CD98+'2. Consolidated'!CC98+'2. Consolidated'!CB98+'2. Consolidated'!CA98</f>
        <v>6898</v>
      </c>
      <c r="CF224" s="369">
        <f>+'2. Consolidated'!CF98+'2. Consolidated'!CD98+'2. Consolidated'!CC98+'2. Consolidated'!CB98</f>
        <v>6693</v>
      </c>
      <c r="CG224" s="369">
        <f>+'2. Consolidated'!CG98+'2. Consolidated'!CF98+'2. Consolidated'!CD98+'2. Consolidated'!CC98</f>
        <v>6945</v>
      </c>
      <c r="CH224" s="369">
        <f>+'2. Consolidated'!CH98+'2. Consolidated'!CG98+'2. Consolidated'!CF98+'2. Consolidated'!CD98</f>
        <v>7263</v>
      </c>
      <c r="CI224" s="369">
        <f>+'2. Consolidated'!CI98+'2. Consolidated'!CH98+'2. Consolidated'!CG98+'2. Consolidated'!CF98</f>
        <v>7778</v>
      </c>
      <c r="CJ224" s="15">
        <f>+'2. Consolidated'!CI98+'2. Consolidated'!CH98+'2. Consolidated'!CG98+'2. Consolidated'!CF98</f>
        <v>7778</v>
      </c>
      <c r="CK224" s="369">
        <f>+'2. Consolidated'!CK98+'2. Consolidated'!CI98+'2. Consolidated'!CH98+'2. Consolidated'!CG98</f>
        <v>7425</v>
      </c>
      <c r="CL224" s="369">
        <f>+'2. Consolidated'!CL98+'2. Consolidated'!CK98+'2. Consolidated'!CI98+'2. Consolidated'!CH98</f>
        <v>6916</v>
      </c>
      <c r="CM224" s="369">
        <f>+'2. Consolidated'!CM98+'2. Consolidated'!CL98+'2. Consolidated'!CK98+'2. Consolidated'!CI98</f>
        <v>5978</v>
      </c>
      <c r="CN224" s="369">
        <f>+'2. Consolidated'!CN98+'2. Consolidated'!CM98+'2. Consolidated'!CL98+'2. Consolidated'!CK98</f>
        <v>4553</v>
      </c>
      <c r="CO224" s="15">
        <f>+'2. Consolidated'!CN98+'2. Consolidated'!CM98+'2. Consolidated'!CL98+'2. Consolidated'!CK98</f>
        <v>4553</v>
      </c>
      <c r="CP224" s="369">
        <f>+'2. Consolidated'!CP98+'2. Consolidated'!CN98+'2. Consolidated'!CM98+'2. Consolidated'!CL98</f>
        <v>4195</v>
      </c>
      <c r="CQ224" s="369">
        <f>+'2. Consolidated'!CQ98+'2. Consolidated'!CP98+'2. Consolidated'!CN98+'2. Consolidated'!CM98</f>
        <v>3782</v>
      </c>
      <c r="CR224" s="369">
        <f>+'2. Consolidated'!CR98+'2. Consolidated'!CQ98+'2. Consolidated'!CP98+'2. Consolidated'!CN98</f>
        <v>3596.94</v>
      </c>
      <c r="CS224" s="369">
        <f>+'2. Consolidated'!CS98+'2. Consolidated'!CR98+'2. Consolidated'!CQ98+'2. Consolidated'!CP98</f>
        <v>4615.9400000000005</v>
      </c>
      <c r="CT224" s="15">
        <f>+'2. Consolidated'!CS98+'2. Consolidated'!CR98+'2. Consolidated'!CQ98+'2. Consolidated'!CP98</f>
        <v>4615.9400000000005</v>
      </c>
      <c r="CU224" s="369">
        <f>+'2. Consolidated'!CU98+'2. Consolidated'!CS98+'2. Consolidated'!CR98+'2. Consolidated'!CQ98</f>
        <v>4623.6900000000005</v>
      </c>
      <c r="CV224" s="369">
        <f>+'2. Consolidated'!CV98+'2. Consolidated'!CU98+'2. Consolidated'!CS98+'2. Consolidated'!CR98</f>
        <v>4348.8494318768444</v>
      </c>
      <c r="CW224" s="369">
        <f>+'2. Consolidated'!CW98+'2. Consolidated'!CV98+'2. Consolidated'!CU98+'2. Consolidated'!CS98</f>
        <v>4265.0066850193189</v>
      </c>
      <c r="CX224" s="369">
        <f>+'2. Consolidated'!CX98+'2. Consolidated'!CW98+'2. Consolidated'!CV98+'2. Consolidated'!CU98</f>
        <v>3220.6079207983616</v>
      </c>
      <c r="CY224" s="15">
        <f>+'2. Consolidated'!CX98+'2. Consolidated'!CW98+'2. Consolidated'!CV98+'2. Consolidated'!CU98</f>
        <v>3220.6079207983616</v>
      </c>
      <c r="CZ224" s="369">
        <f>+'2. Consolidated'!CZ98+'2. Consolidated'!CX98+'2. Consolidated'!CW98+'2. Consolidated'!CV98</f>
        <v>3172.2291831970351</v>
      </c>
      <c r="DA224" s="369">
        <f>+'2. Consolidated'!DA98+'2. Consolidated'!CZ98+'2. Consolidated'!CX98+'2. Consolidated'!CW98</f>
        <v>3084.8108021937019</v>
      </c>
      <c r="DB224" s="369">
        <f>+'2. Consolidated'!DB98+'2. Consolidated'!DA98+'2. Consolidated'!CZ98+'2. Consolidated'!CX98</f>
        <v>3070.5912763240931</v>
      </c>
      <c r="DC224" s="369">
        <f>+'2. Consolidated'!DC98+'2. Consolidated'!DB98+'2. Consolidated'!DA98+'2. Consolidated'!CZ98</f>
        <v>3063.9507235149722</v>
      </c>
      <c r="DD224" s="15">
        <f>+'2. Consolidated'!DC98+'2. Consolidated'!DB98+'2. Consolidated'!DA98+'2. Consolidated'!CZ98</f>
        <v>3063.9507235149722</v>
      </c>
      <c r="DE224" s="369">
        <f>+'2. Consolidated'!DE98+'2. Consolidated'!DC98+'2. Consolidated'!DB98+'2. Consolidated'!DA98</f>
        <v>3126.2540783435138</v>
      </c>
      <c r="DF224" s="369">
        <f>+'2. Consolidated'!DF98+'2. Consolidated'!DE98+'2. Consolidated'!DC98+'2. Consolidated'!DB98</f>
        <v>3189.2016590370795</v>
      </c>
      <c r="DG224" s="369">
        <f>+'2. Consolidated'!DG98+'2. Consolidated'!DF98+'2. Consolidated'!DE98+'2. Consolidated'!DC98</f>
        <v>3253.6369885300078</v>
      </c>
      <c r="DH224" s="369">
        <f>+'2. Consolidated'!DH98+'2. Consolidated'!DG98+'2. Consolidated'!DF98+'2. Consolidated'!DE98</f>
        <v>3313.8253041814432</v>
      </c>
      <c r="DI224" s="15">
        <f>+'2. Consolidated'!DH98+'2. Consolidated'!DG98+'2. Consolidated'!DF98+'2. Consolidated'!DE98</f>
        <v>3313.8253041814432</v>
      </c>
    </row>
    <row r="225" spans="1:113" s="396" customFormat="1" ht="12" customHeight="1">
      <c r="A225" s="239"/>
      <c r="B225" s="461" t="s">
        <v>243</v>
      </c>
      <c r="C225" s="443" t="s">
        <v>126</v>
      </c>
      <c r="D225" s="267" t="s">
        <v>126</v>
      </c>
      <c r="E225" s="443" t="s">
        <v>126</v>
      </c>
      <c r="F225" s="267" t="s">
        <v>126</v>
      </c>
      <c r="G225" s="443" t="s">
        <v>126</v>
      </c>
      <c r="H225" s="267" t="s">
        <v>126</v>
      </c>
      <c r="I225" s="443" t="s">
        <v>126</v>
      </c>
      <c r="J225" s="267" t="s">
        <v>126</v>
      </c>
      <c r="K225" s="369">
        <f>+'2. Consolidated'!K99</f>
        <v>2011.9000000000003</v>
      </c>
      <c r="L225" s="15">
        <f>+'2. Consolidated'!L99</f>
        <v>2383.8999999999987</v>
      </c>
      <c r="M225" s="369">
        <f>+'2. Consolidated'!M99</f>
        <v>2643.2</v>
      </c>
      <c r="N225" s="15">
        <f>+'2. Consolidated'!N99</f>
        <v>2686.5000000000009</v>
      </c>
      <c r="O225" s="15">
        <f>+'2. Consolidated'!O99</f>
        <v>3081.3000000000006</v>
      </c>
      <c r="P225" s="369">
        <f>+'2. Consolidated'!P99</f>
        <v>3275.2999999999984</v>
      </c>
      <c r="Q225" s="15">
        <f>+'2. Consolidated'!Q99</f>
        <v>3262.9000000000015</v>
      </c>
      <c r="R225" s="369" t="s">
        <v>126</v>
      </c>
      <c r="S225" s="369" t="s">
        <v>126</v>
      </c>
      <c r="T225" s="369" t="s">
        <v>126</v>
      </c>
      <c r="U225" s="369">
        <f>+'2. Consolidated'!U99+'2. Consolidated'!T99+'2. Consolidated'!S99+'2. Consolidated'!R99</f>
        <v>3629</v>
      </c>
      <c r="V225" s="15">
        <f>+'2. Consolidated'!U99+'2. Consolidated'!T99+'2. Consolidated'!S99+'2. Consolidated'!R99</f>
        <v>3629</v>
      </c>
      <c r="W225" s="369">
        <f>+'2. Consolidated'!W99+'2. Consolidated'!U99+'2. Consolidated'!T99+'2. Consolidated'!S99</f>
        <v>3731.25</v>
      </c>
      <c r="X225" s="369">
        <f>+'2. Consolidated'!X99+'2. Consolidated'!W99+'2. Consolidated'!U99+'2. Consolidated'!T99</f>
        <v>3747.5</v>
      </c>
      <c r="Y225" s="369">
        <f>+'2. Consolidated'!Y99+'2. Consolidated'!X99+'2. Consolidated'!W99+'2. Consolidated'!U99</f>
        <v>3812.75</v>
      </c>
      <c r="Z225" s="369">
        <f>+'2. Consolidated'!Z99+'2. Consolidated'!Y99+'2. Consolidated'!X99+'2. Consolidated'!W99</f>
        <v>3790</v>
      </c>
      <c r="AA225" s="15">
        <f>+'2. Consolidated'!Z99+'2. Consolidated'!Y99+'2. Consolidated'!X99+'2. Consolidated'!W99</f>
        <v>3790</v>
      </c>
      <c r="AB225" s="15"/>
      <c r="AC225" s="369">
        <f>+'2. Consolidated'!AC99+'2. Consolidated'!Z99+'2. Consolidated'!Y99+'2. Consolidated'!X99</f>
        <v>3760.75</v>
      </c>
      <c r="AD225" s="369">
        <f>+'2. Consolidated'!AD99+'2. Consolidated'!AC99+'2. Consolidated'!Z99+'2. Consolidated'!Y99</f>
        <v>3876.5</v>
      </c>
      <c r="AE225" s="369">
        <f>+'2. Consolidated'!AE99+'2. Consolidated'!AD99+'2. Consolidated'!AC99+'2. Consolidated'!Z99</f>
        <v>3990.25</v>
      </c>
      <c r="AF225" s="369">
        <f>+'2. Consolidated'!AF99+'2. Consolidated'!AE99+'2. Consolidated'!AD99+'2. Consolidated'!AC99</f>
        <v>4173</v>
      </c>
      <c r="AG225" s="15">
        <f>+'2. Consolidated'!AF99+'2. Consolidated'!AE99+'2. Consolidated'!AD99+'2. Consolidated'!AC99</f>
        <v>4173</v>
      </c>
      <c r="AH225" s="369">
        <f>+'2. Consolidated'!AH99+'2. Consolidated'!AF99+'2. Consolidated'!AE99+'2. Consolidated'!AD99</f>
        <v>4457.75</v>
      </c>
      <c r="AI225" s="369">
        <f>+'2. Consolidated'!AI99+'2. Consolidated'!AH99+'2. Consolidated'!AF99+'2. Consolidated'!AE99</f>
        <v>4500.5</v>
      </c>
      <c r="AJ225" s="369">
        <f>+'2. Consolidated'!AJ99+'2. Consolidated'!AI99+'2. Consolidated'!AH99+'2. Consolidated'!AF99</f>
        <v>4569.25</v>
      </c>
      <c r="AK225" s="369">
        <f>+'2. Consolidated'!AK99+'2. Consolidated'!AJ99+'2. Consolidated'!AI99+'2. Consolidated'!AH99</f>
        <v>4628</v>
      </c>
      <c r="AL225" s="15">
        <f>+'2. Consolidated'!AK99+'2. Consolidated'!AJ99+'2. Consolidated'!AI99+'2. Consolidated'!AH99</f>
        <v>4628</v>
      </c>
      <c r="AM225" s="369">
        <f>+'2. Consolidated'!AM99+'2. Consolidated'!AK99+'2. Consolidated'!AJ99+'2. Consolidated'!AI99</f>
        <v>4860.25</v>
      </c>
      <c r="AN225" s="369">
        <f>+'2. Consolidated'!AN99+'2. Consolidated'!AM99+'2. Consolidated'!AK99+'2. Consolidated'!AJ99</f>
        <v>5016.5</v>
      </c>
      <c r="AO225" s="369">
        <f>+'2. Consolidated'!AO99+'2. Consolidated'!AN99+'2. Consolidated'!AM99+'2. Consolidated'!AK99</f>
        <v>5296.75</v>
      </c>
      <c r="AP225" s="369">
        <f>+'2. Consolidated'!AP99+'2. Consolidated'!AO99+'2. Consolidated'!AN99+'2. Consolidated'!AM99</f>
        <v>5476</v>
      </c>
      <c r="AQ225" s="15">
        <f>+'2. Consolidated'!AP99+'2. Consolidated'!AO99+'2. Consolidated'!AN99+'2. Consolidated'!AM99</f>
        <v>5476</v>
      </c>
      <c r="AR225" s="369">
        <f>+'2. Consolidated'!AR99+'2. Consolidated'!AP99+'2. Consolidated'!AO99+'2. Consolidated'!AN99</f>
        <v>5721.75</v>
      </c>
      <c r="AS225" s="369">
        <f>+'2. Consolidated'!AS99+'2. Consolidated'!AR99+'2. Consolidated'!AP99+'2. Consolidated'!AO99</f>
        <v>5883.5</v>
      </c>
      <c r="AT225" s="369">
        <f>+'2. Consolidated'!AT99+'2. Consolidated'!AS99+'2. Consolidated'!AR99+'2. Consolidated'!AP99</f>
        <v>5913.25</v>
      </c>
      <c r="AU225" s="369">
        <f>+'2. Consolidated'!AU99+'2. Consolidated'!AT99+'2. Consolidated'!AS99+'2. Consolidated'!AR99</f>
        <v>5965</v>
      </c>
      <c r="AV225" s="15">
        <f>+'2. Consolidated'!AU99+'2. Consolidated'!AT99+'2. Consolidated'!AS99+'2. Consolidated'!AR99</f>
        <v>5965</v>
      </c>
      <c r="AW225" s="369">
        <f>+'2. Consolidated'!AW99+'2. Consolidated'!AU99+'2. Consolidated'!AT99+'2. Consolidated'!AS99</f>
        <v>5829.5</v>
      </c>
      <c r="AX225" s="369">
        <f>+'2. Consolidated'!AX99+'2. Consolidated'!AW99+'2. Consolidated'!AU99+'2. Consolidated'!AT99</f>
        <v>6017</v>
      </c>
      <c r="AY225" s="369">
        <f>+'2. Consolidated'!AY99+'2. Consolidated'!AX99+'2. Consolidated'!AW99+'2. Consolidated'!AU99</f>
        <v>6252.5</v>
      </c>
      <c r="AZ225" s="369">
        <f>+'2. Consolidated'!AZ99+'2. Consolidated'!AY99+'2. Consolidated'!AX99+'2. Consolidated'!AW99</f>
        <v>6382</v>
      </c>
      <c r="BA225" s="15">
        <f>+'2. Consolidated'!AZ99+'2. Consolidated'!AY99+'2. Consolidated'!AX99+'2. Consolidated'!AW99</f>
        <v>6382</v>
      </c>
      <c r="BB225" s="369">
        <f>+'2. Consolidated'!BB99+'2. Consolidated'!AZ99+'2. Consolidated'!AY99+'2. Consolidated'!AX99</f>
        <v>6210.25</v>
      </c>
      <c r="BC225" s="369">
        <f>+'2. Consolidated'!BC99+'2. Consolidated'!BB99+'2. Consolidated'!AZ99+'2. Consolidated'!AY99</f>
        <v>6009.5</v>
      </c>
      <c r="BD225" s="369">
        <f>+'2. Consolidated'!BD99+'2. Consolidated'!BC99+'2. Consolidated'!BB99+'2. Consolidated'!AZ99</f>
        <v>5871.75</v>
      </c>
      <c r="BE225" s="369">
        <f>+'2. Consolidated'!BE99+'2. Consolidated'!BD99+'2. Consolidated'!BC99+'2. Consolidated'!BB99</f>
        <v>5946</v>
      </c>
      <c r="BF225" s="15">
        <f>+'2. Consolidated'!BE99+'2. Consolidated'!BD99+'2. Consolidated'!BC99+'2. Consolidated'!BB99</f>
        <v>5946</v>
      </c>
      <c r="BG225" s="369">
        <f>+'2. Consolidated'!BG99+'2. Consolidated'!BE99+'2. Consolidated'!BD99+'2. Consolidated'!BC99</f>
        <v>6140.25</v>
      </c>
      <c r="BH225" s="369">
        <f>+'2. Consolidated'!BH99+'2. Consolidated'!BG99+'2. Consolidated'!BE99+'2. Consolidated'!BD99</f>
        <v>6245.5</v>
      </c>
      <c r="BI225" s="369">
        <f>+'2. Consolidated'!BI99+'2. Consolidated'!BH99+'2. Consolidated'!BG99+'2. Consolidated'!BE99</f>
        <v>6371.75</v>
      </c>
      <c r="BJ225" s="369">
        <f>+'2. Consolidated'!BJ99+'2. Consolidated'!BI99+'2. Consolidated'!BH99+'2. Consolidated'!BG99</f>
        <v>6384</v>
      </c>
      <c r="BK225" s="15">
        <f>+'2. Consolidated'!BJ99+'2. Consolidated'!BI99+'2. Consolidated'!BH99+'2. Consolidated'!BG99</f>
        <v>6384</v>
      </c>
      <c r="BL225" s="369">
        <f>+'2. Consolidated'!BL99+'2. Consolidated'!BJ99+'2. Consolidated'!BI99+'2. Consolidated'!BH99</f>
        <v>6689.25</v>
      </c>
      <c r="BM225" s="369">
        <f>+'2. Consolidated'!BM99+'2. Consolidated'!BL99+'2. Consolidated'!BJ99+'2. Consolidated'!BI99</f>
        <v>6961.5</v>
      </c>
      <c r="BN225" s="369">
        <f>+'2. Consolidated'!BN99+'2. Consolidated'!BM99+'2. Consolidated'!BL99+'2. Consolidated'!BJ99</f>
        <v>6962.75</v>
      </c>
      <c r="BO225" s="369">
        <f>+'2. Consolidated'!BO99+'2. Consolidated'!BN99+'2. Consolidated'!BM99+'2. Consolidated'!BL99</f>
        <v>5003</v>
      </c>
      <c r="BP225" s="15">
        <f>+'2. Consolidated'!BO99+'2. Consolidated'!BN99+'2. Consolidated'!BM99+'2. Consolidated'!BL99</f>
        <v>5003</v>
      </c>
      <c r="BQ225" s="369">
        <f>+'2. Consolidated'!BQ99+'2. Consolidated'!BO99+'2. Consolidated'!BN99+'2. Consolidated'!BM99</f>
        <v>5221.5</v>
      </c>
      <c r="BR225" s="369">
        <f>+'2. Consolidated'!BR99+'2. Consolidated'!BQ99+'2. Consolidated'!BO99+'2. Consolidated'!BN99</f>
        <v>5505</v>
      </c>
      <c r="BS225" s="369">
        <f>+'2. Consolidated'!BS99+'2. Consolidated'!BR99+'2. Consolidated'!BQ99+'2. Consolidated'!BO99</f>
        <v>5931.5</v>
      </c>
      <c r="BT225" s="369">
        <f>+'2. Consolidated'!BT99+'2. Consolidated'!BS99+'2. Consolidated'!BR99+'2. Consolidated'!BQ99</f>
        <v>8603</v>
      </c>
      <c r="BU225" s="15">
        <f>+'2. Consolidated'!BT99+'2. Consolidated'!BS99+'2. Consolidated'!BR99+'2. Consolidated'!BQ99</f>
        <v>8603</v>
      </c>
      <c r="BV225" s="369">
        <f>+'2. Consolidated'!BV99+'2. Consolidated'!BT99+'2. Consolidated'!BS99+'2. Consolidated'!BR99</f>
        <v>8992.75</v>
      </c>
      <c r="BW225" s="369">
        <f>+'2. Consolidated'!BW99+'2. Consolidated'!BV99+'2. Consolidated'!BT99+'2. Consolidated'!BS99</f>
        <v>9024.5</v>
      </c>
      <c r="BX225" s="369">
        <f>+'2. Consolidated'!BX99+'2. Consolidated'!BW99+'2. Consolidated'!BV99+'2. Consolidated'!BT99</f>
        <v>9051.25</v>
      </c>
      <c r="BY225" s="369">
        <f>+'2. Consolidated'!BY99+'2. Consolidated'!BX99+'2. Consolidated'!BW99+'2. Consolidated'!BV99</f>
        <v>8532</v>
      </c>
      <c r="BZ225" s="15">
        <f>+'2. Consolidated'!BY99+'2. Consolidated'!BX99+'2. Consolidated'!BW99+'2. Consolidated'!BV99</f>
        <v>8532</v>
      </c>
      <c r="CA225" s="369">
        <f>+'2. Consolidated'!CA99+'2. Consolidated'!BY99+'2. Consolidated'!BX99+'2. Consolidated'!BW99</f>
        <v>8209.25</v>
      </c>
      <c r="CB225" s="369">
        <f>+'2. Consolidated'!CB99+'2. Consolidated'!CA99+'2. Consolidated'!BY99+'2. Consolidated'!BX99</f>
        <v>8318.5</v>
      </c>
      <c r="CC225" s="369">
        <f>+'2. Consolidated'!CC99+'2. Consolidated'!CB99+'2. Consolidated'!CA99+'2. Consolidated'!BY99</f>
        <v>8066.75</v>
      </c>
      <c r="CD225" s="369">
        <f>+'2. Consolidated'!CD99+'2. Consolidated'!CC99+'2. Consolidated'!CB99+'2. Consolidated'!CA99</f>
        <v>7886</v>
      </c>
      <c r="CE225" s="15">
        <f>+'2. Consolidated'!CD99+'2. Consolidated'!CC99+'2. Consolidated'!CB99+'2. Consolidated'!CA99</f>
        <v>7886</v>
      </c>
      <c r="CF225" s="369">
        <f>+'2. Consolidated'!CF99+'2. Consolidated'!CD99+'2. Consolidated'!CC99+'2. Consolidated'!CB99</f>
        <v>7696.75</v>
      </c>
      <c r="CG225" s="369">
        <f>+'2. Consolidated'!CG99+'2. Consolidated'!CF99+'2. Consolidated'!CD99+'2. Consolidated'!CC99</f>
        <v>7964.5</v>
      </c>
      <c r="CH225" s="369">
        <f>+'2. Consolidated'!CH99+'2. Consolidated'!CG99+'2. Consolidated'!CF99+'2. Consolidated'!CD99</f>
        <v>8298.25</v>
      </c>
      <c r="CI225" s="369">
        <f>+'2. Consolidated'!CI99+'2. Consolidated'!CH99+'2. Consolidated'!CG99+'2. Consolidated'!CF99</f>
        <v>8829</v>
      </c>
      <c r="CJ225" s="15">
        <f>+'2. Consolidated'!CI99+'2. Consolidated'!CH99+'2. Consolidated'!CG99+'2. Consolidated'!CF99</f>
        <v>8829</v>
      </c>
      <c r="CK225" s="369">
        <f>+'2. Consolidated'!CK99+'2. Consolidated'!CI99+'2. Consolidated'!CH99+'2. Consolidated'!CG99</f>
        <v>8487</v>
      </c>
      <c r="CL225" s="369">
        <f>+'2. Consolidated'!CL99+'2. Consolidated'!CK99+'2. Consolidated'!CI99+'2. Consolidated'!CH99</f>
        <v>7989</v>
      </c>
      <c r="CM225" s="369">
        <f>+'2. Consolidated'!CM99+'2. Consolidated'!CL99+'2. Consolidated'!CK99+'2. Consolidated'!CI99</f>
        <v>7062</v>
      </c>
      <c r="CN225" s="369">
        <f>+'2. Consolidated'!CN99+'2. Consolidated'!CM99+'2. Consolidated'!CL99+'2. Consolidated'!CK99</f>
        <v>5648</v>
      </c>
      <c r="CO225" s="15">
        <f>+'2. Consolidated'!CN99+'2. Consolidated'!CM99+'2. Consolidated'!CL99+'2. Consolidated'!CK99</f>
        <v>5648</v>
      </c>
      <c r="CP225" s="369">
        <f>+'2. Consolidated'!CP99+'2. Consolidated'!CN99+'2. Consolidated'!CM99+'2. Consolidated'!CL99</f>
        <v>5302.75</v>
      </c>
      <c r="CQ225" s="369">
        <f>+'2. Consolidated'!CQ99+'2. Consolidated'!CP99+'2. Consolidated'!CN99+'2. Consolidated'!CM99</f>
        <v>4902.5</v>
      </c>
      <c r="CR225" s="369">
        <f>+'2. Consolidated'!CR99+'2. Consolidated'!CQ99+'2. Consolidated'!CP99+'2. Consolidated'!CN99</f>
        <v>4730.1900000000005</v>
      </c>
      <c r="CS225" s="369">
        <f>+'2. Consolidated'!CS99+'2. Consolidated'!CR99+'2. Consolidated'!CQ99+'2. Consolidated'!CP99</f>
        <v>5761.9400000000005</v>
      </c>
      <c r="CT225" s="15">
        <f>+'2. Consolidated'!CS99+'2. Consolidated'!CR99+'2. Consolidated'!CQ99+'2. Consolidated'!CP99</f>
        <v>5761.9400000000005</v>
      </c>
      <c r="CU225" s="369">
        <f>+'2. Consolidated'!CU99+'2. Consolidated'!CS99+'2. Consolidated'!CR99+'2. Consolidated'!CQ99</f>
        <v>5798.34</v>
      </c>
      <c r="CV225" s="369">
        <f>+'2. Consolidated'!CV99+'2. Consolidated'!CU99+'2. Consolidated'!CS99+'2. Consolidated'!CR99</f>
        <v>5552.1494318768437</v>
      </c>
      <c r="CW225" s="369">
        <f>+'2. Consolidated'!CW99+'2. Consolidated'!CV99+'2. Consolidated'!CU99+'2. Consolidated'!CS99</f>
        <v>5496.9566850193187</v>
      </c>
      <c r="CX225" s="369">
        <f>+'2. Consolidated'!CX99+'2. Consolidated'!CW99+'2. Consolidated'!CV99+'2. Consolidated'!CU99</f>
        <v>4481.2079207983625</v>
      </c>
      <c r="CY225" s="15">
        <f>+'2. Consolidated'!CX99+'2. Consolidated'!CW99+'2. Consolidated'!CV99+'2. Consolidated'!CU99</f>
        <v>4481.2079207983625</v>
      </c>
      <c r="CZ225" s="369">
        <f>+'2. Consolidated'!CZ99+'2. Consolidated'!CX99+'2. Consolidated'!CW99+'2. Consolidated'!CV99</f>
        <v>4464.3441831970358</v>
      </c>
      <c r="DA225" s="369">
        <f>+'2. Consolidated'!DA99+'2. Consolidated'!CZ99+'2. Consolidated'!CX99+'2. Consolidated'!CW99</f>
        <v>4408.4408021937015</v>
      </c>
      <c r="DB225" s="369">
        <f>+'2. Consolidated'!DB99+'2. Consolidated'!DA99+'2. Consolidated'!CZ99+'2. Consolidated'!CX99</f>
        <v>4425.7362763240935</v>
      </c>
      <c r="DC225" s="369">
        <f>+'2. Consolidated'!DC99+'2. Consolidated'!DB99+'2. Consolidated'!DA99+'2. Consolidated'!CZ99</f>
        <v>4450.6107235149721</v>
      </c>
      <c r="DD225" s="15">
        <f>+'2. Consolidated'!DC99+'2. Consolidated'!DB99+'2. Consolidated'!DA99+'2. Consolidated'!CZ99</f>
        <v>4450.6107235149721</v>
      </c>
      <c r="DE225" s="369">
        <f>+'2. Consolidated'!DE99+'2. Consolidated'!DC99+'2. Consolidated'!DB99+'2. Consolidated'!DA99</f>
        <v>4547.5805783435144</v>
      </c>
      <c r="DF225" s="369">
        <f>+'2. Consolidated'!DF99+'2. Consolidated'!DE99+'2. Consolidated'!DC99+'2. Consolidated'!DB99</f>
        <v>4645.1946590370799</v>
      </c>
      <c r="DG225" s="369">
        <f>+'2. Consolidated'!DG99+'2. Consolidated'!DF99+'2. Consolidated'!DE99+'2. Consolidated'!DC99</f>
        <v>4744.296488530008</v>
      </c>
      <c r="DH225" s="369">
        <f>+'2. Consolidated'!DH99+'2. Consolidated'!DG99+'2. Consolidated'!DF99+'2. Consolidated'!DE99</f>
        <v>4839.1513041814442</v>
      </c>
      <c r="DI225" s="15">
        <f>+'2. Consolidated'!DH99+'2. Consolidated'!DG99+'2. Consolidated'!DF99+'2. Consolidated'!DE99</f>
        <v>4839.1513041814442</v>
      </c>
    </row>
    <row r="226" spans="1:113" s="396" customFormat="1" ht="12" customHeight="1">
      <c r="A226" s="239"/>
      <c r="B226" s="461" t="s">
        <v>213</v>
      </c>
      <c r="C226" s="369">
        <f>+'2. Consolidated'!C110</f>
        <v>97.179000000000002</v>
      </c>
      <c r="D226" s="15">
        <f>+'2. Consolidated'!D110</f>
        <v>138.03800000000001</v>
      </c>
      <c r="E226" s="369">
        <f>+'2. Consolidated'!E110</f>
        <v>184.5</v>
      </c>
      <c r="F226" s="15">
        <f>+'2. Consolidated'!F110</f>
        <v>198.2</v>
      </c>
      <c r="G226" s="369">
        <f>+'2. Consolidated'!G110</f>
        <v>188</v>
      </c>
      <c r="H226" s="15">
        <f>+'2. Consolidated'!H110</f>
        <v>197.39999999999998</v>
      </c>
      <c r="I226" s="369">
        <f>+'2. Consolidated'!I110</f>
        <v>223.5</v>
      </c>
      <c r="J226" s="15">
        <f>+'2. Consolidated'!J110</f>
        <v>239.3</v>
      </c>
      <c r="K226" s="369">
        <f>+'2. Consolidated'!K110</f>
        <v>255.2</v>
      </c>
      <c r="L226" s="15">
        <f>+'2. Consolidated'!L110</f>
        <v>257.19999999999993</v>
      </c>
      <c r="M226" s="369">
        <f>+'2. Consolidated'!M110</f>
        <v>282</v>
      </c>
      <c r="N226" s="15">
        <f>+'2. Consolidated'!N110</f>
        <v>269.69999999999993</v>
      </c>
      <c r="O226" s="15">
        <f>+'2. Consolidated'!O110</f>
        <v>303.60000000000002</v>
      </c>
      <c r="P226" s="369">
        <f>+'2. Consolidated'!P110</f>
        <v>335</v>
      </c>
      <c r="Q226" s="15">
        <f>+'2. Consolidated'!Q110</f>
        <v>323.7</v>
      </c>
      <c r="R226" s="369" t="s">
        <v>126</v>
      </c>
      <c r="S226" s="369" t="s">
        <v>126</v>
      </c>
      <c r="T226" s="369" t="s">
        <v>126</v>
      </c>
      <c r="U226" s="369">
        <f>+'2. Consolidated'!U110+'2. Consolidated'!T110+'2. Consolidated'!S110+'2. Consolidated'!R110</f>
        <v>335</v>
      </c>
      <c r="V226" s="15">
        <f>+'2. Consolidated'!U110+'2. Consolidated'!T110+'2. Consolidated'!S110+'2. Consolidated'!R110</f>
        <v>335</v>
      </c>
      <c r="W226" s="369">
        <f>+'2. Consolidated'!W110+'2. Consolidated'!U110+'2. Consolidated'!T110+'2. Consolidated'!S110</f>
        <v>343</v>
      </c>
      <c r="X226" s="369">
        <f>+'2. Consolidated'!X110+'2. Consolidated'!W110+'2. Consolidated'!U110+'2. Consolidated'!T110</f>
        <v>352</v>
      </c>
      <c r="Y226" s="369">
        <f>+'2. Consolidated'!Y110+'2. Consolidated'!X110+'2. Consolidated'!W110+'2. Consolidated'!U110</f>
        <v>358</v>
      </c>
      <c r="Z226" s="369">
        <f>+'2. Consolidated'!Z110+'2. Consolidated'!Y110+'2. Consolidated'!X110+'2. Consolidated'!W110</f>
        <v>373</v>
      </c>
      <c r="AA226" s="15">
        <f>+'2. Consolidated'!Z110+'2. Consolidated'!Y110+'2. Consolidated'!X110+'2. Consolidated'!W110</f>
        <v>373</v>
      </c>
      <c r="AB226" s="15"/>
      <c r="AC226" s="369">
        <f>+'2. Consolidated'!AC110+'2. Consolidated'!Z110+'2. Consolidated'!Y110+'2. Consolidated'!X110</f>
        <v>391</v>
      </c>
      <c r="AD226" s="369">
        <f>+'2. Consolidated'!AD110+'2. Consolidated'!AC110+'2. Consolidated'!Z110+'2. Consolidated'!Y110</f>
        <v>406</v>
      </c>
      <c r="AE226" s="369">
        <f>+'2. Consolidated'!AE110+'2. Consolidated'!AD110+'2. Consolidated'!AC110+'2. Consolidated'!Z110</f>
        <v>423</v>
      </c>
      <c r="AF226" s="369">
        <f>+'2. Consolidated'!AF110+'2. Consolidated'!AE110+'2. Consolidated'!AD110+'2. Consolidated'!AC110</f>
        <v>438</v>
      </c>
      <c r="AG226" s="15">
        <f>+'2. Consolidated'!AF110+'2. Consolidated'!AE110+'2. Consolidated'!AD110+'2. Consolidated'!AC110</f>
        <v>438</v>
      </c>
      <c r="AH226" s="369">
        <f>+'2. Consolidated'!AH110+'2. Consolidated'!AF110+'2. Consolidated'!AE110+'2. Consolidated'!AD110</f>
        <v>456</v>
      </c>
      <c r="AI226" s="369">
        <f>+'2. Consolidated'!AI110+'2. Consolidated'!AH110+'2. Consolidated'!AF110+'2. Consolidated'!AE110</f>
        <v>473</v>
      </c>
      <c r="AJ226" s="369">
        <f>+'2. Consolidated'!AJ110+'2. Consolidated'!AI110+'2. Consolidated'!AH110+'2. Consolidated'!AF110</f>
        <v>494</v>
      </c>
      <c r="AK226" s="369">
        <f>+'2. Consolidated'!AK110+'2. Consolidated'!AJ110+'2. Consolidated'!AI110+'2. Consolidated'!AH110</f>
        <v>518</v>
      </c>
      <c r="AL226" s="15">
        <f>+'2. Consolidated'!AK110+'2. Consolidated'!AJ110+'2. Consolidated'!AI110+'2. Consolidated'!AH110</f>
        <v>518</v>
      </c>
      <c r="AM226" s="369">
        <f>+'2. Consolidated'!AM110+'2. Consolidated'!AK110+'2. Consolidated'!AJ110+'2. Consolidated'!AI110</f>
        <v>543</v>
      </c>
      <c r="AN226" s="369">
        <f>+'2. Consolidated'!AN110+'2. Consolidated'!AM110+'2. Consolidated'!AK110+'2. Consolidated'!AJ110</f>
        <v>519</v>
      </c>
      <c r="AO226" s="369">
        <f>+'2. Consolidated'!AO110+'2. Consolidated'!AN110+'2. Consolidated'!AM110+'2. Consolidated'!AK110</f>
        <v>621</v>
      </c>
      <c r="AP226" s="369">
        <f>+'2. Consolidated'!AP110+'2. Consolidated'!AO110+'2. Consolidated'!AN110+'2. Consolidated'!AM110</f>
        <v>649</v>
      </c>
      <c r="AQ226" s="15">
        <f>+'2. Consolidated'!AP110+'2. Consolidated'!AO110+'2. Consolidated'!AN110+'2. Consolidated'!AM110</f>
        <v>649</v>
      </c>
      <c r="AR226" s="369">
        <f>+'2. Consolidated'!AR110+'2. Consolidated'!AP110+'2. Consolidated'!AO110+'2. Consolidated'!AN110</f>
        <v>667</v>
      </c>
      <c r="AS226" s="369">
        <f>+'2. Consolidated'!AS110+'2. Consolidated'!AR110+'2. Consolidated'!AP110+'2. Consolidated'!AO110</f>
        <v>724</v>
      </c>
      <c r="AT226" s="369">
        <f>+'2. Consolidated'!AT110+'2. Consolidated'!AS110+'2. Consolidated'!AR110+'2. Consolidated'!AP110</f>
        <v>649</v>
      </c>
      <c r="AU226" s="369">
        <f>+'2. Consolidated'!AU110+'2. Consolidated'!AT110+'2. Consolidated'!AS110+'2. Consolidated'!AR110</f>
        <v>662</v>
      </c>
      <c r="AV226" s="15">
        <f>+'2. Consolidated'!AU110+'2. Consolidated'!AT110+'2. Consolidated'!AS110+'2. Consolidated'!AR110</f>
        <v>662</v>
      </c>
      <c r="AW226" s="369">
        <f>+'2. Consolidated'!AW110+'2. Consolidated'!AU110+'2. Consolidated'!AT110+'2. Consolidated'!AS110</f>
        <v>670</v>
      </c>
      <c r="AX226" s="369">
        <f>+'2. Consolidated'!AX110+'2. Consolidated'!AW110+'2. Consolidated'!AU110+'2. Consolidated'!AT110</f>
        <v>686</v>
      </c>
      <c r="AY226" s="369">
        <f>+'2. Consolidated'!AY110+'2. Consolidated'!AX110+'2. Consolidated'!AW110+'2. Consolidated'!AU110</f>
        <v>702</v>
      </c>
      <c r="AZ226" s="369">
        <f>+'2. Consolidated'!AZ110+'2. Consolidated'!AY110+'2. Consolidated'!AX110+'2. Consolidated'!AW110</f>
        <v>706</v>
      </c>
      <c r="BA226" s="15">
        <f>+'2. Consolidated'!AZ110+'2. Consolidated'!AY110+'2. Consolidated'!AX110+'2. Consolidated'!AW110</f>
        <v>706</v>
      </c>
      <c r="BB226" s="369">
        <f>+'2. Consolidated'!BB110+'2. Consolidated'!AZ110+'2. Consolidated'!AY110+'2. Consolidated'!AX110</f>
        <v>712</v>
      </c>
      <c r="BC226" s="369">
        <f>+'2. Consolidated'!BC110+'2. Consolidated'!BB110+'2. Consolidated'!AZ110+'2. Consolidated'!AY110</f>
        <v>726</v>
      </c>
      <c r="BD226" s="369">
        <f>+'2. Consolidated'!BD110+'2. Consolidated'!BC110+'2. Consolidated'!BB110+'2. Consolidated'!AZ110</f>
        <v>736</v>
      </c>
      <c r="BE226" s="369">
        <f>+'2. Consolidated'!BE110+'2. Consolidated'!BD110+'2. Consolidated'!BC110+'2. Consolidated'!BB110</f>
        <v>747</v>
      </c>
      <c r="BF226" s="15">
        <f>+'2. Consolidated'!BE110+'2. Consolidated'!BD110+'2. Consolidated'!BC110+'2. Consolidated'!BB110</f>
        <v>747</v>
      </c>
      <c r="BG226" s="369">
        <f>+'2. Consolidated'!BG110+'2. Consolidated'!BE110+'2. Consolidated'!BD110+'2. Consolidated'!BC110</f>
        <v>746</v>
      </c>
      <c r="BH226" s="369">
        <f>+'2. Consolidated'!BH110+'2. Consolidated'!BG110+'2. Consolidated'!BE110+'2. Consolidated'!BD110</f>
        <v>730</v>
      </c>
      <c r="BI226" s="369">
        <f>+'2. Consolidated'!BI110+'2. Consolidated'!BH110+'2. Consolidated'!BG110+'2. Consolidated'!BE110</f>
        <v>723</v>
      </c>
      <c r="BJ226" s="369">
        <f>+'2. Consolidated'!BJ110+'2. Consolidated'!BI110+'2. Consolidated'!BH110+'2. Consolidated'!BG110</f>
        <v>705</v>
      </c>
      <c r="BK226" s="15">
        <f>+'2. Consolidated'!BJ110+'2. Consolidated'!BI110+'2. Consolidated'!BH110+'2. Consolidated'!BG110</f>
        <v>705</v>
      </c>
      <c r="BL226" s="369">
        <f>+'2. Consolidated'!BL110+'2. Consolidated'!BJ110+'2. Consolidated'!BI110+'2. Consolidated'!BH110</f>
        <v>696</v>
      </c>
      <c r="BM226" s="369">
        <f>+'2. Consolidated'!BM110+'2. Consolidated'!BL110+'2. Consolidated'!BJ110+'2. Consolidated'!BI110</f>
        <v>699</v>
      </c>
      <c r="BN226" s="369">
        <f>+'2. Consolidated'!BN110+'2. Consolidated'!BM110+'2. Consolidated'!BL110+'2. Consolidated'!BJ110</f>
        <v>691</v>
      </c>
      <c r="BO226" s="369">
        <f>+'2. Consolidated'!BO110+'2. Consolidated'!BN110+'2. Consolidated'!BM110+'2. Consolidated'!BL110</f>
        <v>721</v>
      </c>
      <c r="BP226" s="15">
        <f>+'2. Consolidated'!BO110+'2. Consolidated'!BN110+'2. Consolidated'!BM110+'2. Consolidated'!BL110</f>
        <v>721</v>
      </c>
      <c r="BQ226" s="369">
        <f>+'2. Consolidated'!BQ110+'2. Consolidated'!BO110+'2. Consolidated'!BN110+'2. Consolidated'!BM110</f>
        <v>728</v>
      </c>
      <c r="BR226" s="369">
        <f>+'2. Consolidated'!BR110+'2. Consolidated'!BQ110+'2. Consolidated'!BO110+'2. Consolidated'!BN110</f>
        <v>739</v>
      </c>
      <c r="BS226" s="369">
        <f>+'2. Consolidated'!BS110+'2. Consolidated'!BR110+'2. Consolidated'!BQ110+'2. Consolidated'!BO110</f>
        <v>751</v>
      </c>
      <c r="BT226" s="369">
        <f>+'2. Consolidated'!BT110+'2. Consolidated'!BS110+'2. Consolidated'!BR110+'2. Consolidated'!BQ110</f>
        <v>744</v>
      </c>
      <c r="BU226" s="15">
        <f>+'2. Consolidated'!BT110+'2. Consolidated'!BS110+'2. Consolidated'!BR110+'2. Consolidated'!BQ110</f>
        <v>744</v>
      </c>
      <c r="BV226" s="369">
        <f>+'2. Consolidated'!BV110+'2. Consolidated'!BT110+'2. Consolidated'!BS110+'2. Consolidated'!BR110</f>
        <v>745</v>
      </c>
      <c r="BW226" s="369">
        <f>+'2. Consolidated'!BW110+'2. Consolidated'!BV110+'2. Consolidated'!BT110+'2. Consolidated'!BS110</f>
        <v>741</v>
      </c>
      <c r="BX226" s="369">
        <f>+'2. Consolidated'!BX110+'2. Consolidated'!BW110+'2. Consolidated'!BV110+'2. Consolidated'!BT110</f>
        <v>739</v>
      </c>
      <c r="BY226" s="369">
        <f>+'2. Consolidated'!BY110+'2. Consolidated'!BX110+'2. Consolidated'!BW110+'2. Consolidated'!BV110</f>
        <v>717</v>
      </c>
      <c r="BZ226" s="15">
        <f>+'2. Consolidated'!BY110+'2. Consolidated'!BX110+'2. Consolidated'!BW110+'2. Consolidated'!BV110</f>
        <v>717</v>
      </c>
      <c r="CA226" s="369">
        <f>+'2. Consolidated'!CA110+'2. Consolidated'!BY110+'2. Consolidated'!BX110+'2. Consolidated'!BW110</f>
        <v>709</v>
      </c>
      <c r="CB226" s="369">
        <f>+'2. Consolidated'!CB110+'2. Consolidated'!CA110+'2. Consolidated'!BY110+'2. Consolidated'!BX110</f>
        <v>701</v>
      </c>
      <c r="CC226" s="369">
        <f>+'2. Consolidated'!CC110+'2. Consolidated'!CB110+'2. Consolidated'!CA110+'2. Consolidated'!BY110</f>
        <v>695</v>
      </c>
      <c r="CD226" s="369">
        <f>+'2. Consolidated'!CD110+'2. Consolidated'!CC110+'2. Consolidated'!CB110+'2. Consolidated'!CA110</f>
        <v>703</v>
      </c>
      <c r="CE226" s="15">
        <f>+'2. Consolidated'!CD110+'2. Consolidated'!CC110+'2. Consolidated'!CB110+'2. Consolidated'!CA110</f>
        <v>703</v>
      </c>
      <c r="CF226" s="369">
        <f>+'2. Consolidated'!CF110+'2. Consolidated'!CD110+'2. Consolidated'!CC110+'2. Consolidated'!CB110</f>
        <v>725</v>
      </c>
      <c r="CG226" s="369">
        <f>+'2. Consolidated'!CG110+'2. Consolidated'!CF110+'2. Consolidated'!CD110+'2. Consolidated'!CC110</f>
        <v>743</v>
      </c>
      <c r="CH226" s="369">
        <f>+'2. Consolidated'!CH110+'2. Consolidated'!CG110+'2. Consolidated'!CF110+'2. Consolidated'!CD110</f>
        <v>776</v>
      </c>
      <c r="CI226" s="369">
        <f>+'2. Consolidated'!CI110+'2. Consolidated'!CH110+'2. Consolidated'!CG110+'2. Consolidated'!CF110</f>
        <v>796</v>
      </c>
      <c r="CJ226" s="15">
        <f>+'2. Consolidated'!CI110+'2. Consolidated'!CH110+'2. Consolidated'!CG110+'2. Consolidated'!CF110</f>
        <v>796</v>
      </c>
      <c r="CK226" s="369">
        <f>+'2. Consolidated'!CK110+'2. Consolidated'!CI110+'2. Consolidated'!CH110+'2. Consolidated'!CG110</f>
        <v>793</v>
      </c>
      <c r="CL226" s="369">
        <f>+'2. Consolidated'!CL110+'2. Consolidated'!CK110+'2. Consolidated'!CI110+'2. Consolidated'!CH110</f>
        <v>792</v>
      </c>
      <c r="CM226" s="369">
        <f>+'2. Consolidated'!CM110+'2. Consolidated'!CL110+'2. Consolidated'!CK110+'2. Consolidated'!CI110</f>
        <v>783</v>
      </c>
      <c r="CN226" s="369">
        <f>+'2. Consolidated'!CN110+'2. Consolidated'!CM110+'2. Consolidated'!CL110+'2. Consolidated'!CK110</f>
        <v>775</v>
      </c>
      <c r="CO226" s="15">
        <f>+'2. Consolidated'!CN110+'2. Consolidated'!CM110+'2. Consolidated'!CL110+'2. Consolidated'!CK110</f>
        <v>775</v>
      </c>
      <c r="CP226" s="369">
        <f>+'2. Consolidated'!CP110+'2. Consolidated'!CN110+'2. Consolidated'!CM110+'2. Consolidated'!CL110</f>
        <v>777</v>
      </c>
      <c r="CQ226" s="369">
        <f>+'2. Consolidated'!CQ110+'2. Consolidated'!CP110+'2. Consolidated'!CN110+'2. Consolidated'!CM110</f>
        <v>766</v>
      </c>
      <c r="CR226" s="369">
        <f>+'2. Consolidated'!CR110+'2. Consolidated'!CQ110+'2. Consolidated'!CP110+'2. Consolidated'!CN110</f>
        <v>771.94</v>
      </c>
      <c r="CS226" s="369">
        <f>+'2. Consolidated'!CS110+'2. Consolidated'!CR110+'2. Consolidated'!CQ110+'2. Consolidated'!CP110</f>
        <v>765.94</v>
      </c>
      <c r="CT226" s="15">
        <f>+'2. Consolidated'!CS110+'2. Consolidated'!CR110+'2. Consolidated'!CQ110+'2. Consolidated'!CP110</f>
        <v>765.94</v>
      </c>
      <c r="CU226" s="369">
        <f>+'2. Consolidated'!CU110+'2. Consolidated'!CS110+'2. Consolidated'!CR110+'2. Consolidated'!CQ110</f>
        <v>770.69</v>
      </c>
      <c r="CV226" s="369">
        <f>+'2. Consolidated'!CV110+'2. Consolidated'!CU110+'2. Consolidated'!CS110+'2. Consolidated'!CR110</f>
        <v>775.16499999999996</v>
      </c>
      <c r="CW226" s="369">
        <f>+'2. Consolidated'!CW110+'2. Consolidated'!CV110+'2. Consolidated'!CU110+'2. Consolidated'!CS110</f>
        <v>780.26349999999991</v>
      </c>
      <c r="CX226" s="369">
        <f>+'2. Consolidated'!CX110+'2. Consolidated'!CW110+'2. Consolidated'!CV110+'2. Consolidated'!CU110</f>
        <v>785.08849999999995</v>
      </c>
      <c r="CY226" s="15">
        <f>+'2. Consolidated'!CX110+'2. Consolidated'!CW110+'2. Consolidated'!CV110+'2. Consolidated'!CU110</f>
        <v>785.08849999999995</v>
      </c>
      <c r="CZ226" s="369">
        <f>+'2. Consolidated'!CZ110+'2. Consolidated'!CX110+'2. Consolidated'!CW110+'2. Consolidated'!CV110</f>
        <v>789.95724999999993</v>
      </c>
      <c r="DA226" s="369">
        <f>+'2. Consolidated'!DA110+'2. Consolidated'!CZ110+'2. Consolidated'!CX110+'2. Consolidated'!CW110</f>
        <v>794.54412500000001</v>
      </c>
      <c r="DB226" s="369">
        <f>+'2. Consolidated'!DB110+'2. Consolidated'!DA110+'2. Consolidated'!CZ110+'2. Consolidated'!CX110</f>
        <v>799.77008749999982</v>
      </c>
      <c r="DC226" s="369">
        <f>+'2. Consolidated'!DC110+'2. Consolidated'!DB110+'2. Consolidated'!DA110+'2. Consolidated'!CZ110</f>
        <v>804.71571249999988</v>
      </c>
      <c r="DD226" s="15">
        <f>+'2. Consolidated'!DC110+'2. Consolidated'!DB110+'2. Consolidated'!DA110+'2. Consolidated'!CZ110</f>
        <v>804.71571249999988</v>
      </c>
      <c r="DE226" s="369">
        <f>+'2. Consolidated'!DE110+'2. Consolidated'!DC110+'2. Consolidated'!DB110+'2. Consolidated'!DA110</f>
        <v>809.70618124999987</v>
      </c>
      <c r="DF226" s="369">
        <f>+'2. Consolidated'!DF110+'2. Consolidated'!DE110+'2. Consolidated'!DC110+'2. Consolidated'!DB110</f>
        <v>814.40772812499984</v>
      </c>
      <c r="DG226" s="369">
        <f>+'2. Consolidated'!DG110+'2. Consolidated'!DF110+'2. Consolidated'!DE110+'2. Consolidated'!DC110</f>
        <v>819.76433968749984</v>
      </c>
      <c r="DH226" s="369">
        <f>+'2. Consolidated'!DH110+'2. Consolidated'!DG110+'2. Consolidated'!DF110+'2. Consolidated'!DE110</f>
        <v>824.8336053124998</v>
      </c>
      <c r="DI226" s="15">
        <f>+'2. Consolidated'!DH110+'2. Consolidated'!DG110+'2. Consolidated'!DF110+'2. Consolidated'!DE110</f>
        <v>824.8336053124998</v>
      </c>
    </row>
    <row r="227" spans="1:113" s="4" customFormat="1" ht="12" customHeight="1">
      <c r="A227" s="219"/>
      <c r="B227" s="462" t="s">
        <v>214</v>
      </c>
      <c r="C227" s="24">
        <f>+'2. Consolidated'!C110/(C194)</f>
        <v>9.2754162669835508E-2</v>
      </c>
      <c r="D227" s="25">
        <f>+'2. Consolidated'!D110/(D194)</f>
        <v>9.6818018905177425E-2</v>
      </c>
      <c r="E227" s="24">
        <f>+'2. Consolidated'!E110/(E194)</f>
        <v>0.10139591118927237</v>
      </c>
      <c r="F227" s="25">
        <f>+'2. Consolidated'!F110/(F194)</f>
        <v>9.9035626842552335E-2</v>
      </c>
      <c r="G227" s="24">
        <f>+'2. Consolidated'!G110/(G194)</f>
        <v>7.8536218564625282E-2</v>
      </c>
      <c r="H227" s="25">
        <f>+'2. Consolidated'!H110/(H194)</f>
        <v>7.7326856784706979E-2</v>
      </c>
      <c r="I227" s="24">
        <f>+'2. Consolidated'!I110/(I194)</f>
        <v>8.151876572929205E-2</v>
      </c>
      <c r="J227" s="25">
        <f>+'2. Consolidated'!J110/(J194)</f>
        <v>8.0065578158458245E-2</v>
      </c>
      <c r="K227" s="24">
        <f>+'2. Consolidated'!K110/(K194)</f>
        <v>8.1473677489384791E-2</v>
      </c>
      <c r="L227" s="25">
        <f>+'2. Consolidated'!L110/(L194)</f>
        <v>8.0900855561147442E-2</v>
      </c>
      <c r="M227" s="24">
        <f>+'2. Consolidated'!M110/(M194)</f>
        <v>8.2739195493354456E-2</v>
      </c>
      <c r="N227" s="25">
        <f>+'2. Consolidated'!N110/(N194)</f>
        <v>7.4521289823436754E-2</v>
      </c>
      <c r="O227" s="25">
        <f>+'2. Consolidated'!O110/(O194)</f>
        <v>7.3994638069705104E-2</v>
      </c>
      <c r="P227" s="24">
        <f>+'2. Consolidated'!P110/(P194)</f>
        <v>7.8717954743050503E-2</v>
      </c>
      <c r="Q227" s="25">
        <f>+'2. Consolidated'!Q110/(Q194)</f>
        <v>7.3739122511276137E-2</v>
      </c>
      <c r="R227" s="463" t="s">
        <v>126</v>
      </c>
      <c r="S227" s="463" t="s">
        <v>126</v>
      </c>
      <c r="T227" s="463" t="s">
        <v>126</v>
      </c>
      <c r="U227" s="24">
        <f>+'2. Consolidated'!U110*4/(U194)</f>
        <v>7.0118222584590301E-2</v>
      </c>
      <c r="V227" s="25">
        <f>+'2. Consolidated'!V110/(V194)</f>
        <v>6.8283734203016713E-2</v>
      </c>
      <c r="W227" s="24">
        <f>+'2. Consolidated'!W110*4/(W194)</f>
        <v>6.8539549711097825E-2</v>
      </c>
      <c r="X227" s="24">
        <f>+'2. Consolidated'!X110*4/(X194)</f>
        <v>7.1262587141750586E-2</v>
      </c>
      <c r="Y227" s="24">
        <f>+'2. Consolidated'!Y110*4/(Y194)</f>
        <v>7.1158213474640422E-2</v>
      </c>
      <c r="Z227" s="24">
        <f>+'2. Consolidated'!Z110*4/(Z194)</f>
        <v>7.4223773654234798E-2</v>
      </c>
      <c r="AA227" s="25">
        <f>+'2. Consolidated'!AA110/(AA194)</f>
        <v>6.8528385081756391E-2</v>
      </c>
      <c r="AB227" s="464"/>
      <c r="AC227" s="24">
        <f>+'2. Consolidated'!AC110*4/(AC194)</f>
        <v>8.0557707203718049E-2</v>
      </c>
      <c r="AD227" s="24">
        <f>+'2. Consolidated'!AD110*4/(AD194)</f>
        <v>8.064820048991897E-2</v>
      </c>
      <c r="AE227" s="24">
        <f>+'2. Consolidated'!AE110*4/(AE194)</f>
        <v>9.5034246575342471E-2</v>
      </c>
      <c r="AF227" s="24">
        <f>+'2. Consolidated'!AF110*4/(AF194)</f>
        <v>8.4363636363636363E-2</v>
      </c>
      <c r="AG227" s="25">
        <f>+'2. Consolidated'!AG110/(AG194)</f>
        <v>7.963636363636363E-2</v>
      </c>
      <c r="AH227" s="24">
        <f>+'2. Consolidated'!AH110*4/(AH194)</f>
        <v>8.5855031667839546E-2</v>
      </c>
      <c r="AI227" s="24">
        <f>+'2. Consolidated'!AI110*4/(AI194)</f>
        <v>8.4110564693912163E-2</v>
      </c>
      <c r="AJ227" s="24">
        <f>+'2. Consolidated'!AJ110*4/(AJ194)</f>
        <v>8.6942203194467313E-2</v>
      </c>
      <c r="AK227" s="24">
        <f>+'2. Consolidated'!AK110*4/(AK194)</f>
        <v>9.0032154340836015E-2</v>
      </c>
      <c r="AL227" s="25">
        <f>+'2. Consolidated'!AL110/(AL194)</f>
        <v>8.3279742765273307E-2</v>
      </c>
      <c r="AM227" s="24">
        <f>+'2. Consolidated'!AM110*4/(AM194)</f>
        <v>9.0712742980561561E-2</v>
      </c>
      <c r="AN227" s="24">
        <f>+'2. Consolidated'!AN110*4/(AN194)</f>
        <v>6.2015503875968991E-2</v>
      </c>
      <c r="AO227" s="24">
        <f>+'2. Consolidated'!AO110*4/(AO194)</f>
        <v>0.14622715200749883</v>
      </c>
      <c r="AP227" s="24">
        <f>+'2. Consolidated'!AP110*4/(AP194)</f>
        <v>0.10508209538702111</v>
      </c>
      <c r="AQ227" s="25">
        <f>+'2. Consolidated'!AQ110/(AQ194)</f>
        <v>0.10217254408060453</v>
      </c>
      <c r="AR227" s="24">
        <f>+'2. Consolidated'!AR110*4/(AR194)</f>
        <v>9.8817188201826625E-2</v>
      </c>
      <c r="AS227" s="24">
        <f>+'2. Consolidated'!AS110*4/(AS194)</f>
        <v>9.0139227788144108E-2</v>
      </c>
      <c r="AT227" s="24">
        <f>+'2. Consolidated'!AT110*4/(AT194)</f>
        <v>8.7687853302081897E-2</v>
      </c>
      <c r="AU227" s="24">
        <f>+'2. Consolidated'!AU110*4/(AU194)</f>
        <v>0.10287013356067065</v>
      </c>
      <c r="AV227" s="25">
        <f>+'2. Consolidated'!AV110/(AV194)</f>
        <v>9.4060812730889454E-2</v>
      </c>
      <c r="AW227" s="24">
        <f>+'2. Consolidated'!AW110*4/(AW194)</f>
        <v>9.4600136705399865E-2</v>
      </c>
      <c r="AX227" s="24">
        <f>+'2. Consolidated'!AX110*4/(AX194)</f>
        <v>9.1801538869726723E-2</v>
      </c>
      <c r="AY227" s="24">
        <f>+'2. Consolidated'!AY110*4/(AY194)</f>
        <v>8.9732085630047434E-2</v>
      </c>
      <c r="AZ227" s="24">
        <f>+'2. Consolidated'!AZ110*4/(AZ194)</f>
        <v>9.2988187986931384E-2</v>
      </c>
      <c r="BA227" s="25">
        <f>+'2. Consolidated'!BA110/(BA194)</f>
        <v>8.8715757728072386E-2</v>
      </c>
      <c r="BB227" s="24">
        <f>+'2. Consolidated'!BB110*4/(BB194)</f>
        <v>8.7019931939718034E-2</v>
      </c>
      <c r="BC227" s="24">
        <f>+'2. Consolidated'!BC110*4/(BC194)</f>
        <v>8.8468361916026014E-2</v>
      </c>
      <c r="BD227" s="24">
        <f>+'2. Consolidated'!BD110*4/(BD194)</f>
        <v>8.3890715338397009E-2</v>
      </c>
      <c r="BE227" s="24">
        <f>+'2. Consolidated'!BE110*4/(BE194)</f>
        <v>8.8179057473849964E-2</v>
      </c>
      <c r="BF227" s="25">
        <f>+'2. Consolidated'!BF110/(BF194)</f>
        <v>8.4017545832864693E-2</v>
      </c>
      <c r="BG227" s="24">
        <f>+'2. Consolidated'!BG110*4/(BG194)</f>
        <v>7.7106346112194066E-2</v>
      </c>
      <c r="BH227" s="24">
        <f>+'2. Consolidated'!BH110*4/(BH194)</f>
        <v>7.1871388042450357E-2</v>
      </c>
      <c r="BI227" s="24">
        <f>+'2. Consolidated'!BI110*4/(BI194)</f>
        <v>7.3160706946157006E-2</v>
      </c>
      <c r="BJ227" s="24">
        <f>+'2. Consolidated'!BJ110*4/(BJ194)</f>
        <v>7.5192734185236032E-2</v>
      </c>
      <c r="BK227" s="25">
        <f>+'2. Consolidated'!BK110/(BK194)</f>
        <v>7.4453479776111525E-2</v>
      </c>
      <c r="BL227" s="24">
        <f>+'2. Consolidated'!BL110*4/(BL194)</f>
        <v>6.9312006562083459E-2</v>
      </c>
      <c r="BM227" s="24">
        <f>+'2. Consolidated'!BM110*4/(BM194)</f>
        <v>6.9662696426784104E-2</v>
      </c>
      <c r="BN227" s="24">
        <f>+'2. Consolidated'!BN110*4/(BN194)</f>
        <v>6.6432200078155534E-2</v>
      </c>
      <c r="BO227" s="24">
        <f>+'2. Consolidated'!BO110*4/(BO194)</f>
        <v>8.6119449332367246E-2</v>
      </c>
      <c r="BP227" s="25">
        <f>+'2. Consolidated'!BP110/(BP194)</f>
        <v>7.462995549114998E-2</v>
      </c>
      <c r="BQ227" s="24">
        <f>+'2. Consolidated'!BQ110*4/(BQ194)</f>
        <v>7.1566534512554639E-2</v>
      </c>
      <c r="BR227" s="24">
        <f>+'2. Consolidated'!BR110*4/(BR194)</f>
        <v>7.3963018490754623E-2</v>
      </c>
      <c r="BS227" s="24">
        <f>+'2. Consolidated'!BS110*4/(BS194)</f>
        <v>7.2814562912582523E-2</v>
      </c>
      <c r="BT227" s="24">
        <f>+'2. Consolidated'!BT110*4/(BT194)</f>
        <v>7.8939617083946978E-2</v>
      </c>
      <c r="BU227" s="25">
        <f>+'2. Consolidated'!BU110/(BU194)</f>
        <v>7.3048600883652434E-2</v>
      </c>
      <c r="BV227" s="24">
        <f>+'2. Consolidated'!BV110*4/(BV194)</f>
        <v>6.8280451345356347E-2</v>
      </c>
      <c r="BW227" s="24">
        <f>+'2. Consolidated'!BW110*4/(BW194)</f>
        <v>6.864511235422395E-2</v>
      </c>
      <c r="BX227" s="24">
        <f>+'2. Consolidated'!BX110*4/(BX194)</f>
        <v>6.7039106145251395E-2</v>
      </c>
      <c r="BY227" s="24">
        <f>+'2. Consolidated'!BY110*4/(BY194)</f>
        <v>6.5429955222516684E-2</v>
      </c>
      <c r="BZ227" s="25">
        <f>+'2. Consolidated'!BZ110/(BZ194)</f>
        <v>6.5521337841542543E-2</v>
      </c>
      <c r="CA227" s="24">
        <f>+'2. Consolidated'!CA110*4/(CA194)</f>
        <v>6.0319443205139642E-2</v>
      </c>
      <c r="CB227" s="24">
        <f>+'2. Consolidated'!CB110*4/(CB194)</f>
        <v>6.0473652014331906E-2</v>
      </c>
      <c r="CC227" s="24">
        <f>+'2. Consolidated'!CC110*4/(CC194)</f>
        <v>5.977840762690028E-2</v>
      </c>
      <c r="CD227" s="24">
        <f>+'2. Consolidated'!CD110*4/(CD194)</f>
        <v>6.2793821356615181E-2</v>
      </c>
      <c r="CE227" s="25">
        <f>+'2. Consolidated'!CE110/(CE194)</f>
        <v>5.9016118200134318E-2</v>
      </c>
      <c r="CF227" s="24">
        <f>+'2. Consolidated'!CF110*4/(CF194)</f>
        <v>6.2803123715577475E-2</v>
      </c>
      <c r="CG227" s="24">
        <f>+'2. Consolidated'!CG110*4/(CG194)</f>
        <v>6.1762328213419565E-2</v>
      </c>
      <c r="CH227" s="24">
        <f>+'2. Consolidated'!CH110*4/(CH194)</f>
        <v>6.6181760051154989E-2</v>
      </c>
      <c r="CI227" s="24">
        <f>+'2. Consolidated'!CI110*4/(CI194)</f>
        <v>6.5073876139578754E-2</v>
      </c>
      <c r="CJ227" s="25">
        <f>+'2. Consolidated'!CJ110/(CJ194)</f>
        <v>6.2558943728387301E-2</v>
      </c>
      <c r="CK227" s="24">
        <f>+'2. Consolidated'!CK110*4/(CK194)</f>
        <v>5.854873871068203E-2</v>
      </c>
      <c r="CL227" s="24">
        <f>+'2. Consolidated'!CL110*4/(CL194)</f>
        <v>5.858321128497649E-2</v>
      </c>
      <c r="CM227" s="24">
        <f>+'2. Consolidated'!CM110*4/(CM194)</f>
        <v>6.0671058679332007E-2</v>
      </c>
      <c r="CN227" s="24">
        <f>+'2. Consolidated'!CN110*4/(CN194)</f>
        <v>6.0513912117986922E-2</v>
      </c>
      <c r="CO227" s="25">
        <f>+'2. Consolidated'!CO110/(CO194)</f>
        <v>5.8917439562110388E-2</v>
      </c>
      <c r="CP227" s="24">
        <f>+'2. Consolidated'!CP110*4/(CP194)</f>
        <v>5.6881969912431704E-2</v>
      </c>
      <c r="CQ227" s="24">
        <f>+'2. Consolidated'!CQ110*4/(CQ194)</f>
        <v>5.28257341006345E-2</v>
      </c>
      <c r="CR227" s="24">
        <f>+'2. Consolidated'!CR110*4/(CR194)</f>
        <v>5.9828382838283831E-2</v>
      </c>
      <c r="CS227" s="24">
        <f>+'2. Consolidated'!CS110*4/(CS194)</f>
        <v>5.6051695345966747E-2</v>
      </c>
      <c r="CT227" s="25">
        <f>+'2. Consolidated'!CT110/(CT194)</f>
        <v>5.5611704058665508E-2</v>
      </c>
      <c r="CU227" s="24">
        <f>+'2. Consolidated'!CU110*4/(CU194)</f>
        <v>5.5722460658082965E-2</v>
      </c>
      <c r="CV227" s="24">
        <f>+'2. Consolidated'!CV110*4/(CV194)</f>
        <v>5.130373995106606E-2</v>
      </c>
      <c r="CW227" s="24">
        <f>+'2. Consolidated'!CW110*4/(CW194)</f>
        <v>5.8122758237175026E-2</v>
      </c>
      <c r="CX227" s="24">
        <f>+'2. Consolidated'!CX110*4/(CX194)</f>
        <v>5.4482236298540342E-2</v>
      </c>
      <c r="CY227" s="25">
        <f>+'2. Consolidated'!CY110/(CY194)</f>
        <v>5.4054564858165781E-2</v>
      </c>
      <c r="CZ227" s="24">
        <f>+'2. Consolidated'!CZ110*4/(CZ194)</f>
        <v>5.4203720046161141E-2</v>
      </c>
      <c r="DA227" s="24">
        <f>+'2. Consolidated'!DA110*4/(DA194)</f>
        <v>4.9963303666312429E-2</v>
      </c>
      <c r="DB227" s="24">
        <f>+'2. Consolidated'!DB110*4/(DB194)</f>
        <v>5.6620060117592644E-2</v>
      </c>
      <c r="DC227" s="24">
        <f>+'2. Consolidated'!DC110*4/(DC194)</f>
        <v>5.3098690671031089E-2</v>
      </c>
      <c r="DD227" s="25">
        <f>+'2. Consolidated'!DD110/(DD194)</f>
        <v>5.2681879705400975E-2</v>
      </c>
      <c r="DE227" s="24">
        <f>+'2. Consolidated'!DE110*4/(DE194)</f>
        <v>5.2863769215863568E-2</v>
      </c>
      <c r="DF227" s="24">
        <f>+'2. Consolidated'!DF110*4/(DF194)</f>
        <v>4.8779255235022453E-2</v>
      </c>
      <c r="DG227" s="24">
        <f>+'2. Consolidated'!DG110*4/(DG194)</f>
        <v>5.5292314718655575E-2</v>
      </c>
      <c r="DH227" s="24">
        <f>+'2. Consolidated'!DH110*4/(DH194)</f>
        <v>5.1875674684887046E-2</v>
      </c>
      <c r="DI227" s="25">
        <f>+'2. Consolidated'!DI110/(DI194)</f>
        <v>5.146846407790464E-2</v>
      </c>
    </row>
    <row r="228" spans="1:113" s="4" customFormat="1" ht="12" customHeight="1">
      <c r="A228" s="219"/>
      <c r="B228" s="462" t="s">
        <v>281</v>
      </c>
      <c r="C228" s="24">
        <f t="shared" ref="C228:Q228" si="593">+C187/C222</f>
        <v>0.20803631797546604</v>
      </c>
      <c r="D228" s="25">
        <f t="shared" si="593"/>
        <v>0.19094644892924309</v>
      </c>
      <c r="E228" s="24">
        <f t="shared" si="593"/>
        <v>0.17527294804827756</v>
      </c>
      <c r="F228" s="25">
        <f t="shared" si="593"/>
        <v>0.17547197757750455</v>
      </c>
      <c r="G228" s="24">
        <f t="shared" si="593"/>
        <v>0.1742281909039366</v>
      </c>
      <c r="H228" s="25">
        <f t="shared" si="593"/>
        <v>0.17087513700362536</v>
      </c>
      <c r="I228" s="24">
        <f t="shared" si="593"/>
        <v>0.18266451025977964</v>
      </c>
      <c r="J228" s="25">
        <f t="shared" si="593"/>
        <v>0.19641955688510795</v>
      </c>
      <c r="K228" s="24">
        <f t="shared" si="593"/>
        <v>0.17303376288449451</v>
      </c>
      <c r="L228" s="25">
        <f t="shared" si="593"/>
        <v>0.16463969373421544</v>
      </c>
      <c r="M228" s="24">
        <f t="shared" si="593"/>
        <v>0.16020835980180409</v>
      </c>
      <c r="N228" s="25">
        <f t="shared" si="593"/>
        <v>0.15280627714245459</v>
      </c>
      <c r="O228" s="25">
        <f t="shared" si="593"/>
        <v>0.15006710688785097</v>
      </c>
      <c r="P228" s="24">
        <f t="shared" si="593"/>
        <v>0.15039032962906954</v>
      </c>
      <c r="Q228" s="25">
        <f t="shared" si="593"/>
        <v>0.1393709897969917</v>
      </c>
      <c r="R228" s="463" t="s">
        <v>126</v>
      </c>
      <c r="S228" s="463" t="s">
        <v>126</v>
      </c>
      <c r="T228" s="463" t="s">
        <v>126</v>
      </c>
      <c r="U228" s="24">
        <f t="shared" ref="U228:AA229" si="594">+U187/U222</f>
        <v>0.15041702617198735</v>
      </c>
      <c r="V228" s="25">
        <f t="shared" si="594"/>
        <v>0.15041702617198735</v>
      </c>
      <c r="W228" s="24">
        <f t="shared" si="594"/>
        <v>0.15063395810363836</v>
      </c>
      <c r="X228" s="24">
        <f t="shared" si="594"/>
        <v>0.13695546630180519</v>
      </c>
      <c r="Y228" s="24">
        <f t="shared" si="594"/>
        <v>0.14071038251366119</v>
      </c>
      <c r="Z228" s="24">
        <f t="shared" si="594"/>
        <v>0.12980769230769232</v>
      </c>
      <c r="AA228" s="25">
        <f t="shared" si="594"/>
        <v>0.13594164456233421</v>
      </c>
      <c r="AB228" s="464"/>
      <c r="AC228" s="24">
        <f t="shared" ref="AC228:BH228" si="595">+AC187/AC222</f>
        <v>0.1399208841401248</v>
      </c>
      <c r="AD228" s="24">
        <f t="shared" si="595"/>
        <v>0.12883410790058597</v>
      </c>
      <c r="AE228" s="24">
        <f t="shared" si="595"/>
        <v>0.12883680140317308</v>
      </c>
      <c r="AF228" s="24">
        <f t="shared" si="595"/>
        <v>0.12313830837909374</v>
      </c>
      <c r="AG228" s="25">
        <f t="shared" si="595"/>
        <v>0.12313830837909374</v>
      </c>
      <c r="AH228" s="24">
        <f t="shared" si="595"/>
        <v>0.12425416505230531</v>
      </c>
      <c r="AI228" s="24">
        <f t="shared" si="595"/>
        <v>0.12204215171574222</v>
      </c>
      <c r="AJ228" s="24">
        <f t="shared" si="595"/>
        <v>0.12393336042259244</v>
      </c>
      <c r="AK228" s="24">
        <f t="shared" si="595"/>
        <v>0.12352962336774705</v>
      </c>
      <c r="AL228" s="25">
        <f t="shared" si="595"/>
        <v>0.12352962336774705</v>
      </c>
      <c r="AM228" s="24">
        <f t="shared" si="595"/>
        <v>0.12450538007636237</v>
      </c>
      <c r="AN228" s="24">
        <f t="shared" si="595"/>
        <v>0.11616653785409456</v>
      </c>
      <c r="AO228" s="24">
        <f t="shared" si="595"/>
        <v>0.10890336231692399</v>
      </c>
      <c r="AP228" s="24">
        <f t="shared" si="595"/>
        <v>0.10973497598117708</v>
      </c>
      <c r="AQ228" s="25">
        <f t="shared" si="595"/>
        <v>0.10973497598117708</v>
      </c>
      <c r="AR228" s="24">
        <f t="shared" si="595"/>
        <v>0.10595172880482068</v>
      </c>
      <c r="AS228" s="24">
        <f t="shared" si="595"/>
        <v>0.10967165512620058</v>
      </c>
      <c r="AT228" s="24">
        <f t="shared" si="595"/>
        <v>0.1055435429789101</v>
      </c>
      <c r="AU228" s="24">
        <f t="shared" si="595"/>
        <v>0.10010501606127996</v>
      </c>
      <c r="AV228" s="25">
        <f t="shared" si="595"/>
        <v>0.10010501606127996</v>
      </c>
      <c r="AW228" s="24">
        <f t="shared" si="595"/>
        <v>0.10677406655967053</v>
      </c>
      <c r="AX228" s="24">
        <f t="shared" si="595"/>
        <v>0.10376823701405256</v>
      </c>
      <c r="AY228" s="24">
        <f t="shared" si="595"/>
        <v>0.11062299142023174</v>
      </c>
      <c r="AZ228" s="24">
        <f t="shared" si="595"/>
        <v>0.10704512372634643</v>
      </c>
      <c r="BA228" s="25">
        <f t="shared" si="595"/>
        <v>0.10704512372634643</v>
      </c>
      <c r="BB228" s="24">
        <f t="shared" si="595"/>
        <v>0.11266334875869495</v>
      </c>
      <c r="BC228" s="24">
        <f t="shared" si="595"/>
        <v>0.10402211153657905</v>
      </c>
      <c r="BD228" s="24">
        <f t="shared" si="595"/>
        <v>0.10746776250531387</v>
      </c>
      <c r="BE228" s="24">
        <f t="shared" si="595"/>
        <v>9.6106821990823418E-2</v>
      </c>
      <c r="BF228" s="25">
        <f t="shared" si="595"/>
        <v>9.6106821990823418E-2</v>
      </c>
      <c r="BG228" s="24">
        <f t="shared" si="595"/>
        <v>0.11616364855801475</v>
      </c>
      <c r="BH228" s="24">
        <f t="shared" si="595"/>
        <v>0.11408321302008137</v>
      </c>
      <c r="BI228" s="24">
        <f t="shared" ref="BI228:CO228" si="596">+BI187/BI222</f>
        <v>0.11747843603119673</v>
      </c>
      <c r="BJ228" s="24">
        <f t="shared" si="596"/>
        <v>0.10921082905130762</v>
      </c>
      <c r="BK228" s="25">
        <f t="shared" si="596"/>
        <v>0.10921082905130762</v>
      </c>
      <c r="BL228" s="24">
        <f t="shared" si="596"/>
        <v>0.1168997464159281</v>
      </c>
      <c r="BM228" s="24">
        <f t="shared" si="596"/>
        <v>0.11750570118437507</v>
      </c>
      <c r="BN228" s="24">
        <f t="shared" si="596"/>
        <v>0.10837331007413868</v>
      </c>
      <c r="BO228" s="24">
        <f t="shared" si="596"/>
        <v>7.349677833328877E-2</v>
      </c>
      <c r="BP228" s="25">
        <f t="shared" si="596"/>
        <v>7.349677833328877E-2</v>
      </c>
      <c r="BQ228" s="24">
        <f t="shared" si="596"/>
        <v>0.10212389854567855</v>
      </c>
      <c r="BR228" s="24">
        <f t="shared" si="596"/>
        <v>9.7061745176974953E-2</v>
      </c>
      <c r="BS228" s="24">
        <f t="shared" si="596"/>
        <v>9.528137741189914E-2</v>
      </c>
      <c r="BT228" s="24">
        <f t="shared" si="596"/>
        <v>0.10020656518029548</v>
      </c>
      <c r="BU228" s="25">
        <f t="shared" si="596"/>
        <v>0.10020656518029548</v>
      </c>
      <c r="BV228" s="24">
        <f t="shared" si="596"/>
        <v>9.3977312088673368E-2</v>
      </c>
      <c r="BW228" s="24">
        <f t="shared" si="596"/>
        <v>8.0896644063404313E-2</v>
      </c>
      <c r="BX228" s="24">
        <f t="shared" si="596"/>
        <v>8.1738573259290903E-2</v>
      </c>
      <c r="BY228" s="24">
        <f t="shared" si="596"/>
        <v>9.9914365232284308E-2</v>
      </c>
      <c r="BZ228" s="25">
        <f t="shared" si="596"/>
        <v>9.9914365232284308E-2</v>
      </c>
      <c r="CA228" s="24">
        <f t="shared" si="596"/>
        <v>0.10519841354005387</v>
      </c>
      <c r="CB228" s="24">
        <f t="shared" si="596"/>
        <v>0.11071741299611053</v>
      </c>
      <c r="CC228" s="24">
        <f t="shared" si="596"/>
        <v>8.9143918144826764E-2</v>
      </c>
      <c r="CD228" s="24">
        <f t="shared" si="596"/>
        <v>8.0656813167502978E-2</v>
      </c>
      <c r="CE228" s="25">
        <f t="shared" si="596"/>
        <v>8.0656813167502978E-2</v>
      </c>
      <c r="CF228" s="24">
        <f t="shared" si="596"/>
        <v>9.2269132876100182E-2</v>
      </c>
      <c r="CG228" s="24">
        <f t="shared" si="596"/>
        <v>9.2778704745644328E-2</v>
      </c>
      <c r="CH228" s="24">
        <f t="shared" si="596"/>
        <v>8.7745487679571937E-2</v>
      </c>
      <c r="CI228" s="24">
        <f t="shared" si="596"/>
        <v>8.6192126474825742E-2</v>
      </c>
      <c r="CJ228" s="25">
        <f t="shared" si="596"/>
        <v>8.6192126474825742E-2</v>
      </c>
      <c r="CK228" s="24">
        <f t="shared" si="596"/>
        <v>9.5257138286811163E-2</v>
      </c>
      <c r="CL228" s="24">
        <f t="shared" si="596"/>
        <v>0.10825268487892523</v>
      </c>
      <c r="CM228" s="24">
        <f t="shared" si="596"/>
        <v>9.3918608055543931E-2</v>
      </c>
      <c r="CN228" s="24">
        <f t="shared" si="596"/>
        <v>0.10185924982184888</v>
      </c>
      <c r="CO228" s="25">
        <f t="shared" si="596"/>
        <v>0.10185924982184888</v>
      </c>
      <c r="CP228" s="24">
        <f t="shared" ref="CP228:CS228" si="597">+CP187/CP222</f>
        <v>0.10684754521963824</v>
      </c>
      <c r="CQ228" s="24">
        <f t="shared" si="597"/>
        <v>0.12336336078085697</v>
      </c>
      <c r="CR228" s="24">
        <f t="shared" si="597"/>
        <v>0.11540528340820669</v>
      </c>
      <c r="CS228" s="24">
        <f t="shared" si="597"/>
        <v>0.12782878572352258</v>
      </c>
      <c r="CT228" s="25">
        <f>+CT187/CT222</f>
        <v>0.12782878572352258</v>
      </c>
      <c r="CU228" s="24">
        <f t="shared" ref="CU228" si="598">+CU187/CU222</f>
        <v>0.11422719051665904</v>
      </c>
      <c r="CV228" s="26">
        <f>CQ228</f>
        <v>0.12336336078085697</v>
      </c>
      <c r="CW228" s="26">
        <f>CR228</f>
        <v>0.11540528340820669</v>
      </c>
      <c r="CX228" s="26">
        <f>CS228</f>
        <v>0.12782878572352258</v>
      </c>
      <c r="CY228" s="25">
        <f>+CY187/CY222</f>
        <v>0.12782878572352258</v>
      </c>
      <c r="CZ228" s="26">
        <f>CU228</f>
        <v>0.11422719051665904</v>
      </c>
      <c r="DA228" s="26">
        <f>CV228</f>
        <v>0.12336336078085697</v>
      </c>
      <c r="DB228" s="26">
        <f>CW228</f>
        <v>0.11540528340820669</v>
      </c>
      <c r="DC228" s="26">
        <f>CX228</f>
        <v>0.12782878572352258</v>
      </c>
      <c r="DD228" s="25">
        <f>+DD187/DD222</f>
        <v>0.12782878572352258</v>
      </c>
      <c r="DE228" s="26">
        <f>CZ228</f>
        <v>0.11422719051665904</v>
      </c>
      <c r="DF228" s="26">
        <f>DA228</f>
        <v>0.12336336078085697</v>
      </c>
      <c r="DG228" s="26">
        <f>DB228</f>
        <v>0.11540528340820669</v>
      </c>
      <c r="DH228" s="26">
        <f>DC228</f>
        <v>0.12782878572352258</v>
      </c>
      <c r="DI228" s="25">
        <f>+DI187/DI222</f>
        <v>0.12782878572352258</v>
      </c>
    </row>
    <row r="229" spans="1:113" s="4" customFormat="1" ht="12" customHeight="1">
      <c r="A229" s="219"/>
      <c r="B229" s="462" t="s">
        <v>280</v>
      </c>
      <c r="C229" s="24">
        <f t="shared" ref="C229:Q229" si="599">+C188/C223</f>
        <v>0.23834439198248361</v>
      </c>
      <c r="D229" s="25">
        <f t="shared" si="599"/>
        <v>0.24325671502762225</v>
      </c>
      <c r="E229" s="24">
        <f t="shared" si="599"/>
        <v>0.2302568668183467</v>
      </c>
      <c r="F229" s="25">
        <f t="shared" si="599"/>
        <v>0.21831255119686901</v>
      </c>
      <c r="G229" s="24">
        <f t="shared" si="599"/>
        <v>0.2675894740737999</v>
      </c>
      <c r="H229" s="25">
        <f t="shared" si="599"/>
        <v>0.24617538764715033</v>
      </c>
      <c r="I229" s="24">
        <f t="shared" si="599"/>
        <v>0.22878744983096574</v>
      </c>
      <c r="J229" s="25">
        <f t="shared" si="599"/>
        <v>0.23994234668018247</v>
      </c>
      <c r="K229" s="24">
        <f t="shared" si="599"/>
        <v>0.23332476361870483</v>
      </c>
      <c r="L229" s="25">
        <f t="shared" si="599"/>
        <v>0.23754311871253753</v>
      </c>
      <c r="M229" s="24">
        <f t="shared" si="599"/>
        <v>0.24817457187585892</v>
      </c>
      <c r="N229" s="25">
        <f t="shared" si="599"/>
        <v>0.23151199074781245</v>
      </c>
      <c r="O229" s="25">
        <f t="shared" si="599"/>
        <v>0.23813430212117662</v>
      </c>
      <c r="P229" s="24">
        <f t="shared" si="599"/>
        <v>0.22295373497166962</v>
      </c>
      <c r="Q229" s="25">
        <f t="shared" si="599"/>
        <v>0.19983159708623799</v>
      </c>
      <c r="R229" s="463" t="s">
        <v>126</v>
      </c>
      <c r="S229" s="463" t="s">
        <v>126</v>
      </c>
      <c r="T229" s="463" t="s">
        <v>126</v>
      </c>
      <c r="U229" s="24">
        <f t="shared" si="594"/>
        <v>0.23912277611414479</v>
      </c>
      <c r="V229" s="25">
        <f t="shared" si="594"/>
        <v>0.23912277611414479</v>
      </c>
      <c r="W229" s="24">
        <f t="shared" si="594"/>
        <v>0.25889509207566036</v>
      </c>
      <c r="X229" s="24">
        <f t="shared" si="594"/>
        <v>0.25045515712815641</v>
      </c>
      <c r="Y229" s="24">
        <f t="shared" si="594"/>
        <v>0.25489898222694818</v>
      </c>
      <c r="Z229" s="24">
        <f t="shared" si="594"/>
        <v>0.23592296990554296</v>
      </c>
      <c r="AA229" s="25">
        <f t="shared" si="594"/>
        <v>0.2452954528813063</v>
      </c>
      <c r="AB229" s="464"/>
      <c r="AC229" s="24">
        <f t="shared" ref="AC229:BH229" si="600">+AC188/AC223</f>
        <v>-0.24513115343154868</v>
      </c>
      <c r="AD229" s="24">
        <f t="shared" si="600"/>
        <v>-0.23600540578988549</v>
      </c>
      <c r="AE229" s="24">
        <f t="shared" si="600"/>
        <v>-0.23402460456942004</v>
      </c>
      <c r="AF229" s="24">
        <f t="shared" si="600"/>
        <v>-0.24049303172491071</v>
      </c>
      <c r="AG229" s="25">
        <f t="shared" si="600"/>
        <v>0.24049303172491071</v>
      </c>
      <c r="AH229" s="24">
        <f t="shared" si="600"/>
        <v>0.23991155334438916</v>
      </c>
      <c r="AI229" s="24">
        <f t="shared" si="600"/>
        <v>0.25218400218400217</v>
      </c>
      <c r="AJ229" s="24">
        <f t="shared" si="600"/>
        <v>0.25381552753815528</v>
      </c>
      <c r="AK229" s="24">
        <f t="shared" si="600"/>
        <v>0.25708330619422914</v>
      </c>
      <c r="AL229" s="25">
        <f t="shared" si="600"/>
        <v>0.25708330619422914</v>
      </c>
      <c r="AM229" s="24">
        <f t="shared" si="600"/>
        <v>0.25546751188589539</v>
      </c>
      <c r="AN229" s="24">
        <f t="shared" si="600"/>
        <v>0.25580965296184427</v>
      </c>
      <c r="AO229" s="24">
        <f t="shared" si="600"/>
        <v>0.25909201855015868</v>
      </c>
      <c r="AP229" s="24">
        <f t="shared" si="600"/>
        <v>0.26230797145276402</v>
      </c>
      <c r="AQ229" s="25">
        <f t="shared" si="600"/>
        <v>0.26230797145276402</v>
      </c>
      <c r="AR229" s="24">
        <f t="shared" si="600"/>
        <v>0.26443805415768035</v>
      </c>
      <c r="AS229" s="24">
        <f t="shared" si="600"/>
        <v>0.2734189253447456</v>
      </c>
      <c r="AT229" s="24">
        <f t="shared" si="600"/>
        <v>0.26790404482577485</v>
      </c>
      <c r="AU229" s="24">
        <f t="shared" si="600"/>
        <v>0.27796610169491526</v>
      </c>
      <c r="AV229" s="25">
        <f t="shared" si="600"/>
        <v>0.27796610169491526</v>
      </c>
      <c r="AW229" s="24">
        <f t="shared" si="600"/>
        <v>0.27315331399241238</v>
      </c>
      <c r="AX229" s="24">
        <f t="shared" si="600"/>
        <v>0.27498224334808502</v>
      </c>
      <c r="AY229" s="24">
        <f t="shared" si="600"/>
        <v>0.26456388799485031</v>
      </c>
      <c r="AZ229" s="24">
        <f t="shared" si="600"/>
        <v>0.26552158840214307</v>
      </c>
      <c r="BA229" s="25">
        <f t="shared" si="600"/>
        <v>0.26552158840214307</v>
      </c>
      <c r="BB229" s="24">
        <f t="shared" si="600"/>
        <v>0.27129321116201582</v>
      </c>
      <c r="BC229" s="24">
        <f t="shared" si="600"/>
        <v>0.2728483606557377</v>
      </c>
      <c r="BD229" s="24">
        <f t="shared" si="600"/>
        <v>0.26986521826594245</v>
      </c>
      <c r="BE229" s="24">
        <f t="shared" si="600"/>
        <v>0.25737488381194656</v>
      </c>
      <c r="BF229" s="25">
        <f t="shared" si="600"/>
        <v>0.25737488381194656</v>
      </c>
      <c r="BG229" s="24">
        <f t="shared" si="600"/>
        <v>0.25028730128327908</v>
      </c>
      <c r="BH229" s="24">
        <f t="shared" si="600"/>
        <v>0.25323118860741645</v>
      </c>
      <c r="BI229" s="24">
        <f t="shared" ref="BI229:CO229" si="601">+BI188/BI223</f>
        <v>0.25182532669860019</v>
      </c>
      <c r="BJ229" s="24">
        <f t="shared" si="601"/>
        <v>0.2597606616457977</v>
      </c>
      <c r="BK229" s="25">
        <f t="shared" si="601"/>
        <v>0.2597606616457977</v>
      </c>
      <c r="BL229" s="24">
        <f t="shared" si="601"/>
        <v>0.26666971345002516</v>
      </c>
      <c r="BM229" s="24">
        <f t="shared" si="601"/>
        <v>0.27681521836206124</v>
      </c>
      <c r="BN229" s="24">
        <f t="shared" si="601"/>
        <v>0.25521909198786974</v>
      </c>
      <c r="BO229" s="24">
        <f t="shared" si="601"/>
        <v>0.34812399584160286</v>
      </c>
      <c r="BP229" s="25">
        <f t="shared" si="601"/>
        <v>0.34812399584160286</v>
      </c>
      <c r="BQ229" s="24">
        <f t="shared" si="601"/>
        <v>0.31588617732968999</v>
      </c>
      <c r="BR229" s="24">
        <f t="shared" si="601"/>
        <v>0.27884615384615385</v>
      </c>
      <c r="BS229" s="24">
        <f t="shared" si="601"/>
        <v>0.30635785233670526</v>
      </c>
      <c r="BT229" s="24">
        <f t="shared" si="601"/>
        <v>0.27888997395833331</v>
      </c>
      <c r="BU229" s="25">
        <f t="shared" si="601"/>
        <v>0.27888997395833331</v>
      </c>
      <c r="BV229" s="24">
        <f t="shared" si="601"/>
        <v>0.26504451038575666</v>
      </c>
      <c r="BW229" s="24">
        <f t="shared" si="601"/>
        <v>0.26000079926467651</v>
      </c>
      <c r="BX229" s="24">
        <f t="shared" si="601"/>
        <v>0.30568899122632898</v>
      </c>
      <c r="BY229" s="24">
        <f t="shared" si="601"/>
        <v>0.33371645991042764</v>
      </c>
      <c r="BZ229" s="25">
        <f t="shared" si="601"/>
        <v>0.33371645991042764</v>
      </c>
      <c r="CA229" s="24">
        <f t="shared" si="601"/>
        <v>0.37520872975806763</v>
      </c>
      <c r="CB229" s="24">
        <f t="shared" si="601"/>
        <v>0.34272904340156557</v>
      </c>
      <c r="CC229" s="24">
        <f t="shared" si="601"/>
        <v>0.31326954196862028</v>
      </c>
      <c r="CD229" s="24">
        <f t="shared" si="601"/>
        <v>0.29227312013828866</v>
      </c>
      <c r="CE229" s="25">
        <f t="shared" si="601"/>
        <v>0.29227312013828866</v>
      </c>
      <c r="CF229" s="24">
        <f t="shared" si="601"/>
        <v>0.29918822234452391</v>
      </c>
      <c r="CG229" s="24">
        <f t="shared" si="601"/>
        <v>0.27623333910334086</v>
      </c>
      <c r="CH229" s="24">
        <f t="shared" si="601"/>
        <v>0.2694802929891873</v>
      </c>
      <c r="CI229" s="24">
        <f t="shared" si="601"/>
        <v>0.26465101545176162</v>
      </c>
      <c r="CJ229" s="25">
        <f t="shared" si="601"/>
        <v>0.26465101545176162</v>
      </c>
      <c r="CK229" s="24">
        <f t="shared" si="601"/>
        <v>0.29984740590030518</v>
      </c>
      <c r="CL229" s="24">
        <f t="shared" si="601"/>
        <v>0.29480644208037826</v>
      </c>
      <c r="CM229" s="24">
        <f t="shared" si="601"/>
        <v>0.28065668974759883</v>
      </c>
      <c r="CN229" s="24">
        <f t="shared" si="601"/>
        <v>0.28240129718315171</v>
      </c>
      <c r="CO229" s="25">
        <f t="shared" si="601"/>
        <v>0.28240129718315171</v>
      </c>
      <c r="CP229" s="24">
        <f t="shared" ref="CP229:CS229" si="602">+CP188/CP223</f>
        <v>0.30091974484497847</v>
      </c>
      <c r="CQ229" s="24">
        <f t="shared" si="602"/>
        <v>0.28216646579745081</v>
      </c>
      <c r="CR229" s="24">
        <f t="shared" si="602"/>
        <v>0.27189860546194072</v>
      </c>
      <c r="CS229" s="24">
        <f t="shared" si="602"/>
        <v>0.2831955298825839</v>
      </c>
      <c r="CT229" s="25">
        <f>+CT188/CT223</f>
        <v>0.2831955298825839</v>
      </c>
      <c r="CU229" s="24">
        <f t="shared" ref="CU229" si="603">+CU188/CU223</f>
        <v>0.30032535885167466</v>
      </c>
      <c r="CV229" s="26">
        <f>CQ229+0.005</f>
        <v>0.28716646579745081</v>
      </c>
      <c r="CW229" s="26">
        <f>CR229+0.005</f>
        <v>0.27689860546194073</v>
      </c>
      <c r="CX229" s="26">
        <f>CS229+0.005</f>
        <v>0.2881955298825839</v>
      </c>
      <c r="CY229" s="25">
        <f>+CY188/CY223</f>
        <v>0.2881955298825839</v>
      </c>
      <c r="CZ229" s="26">
        <f>CU229+0.005</f>
        <v>0.30532535885167467</v>
      </c>
      <c r="DA229" s="26">
        <f>CV229+0.005</f>
        <v>0.29216646579745081</v>
      </c>
      <c r="DB229" s="26">
        <f>CW229+0.005</f>
        <v>0.28189860546194073</v>
      </c>
      <c r="DC229" s="26">
        <f>CX229+0.005</f>
        <v>0.29319552988258391</v>
      </c>
      <c r="DD229" s="25">
        <f>+DD188/DD223</f>
        <v>0.29319552988258391</v>
      </c>
      <c r="DE229" s="26">
        <f>CZ229+0.005</f>
        <v>0.31032535885167467</v>
      </c>
      <c r="DF229" s="26">
        <f>DA229+0.005</f>
        <v>0.29716646579745082</v>
      </c>
      <c r="DG229" s="26">
        <f>DB229+0.005</f>
        <v>0.28689860546194074</v>
      </c>
      <c r="DH229" s="26">
        <f>DC229+0.005</f>
        <v>0.29819552988258391</v>
      </c>
      <c r="DI229" s="25">
        <f>+DI188/DI223</f>
        <v>0.29819552988258391</v>
      </c>
    </row>
    <row r="230" spans="1:113" s="4" customFormat="1" ht="12" customHeight="1">
      <c r="A230" s="219"/>
      <c r="B230" s="462" t="s">
        <v>282</v>
      </c>
      <c r="C230" s="24">
        <f t="shared" ref="C230:Q230" si="604">+C205/C223</f>
        <v>0.1164739146082187</v>
      </c>
      <c r="D230" s="25">
        <f t="shared" si="604"/>
        <v>0.12486314265709586</v>
      </c>
      <c r="E230" s="24">
        <f t="shared" si="604"/>
        <v>9.6382761235862438E-2</v>
      </c>
      <c r="F230" s="25">
        <f t="shared" si="604"/>
        <v>6.7934832074269591E-2</v>
      </c>
      <c r="G230" s="24">
        <f t="shared" si="604"/>
        <v>0.1006328879677264</v>
      </c>
      <c r="H230" s="25">
        <f t="shared" si="604"/>
        <v>7.4677176787844218E-2</v>
      </c>
      <c r="I230" s="24">
        <f t="shared" si="604"/>
        <v>8.4000865988309151E-2</v>
      </c>
      <c r="J230" s="25">
        <f t="shared" si="604"/>
        <v>9.07089457678662E-2</v>
      </c>
      <c r="K230" s="24">
        <f t="shared" si="604"/>
        <v>0.10909246722084155</v>
      </c>
      <c r="L230" s="25">
        <f t="shared" si="604"/>
        <v>0.11068557113439922</v>
      </c>
      <c r="M230" s="24">
        <f t="shared" si="604"/>
        <v>0.11379199082207006</v>
      </c>
      <c r="N230" s="25">
        <f t="shared" si="604"/>
        <v>0.11350295677220852</v>
      </c>
      <c r="O230" s="25">
        <f t="shared" si="604"/>
        <v>0.12574709949607404</v>
      </c>
      <c r="P230" s="24">
        <f t="shared" si="604"/>
        <v>9.7609655968292713E-2</v>
      </c>
      <c r="Q230" s="25">
        <f t="shared" si="604"/>
        <v>0.12287538184381611</v>
      </c>
      <c r="R230" s="463" t="s">
        <v>126</v>
      </c>
      <c r="S230" s="463" t="s">
        <v>126</v>
      </c>
      <c r="T230" s="463" t="s">
        <v>126</v>
      </c>
      <c r="U230" s="24">
        <f t="shared" ref="U230:AA230" si="605">+U205/U223</f>
        <v>0.12938171569490928</v>
      </c>
      <c r="V230" s="25">
        <f t="shared" si="605"/>
        <v>0.12938171569490928</v>
      </c>
      <c r="W230" s="24">
        <f t="shared" si="605"/>
        <v>0.11840679943338055</v>
      </c>
      <c r="X230" s="24">
        <f t="shared" si="605"/>
        <v>0.1116916013615135</v>
      </c>
      <c r="Y230" s="24">
        <f t="shared" si="605"/>
        <v>9.8587270241531216E-2</v>
      </c>
      <c r="Z230" s="24">
        <f t="shared" si="605"/>
        <v>0.11334846598813796</v>
      </c>
      <c r="AA230" s="25">
        <f t="shared" si="605"/>
        <v>0.11627736691806399</v>
      </c>
      <c r="AB230" s="464"/>
      <c r="AC230" s="24">
        <f t="shared" ref="AC230:BH230" si="606">+AC205/AC223</f>
        <v>-0.11146245059288537</v>
      </c>
      <c r="AD230" s="24">
        <f t="shared" si="606"/>
        <v>-0.10804466889536951</v>
      </c>
      <c r="AE230" s="24">
        <f t="shared" si="606"/>
        <v>-8.7240773286467482E-2</v>
      </c>
      <c r="AF230" s="24">
        <f t="shared" si="606"/>
        <v>-0.11527417886406612</v>
      </c>
      <c r="AG230" s="25">
        <f t="shared" si="606"/>
        <v>0.11527417886406612</v>
      </c>
      <c r="AH230" s="24">
        <f t="shared" si="606"/>
        <v>0.10772526257600884</v>
      </c>
      <c r="AI230" s="24">
        <f t="shared" si="606"/>
        <v>0.11001911001911002</v>
      </c>
      <c r="AJ230" s="24">
        <f t="shared" si="606"/>
        <v>0.10119442601194426</v>
      </c>
      <c r="AK230" s="24">
        <f t="shared" si="606"/>
        <v>0.12570833061942291</v>
      </c>
      <c r="AL230" s="25">
        <f t="shared" si="606"/>
        <v>0.12570833061942291</v>
      </c>
      <c r="AM230" s="24">
        <f t="shared" si="606"/>
        <v>0.12488114104595879</v>
      </c>
      <c r="AN230" s="24">
        <f t="shared" si="606"/>
        <v>0.12784318560069038</v>
      </c>
      <c r="AO230" s="24">
        <f t="shared" si="606"/>
        <v>0.11111789113985843</v>
      </c>
      <c r="AP230" s="24">
        <f t="shared" si="606"/>
        <v>0.12888593201887022</v>
      </c>
      <c r="AQ230" s="25">
        <f t="shared" si="606"/>
        <v>0.12888593201887022</v>
      </c>
      <c r="AR230" s="24">
        <f t="shared" si="606"/>
        <v>0.11580397795351066</v>
      </c>
      <c r="AS230" s="24">
        <f t="shared" si="606"/>
        <v>0.11382548739895387</v>
      </c>
      <c r="AT230" s="24">
        <f t="shared" si="606"/>
        <v>0.10004085682600829</v>
      </c>
      <c r="AU230" s="24">
        <f t="shared" si="606"/>
        <v>0.12588336684860671</v>
      </c>
      <c r="AV230" s="25">
        <f t="shared" si="606"/>
        <v>0.12588336684860671</v>
      </c>
      <c r="AW230" s="24">
        <f t="shared" si="606"/>
        <v>0.11649185449676412</v>
      </c>
      <c r="AX230" s="24">
        <f t="shared" si="606"/>
        <v>0.11107468720974703</v>
      </c>
      <c r="AY230" s="24">
        <f t="shared" si="606"/>
        <v>0.10395880270357258</v>
      </c>
      <c r="AZ230" s="24">
        <f t="shared" si="606"/>
        <v>0.10757432503414224</v>
      </c>
      <c r="BA230" s="25">
        <f t="shared" si="606"/>
        <v>0.10757432503414224</v>
      </c>
      <c r="BB230" s="24">
        <f t="shared" si="606"/>
        <v>0.11016243231986672</v>
      </c>
      <c r="BC230" s="24">
        <f t="shared" si="606"/>
        <v>0.10968237704918032</v>
      </c>
      <c r="BD230" s="24">
        <f t="shared" si="606"/>
        <v>9.8622007644337151E-2</v>
      </c>
      <c r="BE230" s="24">
        <f t="shared" si="606"/>
        <v>0.11149160999951079</v>
      </c>
      <c r="BF230" s="25">
        <f t="shared" si="606"/>
        <v>0.11149160999951079</v>
      </c>
      <c r="BG230" s="24">
        <f t="shared" si="606"/>
        <v>0.11171231564834323</v>
      </c>
      <c r="BH230" s="24">
        <f t="shared" si="606"/>
        <v>0.12097570146167223</v>
      </c>
      <c r="BI230" s="24">
        <f t="shared" ref="BI230:CO230" si="607">+BI205/BI223</f>
        <v>0.10728735525275543</v>
      </c>
      <c r="BJ230" s="24">
        <f t="shared" si="607"/>
        <v>0.12068567204176871</v>
      </c>
      <c r="BK230" s="25">
        <f t="shared" si="607"/>
        <v>0.12068567204176871</v>
      </c>
      <c r="BL230" s="24">
        <f t="shared" si="607"/>
        <v>0.12412595402403911</v>
      </c>
      <c r="BM230" s="24">
        <f t="shared" si="607"/>
        <v>0.11730820755559525</v>
      </c>
      <c r="BN230" s="24">
        <f t="shared" si="607"/>
        <v>9.7613501516283563E-2</v>
      </c>
      <c r="BO230" s="24">
        <f t="shared" si="607"/>
        <v>0.10622814478782723</v>
      </c>
      <c r="BP230" s="25">
        <f t="shared" si="607"/>
        <v>0.10622814478782723</v>
      </c>
      <c r="BQ230" s="24">
        <f t="shared" si="607"/>
        <v>9.3423160275134268E-2</v>
      </c>
      <c r="BR230" s="24">
        <f t="shared" si="607"/>
        <v>9.8626373626373623E-2</v>
      </c>
      <c r="BS230" s="24">
        <f t="shared" si="607"/>
        <v>0.10330937886208633</v>
      </c>
      <c r="BT230" s="24">
        <f t="shared" si="607"/>
        <v>0.11539713541666667</v>
      </c>
      <c r="BU230" s="25">
        <f t="shared" si="607"/>
        <v>0.11539713541666667</v>
      </c>
      <c r="BV230" s="24">
        <f t="shared" si="607"/>
        <v>8.4470820969337293E-2</v>
      </c>
      <c r="BW230" s="24">
        <f t="shared" si="607"/>
        <v>0.1116972385405427</v>
      </c>
      <c r="BX230" s="24">
        <f t="shared" si="607"/>
        <v>0.10996863710349755</v>
      </c>
      <c r="BY230" s="24">
        <f t="shared" si="607"/>
        <v>0.13309024612579762</v>
      </c>
      <c r="BZ230" s="25">
        <f t="shared" si="607"/>
        <v>0.13309024612579762</v>
      </c>
      <c r="CA230" s="24">
        <f t="shared" si="607"/>
        <v>0.13090753757135645</v>
      </c>
      <c r="CB230" s="24">
        <f t="shared" si="607"/>
        <v>0.10326706111499026</v>
      </c>
      <c r="CC230" s="24">
        <f t="shared" si="607"/>
        <v>9.4103989305565322E-2</v>
      </c>
      <c r="CD230" s="24">
        <f t="shared" si="607"/>
        <v>9.8945548833189276E-2</v>
      </c>
      <c r="CE230" s="25">
        <f t="shared" si="607"/>
        <v>9.8945548833189276E-2</v>
      </c>
      <c r="CF230" s="24">
        <f t="shared" si="607"/>
        <v>9.4179966978536048E-2</v>
      </c>
      <c r="CG230" s="24">
        <f t="shared" si="607"/>
        <v>9.3785701921412501E-2</v>
      </c>
      <c r="CH230" s="24">
        <f t="shared" si="607"/>
        <v>8.1618416463201948E-2</v>
      </c>
      <c r="CI230" s="24">
        <f t="shared" si="607"/>
        <v>0.10034845658371758</v>
      </c>
      <c r="CJ230" s="25">
        <f t="shared" si="607"/>
        <v>0.10034845658371758</v>
      </c>
      <c r="CK230" s="24">
        <f t="shared" si="607"/>
        <v>0.12196628397035314</v>
      </c>
      <c r="CL230" s="24">
        <f t="shared" si="607"/>
        <v>0.12023492907801418</v>
      </c>
      <c r="CM230" s="24">
        <f t="shared" si="607"/>
        <v>0.11562802471893381</v>
      </c>
      <c r="CN230" s="24">
        <f t="shared" si="607"/>
        <v>0.13118895885968551</v>
      </c>
      <c r="CO230" s="25">
        <f t="shared" si="607"/>
        <v>0.13118895885968551</v>
      </c>
      <c r="CP230" s="24">
        <f t="shared" ref="CP230:CS230" si="608">+CP205/CP223</f>
        <v>0.13989022400237353</v>
      </c>
      <c r="CQ230" s="24">
        <f t="shared" si="608"/>
        <v>0.13575106825901173</v>
      </c>
      <c r="CR230" s="24">
        <f t="shared" si="608"/>
        <v>0.10488088320743753</v>
      </c>
      <c r="CS230" s="24">
        <f t="shared" si="608"/>
        <v>0.13591573224600748</v>
      </c>
      <c r="CT230" s="25">
        <f>+CT205/CT223</f>
        <v>0.13591573224600748</v>
      </c>
      <c r="CU230" s="24">
        <f t="shared" ref="CU230" si="609">+CU205/CU223</f>
        <v>0.13090909090909092</v>
      </c>
      <c r="CV230" s="26">
        <f>+CQ230</f>
        <v>0.13575106825901173</v>
      </c>
      <c r="CW230" s="26">
        <f>+CR230</f>
        <v>0.10488088320743753</v>
      </c>
      <c r="CX230" s="26">
        <f>+CS230</f>
        <v>0.13591573224600748</v>
      </c>
      <c r="CY230" s="25">
        <f>+CY205/CY223</f>
        <v>0.13591573224600748</v>
      </c>
      <c r="CZ230" s="26">
        <f>+CU230</f>
        <v>0.13090909090909092</v>
      </c>
      <c r="DA230" s="26">
        <f>+CV230</f>
        <v>0.13575106825901173</v>
      </c>
      <c r="DB230" s="26">
        <f>+CW230</f>
        <v>0.10488088320743753</v>
      </c>
      <c r="DC230" s="26">
        <f>+CX230</f>
        <v>0.13591573224600748</v>
      </c>
      <c r="DD230" s="25">
        <f>+DD205/DD223</f>
        <v>0.13591573224600748</v>
      </c>
      <c r="DE230" s="26">
        <f>+CZ230</f>
        <v>0.13090909090909092</v>
      </c>
      <c r="DF230" s="26">
        <f>+DA230</f>
        <v>0.13575106825901173</v>
      </c>
      <c r="DG230" s="26">
        <f>+DB230</f>
        <v>0.10488088320743753</v>
      </c>
      <c r="DH230" s="26">
        <f>+DC230</f>
        <v>0.13591573224600748</v>
      </c>
      <c r="DI230" s="25">
        <f>+DI205/DI223</f>
        <v>0.13591573224600748</v>
      </c>
    </row>
    <row r="231" spans="1:113" s="4" customFormat="1" ht="12" customHeight="1">
      <c r="A231" s="219"/>
      <c r="B231" s="462" t="s">
        <v>283</v>
      </c>
      <c r="C231" s="24">
        <f>-'2. Consolidated'!C124/'2. Consolidated'!C57</f>
        <v>3.3443446344054863E-2</v>
      </c>
      <c r="D231" s="25">
        <f>-'2. Consolidated'!D124/'2. Consolidated'!D57</f>
        <v>5.071550885485817E-2</v>
      </c>
      <c r="E231" s="24">
        <f>-'2. Consolidated'!E124/'2. Consolidated'!E57</f>
        <v>5.2956631878657193E-2</v>
      </c>
      <c r="F231" s="25">
        <f>-'2. Consolidated'!F124/'2. Consolidated'!F57</f>
        <v>4.3762604108512113E-2</v>
      </c>
      <c r="G231" s="24">
        <f>-'2. Consolidated'!G124/'2. Consolidated'!G57</f>
        <v>4.6680970750742068E-2</v>
      </c>
      <c r="H231" s="25">
        <f>-'2. Consolidated'!H124/'2. Consolidated'!H57</f>
        <v>3.3471039541354025E-2</v>
      </c>
      <c r="I231" s="24">
        <f>-'2. Consolidated'!I124/'2. Consolidated'!I57</f>
        <v>2.858586879611847E-2</v>
      </c>
      <c r="J231" s="25">
        <f>-'2. Consolidated'!J124/'2. Consolidated'!J57</f>
        <v>1.7378704309619519E-2</v>
      </c>
      <c r="K231" s="24">
        <f>-'2. Consolidated'!K124/'2. Consolidated'!K57</f>
        <v>1.753025764908472E-2</v>
      </c>
      <c r="L231" s="25">
        <f>-'2. Consolidated'!L124/'2. Consolidated'!L57</f>
        <v>1.8712198956309094E-2</v>
      </c>
      <c r="M231" s="24">
        <f>-'2. Consolidated'!M124/'2. Consolidated'!M57</f>
        <v>2.2313756695130024E-2</v>
      </c>
      <c r="N231" s="25">
        <f>-'2. Consolidated'!N124/'2. Consolidated'!N57</f>
        <v>1.9202616701070076E-2</v>
      </c>
      <c r="O231" s="25">
        <f>-'2. Consolidated'!O124/'2. Consolidated'!O57</f>
        <v>2.4115531218124226E-2</v>
      </c>
      <c r="P231" s="24">
        <f>-'2. Consolidated'!P124/'2. Consolidated'!P57</f>
        <v>2.3763956174613191E-2</v>
      </c>
      <c r="Q231" s="25">
        <f>-'2. Consolidated'!Q124/'2. Consolidated'!Q57</f>
        <v>1.7623856106027139E-2</v>
      </c>
      <c r="R231" s="24">
        <f>-'2. Consolidated'!R124/'2. Consolidated'!R57</f>
        <v>1.7198067632850242E-2</v>
      </c>
      <c r="S231" s="24">
        <f>-'2. Consolidated'!S124/'2. Consolidated'!S57</f>
        <v>2.1065675340768277E-2</v>
      </c>
      <c r="T231" s="24">
        <f>-'2. Consolidated'!T124/'2. Consolidated'!T57</f>
        <v>2.1854695806261076E-2</v>
      </c>
      <c r="U231" s="24">
        <f>-'2. Consolidated'!U124/'2. Consolidated'!U57</f>
        <v>2.2372528616024973E-2</v>
      </c>
      <c r="V231" s="25">
        <f>-'2. Consolidated'!V124/'2. Consolidated'!V57</f>
        <v>2.0659572428338605E-2</v>
      </c>
      <c r="W231" s="24">
        <f>-'2. Consolidated'!W124/'2. Consolidated'!W57</f>
        <v>1.8582469988488736E-2</v>
      </c>
      <c r="X231" s="24">
        <f>-'2. Consolidated'!X124/'2. Consolidated'!X57</f>
        <v>2.5300994590821847E-2</v>
      </c>
      <c r="Y231" s="24">
        <f>-'2. Consolidated'!Y124/'2. Consolidated'!Y57</f>
        <v>2.0526855969893943E-2</v>
      </c>
      <c r="Z231" s="24">
        <f>-'2. Consolidated'!Z124/'2. Consolidated'!Z57</f>
        <v>3.3539412673879443E-2</v>
      </c>
      <c r="AA231" s="25">
        <f>-'2. Consolidated'!AA124/'2. Consolidated'!AA57</f>
        <v>2.4660145888594165E-2</v>
      </c>
      <c r="AB231" s="464"/>
      <c r="AC231" s="24">
        <f>-'2. Consolidated'!AC124/'2. Consolidated'!AC57</f>
        <v>1.6527649057769541E-2</v>
      </c>
      <c r="AD231" s="24">
        <f>-'2. Consolidated'!AD124/'2. Consolidated'!AD57</f>
        <v>2.4013434089000838E-2</v>
      </c>
      <c r="AE231" s="24">
        <f>-'2. Consolidated'!AE124/'2. Consolidated'!AE57</f>
        <v>2.440601260707936E-2</v>
      </c>
      <c r="AF231" s="24">
        <f>-'2. Consolidated'!AF124/'2. Consolidated'!AF57</f>
        <v>3.5090338957742273E-2</v>
      </c>
      <c r="AG231" s="25">
        <f>-'2. Consolidated'!AG124/'2. Consolidated'!AG57</f>
        <v>2.5125429621143287E-2</v>
      </c>
      <c r="AH231" s="24">
        <f>-'2. Consolidated'!AH124/'2. Consolidated'!AH57</f>
        <v>3.0842059962702624E-2</v>
      </c>
      <c r="AI231" s="24">
        <f>-'2. Consolidated'!AI124/'2. Consolidated'!AI57</f>
        <v>3.3120821023169024E-2</v>
      </c>
      <c r="AJ231" s="24">
        <f>-'2. Consolidated'!AJ124/'2. Consolidated'!AJ57</f>
        <v>3.4710269650028686E-2</v>
      </c>
      <c r="AK231" s="24">
        <f>-'2. Consolidated'!AK124/'2. Consolidated'!AK57</f>
        <v>2.7878787878787878E-2</v>
      </c>
      <c r="AL231" s="25">
        <f>-'2. Consolidated'!AL124/'2. Consolidated'!AL57</f>
        <v>3.1547897406381524E-2</v>
      </c>
      <c r="AM231" s="24">
        <f>-'2. Consolidated'!AM124/'2. Consolidated'!AM57</f>
        <v>3.2823853670759205E-2</v>
      </c>
      <c r="AN231" s="24">
        <f>-'2. Consolidated'!AN124/'2. Consolidated'!AN57</f>
        <v>3.048780487804878E-2</v>
      </c>
      <c r="AO231" s="24">
        <f>-'2. Consolidated'!AO124/'2. Consolidated'!AO57</f>
        <v>3.1233243967828419E-2</v>
      </c>
      <c r="AP231" s="24">
        <f>-'2. Consolidated'!AP124/'2. Consolidated'!AP57</f>
        <v>3.0852294639413805E-2</v>
      </c>
      <c r="AQ231" s="25">
        <f>-'2. Consolidated'!AQ124/'2. Consolidated'!AQ57</f>
        <v>3.1371523806411554E-2</v>
      </c>
      <c r="AR231" s="24">
        <f>-'2. Consolidated'!AR124/'2. Consolidated'!AR57</f>
        <v>3.886379843118612E-2</v>
      </c>
      <c r="AS231" s="24">
        <f>-'2. Consolidated'!AS124/'2. Consolidated'!AS57</f>
        <v>3.7470725995316159E-2</v>
      </c>
      <c r="AT231" s="24">
        <f>-'2. Consolidated'!AT124/'2. Consolidated'!AT57</f>
        <v>3.5607569721115541E-2</v>
      </c>
      <c r="AU231" s="24">
        <f>-'2. Consolidated'!AU124/'2. Consolidated'!AU57</f>
        <v>2.8141678796700632E-2</v>
      </c>
      <c r="AV231" s="25">
        <f>-'2. Consolidated'!AV124/'2. Consolidated'!AV57</f>
        <v>3.499505806770447E-2</v>
      </c>
      <c r="AW231" s="24">
        <f>-'2. Consolidated'!AW124/'2. Consolidated'!AW57</f>
        <v>3.057057719898466E-2</v>
      </c>
      <c r="AX231" s="24">
        <f>-'2. Consolidated'!AX124/'2. Consolidated'!AX57</f>
        <v>2.726161369193154E-2</v>
      </c>
      <c r="AY231" s="24">
        <f>-'2. Consolidated'!AY124/'2. Consolidated'!AY57</f>
        <v>3.1190702087286526E-2</v>
      </c>
      <c r="AZ231" s="24">
        <f>-'2. Consolidated'!AZ124/'2. Consolidated'!AZ57</f>
        <v>3.9414544197303218E-2</v>
      </c>
      <c r="BA231" s="25">
        <f>-'2. Consolidated'!BA124/'2. Consolidated'!BA57</f>
        <v>3.2168850072780204E-2</v>
      </c>
      <c r="BB231" s="24">
        <f>-'2. Consolidated'!BB124/'2. Consolidated'!BB57</f>
        <v>2.9768467475192944E-2</v>
      </c>
      <c r="BC231" s="24">
        <f>-'2. Consolidated'!BC124/'2. Consolidated'!BC57</f>
        <v>2.6537292494739302E-2</v>
      </c>
      <c r="BD231" s="24">
        <f>-'2. Consolidated'!BD124/'2. Consolidated'!BD57</f>
        <v>2.5712377560106858E-2</v>
      </c>
      <c r="BE231" s="24">
        <f>-'2. Consolidated'!BE124/'2. Consolidated'!BE57</f>
        <v>3.0646644192460926E-2</v>
      </c>
      <c r="BF231" s="25">
        <f>-'2. Consolidated'!BF124/'2. Consolidated'!BF57</f>
        <v>2.8244086051048164E-2</v>
      </c>
      <c r="BG231" s="24">
        <f>-'2. Consolidated'!BG124/'2. Consolidated'!BG57</f>
        <v>3.4479292320064338E-2</v>
      </c>
      <c r="BH231" s="24">
        <f>-'2. Consolidated'!BH124/'2. Consolidated'!BH57</f>
        <v>3.0189886921271603E-2</v>
      </c>
      <c r="BI231" s="24">
        <f>-'2. Consolidated'!BI124/'2. Consolidated'!BI57</f>
        <v>2.2890438039746126E-2</v>
      </c>
      <c r="BJ231" s="24">
        <f>-'2. Consolidated'!BJ124/'2. Consolidated'!BJ57</f>
        <v>2.680675569520817E-2</v>
      </c>
      <c r="BK231" s="25">
        <f>-'2. Consolidated'!BK124/'2. Consolidated'!BK57</f>
        <v>2.8606488227624818E-2</v>
      </c>
      <c r="BL231" s="24">
        <f>-'2. Consolidated'!BL124/'2. Consolidated'!BL57</f>
        <v>2.6641651031894933E-2</v>
      </c>
      <c r="BM231" s="24">
        <f>-'2. Consolidated'!BM124/'2. Consolidated'!BM57</f>
        <v>2.3048615146232812E-2</v>
      </c>
      <c r="BN231" s="24">
        <f>-'2. Consolidated'!BN124/'2. Consolidated'!BN57</f>
        <v>2.7216943784639746E-2</v>
      </c>
      <c r="BO231" s="24">
        <f>-'2. Consolidated'!BO124/'2. Consolidated'!BO57</f>
        <v>4.577855219388563E-2</v>
      </c>
      <c r="BP231" s="25">
        <f>-'2. Consolidated'!BP124/'2. Consolidated'!BP57</f>
        <v>2.9035104136031869E-2</v>
      </c>
      <c r="BQ231" s="24">
        <f>-'2. Consolidated'!BQ124/'2. Consolidated'!BQ57</f>
        <v>1.6613177270152917E-2</v>
      </c>
      <c r="BR231" s="24">
        <f>-'2. Consolidated'!BR124/'2. Consolidated'!BR57</f>
        <v>1.494263097038157E-2</v>
      </c>
      <c r="BS231" s="24">
        <f>-'2. Consolidated'!BS124/'2. Consolidated'!BS57</f>
        <v>1.7089890895046828E-2</v>
      </c>
      <c r="BT231" s="24">
        <f>-'2. Consolidated'!BT124/'2. Consolidated'!BT57</f>
        <v>1.4095917044718081E-2</v>
      </c>
      <c r="BU231" s="25">
        <f>-'2. Consolidated'!BU124/'2. Consolidated'!BU57</f>
        <v>1.5604652207104046E-2</v>
      </c>
      <c r="BV231" s="24">
        <f>-'2. Consolidated'!BV124/'2. Consolidated'!BV57</f>
        <v>1.5022860875244938E-2</v>
      </c>
      <c r="BW231" s="24">
        <f>-'2. Consolidated'!BW124/'2. Consolidated'!BW57</f>
        <v>1.5673153121422912E-2</v>
      </c>
      <c r="BX231" s="24">
        <f>-'2. Consolidated'!BX124/'2. Consolidated'!BX57</f>
        <v>1.4166130070830651E-2</v>
      </c>
      <c r="BY231" s="24">
        <f>-'2. Consolidated'!BY124/'2. Consolidated'!BY57</f>
        <v>1.9780938368481282E-2</v>
      </c>
      <c r="BZ231" s="25">
        <f>-'2. Consolidated'!BZ124/'2. Consolidated'!BZ57</f>
        <v>1.6227788482123744E-2</v>
      </c>
      <c r="CA231" s="24">
        <f>-'2. Consolidated'!CA124/'2. Consolidated'!CA57</f>
        <v>2.0808701820761409E-2</v>
      </c>
      <c r="CB231" s="24">
        <f>-'2. Consolidated'!CB124/'2. Consolidated'!CB57</f>
        <v>1.7724371010138941E-2</v>
      </c>
      <c r="CC231" s="24">
        <f>-'2. Consolidated'!CC124/'2. Consolidated'!CC57</f>
        <v>1.6142050040355124E-2</v>
      </c>
      <c r="CD231" s="24">
        <f>-'2. Consolidated'!CD124/'2. Consolidated'!CD57</f>
        <v>2.0974658869395712E-2</v>
      </c>
      <c r="CE231" s="25">
        <f>-'2. Consolidated'!CE124/'2. Consolidated'!CE57</f>
        <v>1.8919499384969833E-2</v>
      </c>
      <c r="CF231" s="24">
        <f>-'2. Consolidated'!CF124/'2. Consolidated'!CF57</f>
        <v>1.9553288507612645E-2</v>
      </c>
      <c r="CG231" s="24">
        <f>-'2. Consolidated'!CG124/'2. Consolidated'!CG57</f>
        <v>1.5312219898416492E-2</v>
      </c>
      <c r="CH231" s="24">
        <f>-'2. Consolidated'!CH124/'2. Consolidated'!CH57</f>
        <v>1.1344436398744872E-2</v>
      </c>
      <c r="CI231" s="24">
        <f>-'2. Consolidated'!CI124/'2. Consolidated'!CI57</f>
        <v>1.6896715849595432E-2</v>
      </c>
      <c r="CJ231" s="25">
        <f>-'2. Consolidated'!CJ124/'2. Consolidated'!CJ57</f>
        <v>1.5809353218332621E-2</v>
      </c>
      <c r="CK231" s="24">
        <f>-'2. Consolidated'!CK124/'2. Consolidated'!CK57</f>
        <v>1.0354646647683147E-2</v>
      </c>
      <c r="CL231" s="24">
        <f>-'2. Consolidated'!CL124/'2. Consolidated'!CL57</f>
        <v>1.0441962117532783E-2</v>
      </c>
      <c r="CM231" s="24">
        <f>-'2. Consolidated'!CM124/'2. Consolidated'!CM57</f>
        <v>7.1878605022628449E-3</v>
      </c>
      <c r="CN231" s="24">
        <f>-'2. Consolidated'!CN124/'2. Consolidated'!CN57</f>
        <v>9.0114445345588906E-3</v>
      </c>
      <c r="CO231" s="25">
        <f>-'2. Consolidated'!CO124/'2. Consolidated'!CO57</f>
        <v>9.2854520719514565E-3</v>
      </c>
      <c r="CP231" s="24">
        <f>-'2. Consolidated'!CP124/'2. Consolidated'!CP57</f>
        <v>1.766211604095563E-2</v>
      </c>
      <c r="CQ231" s="24">
        <f>-'2. Consolidated'!CQ124/'2. Consolidated'!CQ57</f>
        <v>1.5530699283817494E-2</v>
      </c>
      <c r="CR231" s="24">
        <f>-'2. Consolidated'!CR124/'2. Consolidated'!CR57</f>
        <v>7.1814877205426016E-3</v>
      </c>
      <c r="CS231" s="24">
        <f>-'2. Consolidated'!CS124/'2. Consolidated'!CS57</f>
        <v>1.2577469923441487E-2</v>
      </c>
      <c r="CT231" s="25">
        <f>-'2. Consolidated'!CT124/'2. Consolidated'!CT57</f>
        <v>1.3341092288460709E-2</v>
      </c>
      <c r="CU231" s="24">
        <f>-'2. Consolidated'!CU124/'2. Consolidated'!CU57</f>
        <v>1.8460715241237848E-2</v>
      </c>
      <c r="CV231" s="26">
        <v>3.5000000000000003E-2</v>
      </c>
      <c r="CW231" s="26">
        <v>3.5000000000000003E-2</v>
      </c>
      <c r="CX231" s="26">
        <v>3.5000000000000003E-2</v>
      </c>
      <c r="CY231" s="25">
        <f>-'2. Consolidated'!CY124/'2. Consolidated'!CY57</f>
        <v>1.7763197387942783E-2</v>
      </c>
      <c r="CZ231" s="26">
        <v>3.5000000000000003E-2</v>
      </c>
      <c r="DA231" s="26">
        <v>3.5000000000000003E-2</v>
      </c>
      <c r="DB231" s="26">
        <v>3.5000000000000003E-2</v>
      </c>
      <c r="DC231" s="26">
        <v>3.5000000000000003E-2</v>
      </c>
      <c r="DD231" s="25">
        <f>-'2. Consolidated'!DD124/'2. Consolidated'!DD57</f>
        <v>1.8615935636441126E-2</v>
      </c>
      <c r="DE231" s="26">
        <v>3.5000000000000003E-2</v>
      </c>
      <c r="DF231" s="26">
        <v>3.5000000000000003E-2</v>
      </c>
      <c r="DG231" s="26">
        <v>3.5000000000000003E-2</v>
      </c>
      <c r="DH231" s="26">
        <v>3.5000000000000003E-2</v>
      </c>
      <c r="DI231" s="25">
        <f>-'2. Consolidated'!DI124/'2. Consolidated'!DI57</f>
        <v>1.8540859773299074E-2</v>
      </c>
    </row>
    <row r="232" spans="1:113" s="4" customFormat="1" ht="12" customHeight="1">
      <c r="A232" s="5"/>
      <c r="B232" s="77" t="s">
        <v>246</v>
      </c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56"/>
      <c r="S232" s="56"/>
      <c r="T232" s="56"/>
      <c r="U232" s="56"/>
      <c r="V232" s="48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6"/>
      <c r="CV232" s="56"/>
      <c r="CW232" s="56"/>
      <c r="CX232" s="56"/>
      <c r="CY232" s="56"/>
      <c r="CZ232" s="56"/>
      <c r="DA232" s="56"/>
      <c r="DB232" s="56"/>
      <c r="DC232" s="56"/>
      <c r="DD232" s="56"/>
      <c r="DE232" s="56"/>
      <c r="DF232" s="56"/>
      <c r="DG232" s="56"/>
      <c r="DH232" s="56"/>
      <c r="DI232" s="200"/>
    </row>
    <row r="233" spans="1:113" ht="12" customHeight="1">
      <c r="A233" s="219"/>
      <c r="B233" s="465"/>
      <c r="C233" s="2"/>
      <c r="D233" s="13"/>
      <c r="E233" s="2"/>
      <c r="F233" s="13"/>
      <c r="G233" s="2"/>
      <c r="H233" s="13"/>
      <c r="I233" s="2"/>
      <c r="J233" s="13"/>
      <c r="K233" s="9"/>
      <c r="L233" s="41"/>
      <c r="M233" s="9"/>
      <c r="N233" s="41"/>
      <c r="O233" s="41"/>
      <c r="P233" s="9"/>
      <c r="Q233" s="41"/>
      <c r="R233" s="9"/>
      <c r="S233" s="9"/>
      <c r="T233" s="9"/>
      <c r="U233" s="9"/>
      <c r="V233" s="41"/>
      <c r="W233" s="9"/>
      <c r="X233" s="9"/>
      <c r="Y233" s="9"/>
      <c r="Z233" s="9"/>
      <c r="AA233" s="41"/>
      <c r="AB233" s="41"/>
      <c r="AC233" s="9"/>
      <c r="AD233" s="9"/>
      <c r="AE233" s="9"/>
      <c r="AF233" s="9"/>
      <c r="AG233" s="41"/>
      <c r="AH233" s="9"/>
      <c r="AI233" s="9"/>
      <c r="AJ233" s="9"/>
      <c r="AK233" s="9"/>
      <c r="AL233" s="41"/>
      <c r="AM233" s="9"/>
      <c r="AN233" s="9"/>
      <c r="AO233" s="9"/>
      <c r="AP233" s="9"/>
      <c r="AQ233" s="41"/>
      <c r="AR233" s="9"/>
      <c r="AS233" s="9"/>
      <c r="AT233" s="9"/>
      <c r="AU233" s="9"/>
      <c r="AV233" s="41"/>
      <c r="AW233" s="9"/>
      <c r="AX233" s="9"/>
      <c r="AY233" s="9"/>
      <c r="AZ233" s="9"/>
      <c r="BA233" s="41"/>
      <c r="BB233" s="9"/>
      <c r="BC233" s="9"/>
      <c r="BD233" s="9"/>
      <c r="BE233" s="9"/>
      <c r="BF233" s="41"/>
      <c r="BG233" s="9"/>
      <c r="BH233" s="9"/>
      <c r="BI233" s="9"/>
      <c r="BJ233" s="9"/>
      <c r="BK233" s="41"/>
      <c r="BL233" s="9"/>
      <c r="BM233" s="9"/>
      <c r="BN233" s="9"/>
      <c r="BO233" s="9"/>
      <c r="BP233" s="41"/>
      <c r="BQ233" s="9"/>
      <c r="BR233" s="9"/>
      <c r="BS233" s="9"/>
      <c r="BT233" s="9"/>
      <c r="BU233" s="41"/>
      <c r="BV233" s="9"/>
      <c r="BW233" s="9"/>
      <c r="BX233" s="9"/>
      <c r="BY233" s="9"/>
      <c r="BZ233" s="41"/>
      <c r="CA233" s="9"/>
      <c r="CB233" s="9"/>
      <c r="CC233" s="9"/>
      <c r="CD233" s="9"/>
      <c r="CE233" s="41"/>
      <c r="CF233" s="9"/>
      <c r="CG233" s="9"/>
      <c r="CH233" s="9"/>
      <c r="CI233" s="9"/>
      <c r="CJ233" s="41"/>
      <c r="CK233" s="9"/>
      <c r="CL233" s="9"/>
      <c r="CM233" s="9"/>
      <c r="CN233" s="9"/>
      <c r="CO233" s="41"/>
      <c r="CP233" s="9"/>
      <c r="CQ233" s="9"/>
      <c r="CR233" s="9"/>
      <c r="CS233" s="9"/>
      <c r="CT233" s="41"/>
      <c r="CU233" s="9"/>
      <c r="CV233" s="9"/>
      <c r="CW233" s="9"/>
      <c r="CX233" s="9"/>
      <c r="CY233" s="41"/>
      <c r="CZ233" s="9"/>
      <c r="DA233" s="9"/>
      <c r="DB233" s="9"/>
      <c r="DC233" s="9"/>
      <c r="DD233" s="41"/>
      <c r="DE233" s="9"/>
      <c r="DF233" s="9"/>
      <c r="DG233" s="9"/>
      <c r="DH233" s="9"/>
      <c r="DI233" s="41"/>
    </row>
    <row r="234" spans="1:113" ht="12" customHeight="1">
      <c r="A234" s="219"/>
      <c r="B234" s="449" t="s">
        <v>247</v>
      </c>
      <c r="C234" s="9">
        <f t="shared" ref="C234:AH234" si="610">+C192/C211</f>
        <v>1.8587800490641482</v>
      </c>
      <c r="D234" s="41">
        <f t="shared" si="610"/>
        <v>2.0520028474752761</v>
      </c>
      <c r="E234" s="9">
        <f t="shared" si="610"/>
        <v>2.0733521889916826</v>
      </c>
      <c r="F234" s="41">
        <f t="shared" si="610"/>
        <v>2.2564793696869168</v>
      </c>
      <c r="G234" s="9">
        <f t="shared" si="610"/>
        <v>1.6805607476635513</v>
      </c>
      <c r="H234" s="41">
        <f t="shared" si="610"/>
        <v>2.0290479655230311</v>
      </c>
      <c r="I234" s="9">
        <f t="shared" si="610"/>
        <v>2.2642958283411394</v>
      </c>
      <c r="J234" s="41">
        <f t="shared" si="610"/>
        <v>2.351131401349742</v>
      </c>
      <c r="K234" s="9">
        <f t="shared" si="610"/>
        <v>2.7436535589845699</v>
      </c>
      <c r="L234" s="41">
        <f t="shared" si="610"/>
        <v>3.1768207282913163</v>
      </c>
      <c r="M234" s="9">
        <f t="shared" si="610"/>
        <v>2.8052453017192085</v>
      </c>
      <c r="N234" s="41">
        <f t="shared" si="610"/>
        <v>3.1255804953560373</v>
      </c>
      <c r="O234" s="41">
        <f t="shared" si="610"/>
        <v>2.6612373927442423</v>
      </c>
      <c r="P234" s="9">
        <f t="shared" si="610"/>
        <v>2.9703997558742747</v>
      </c>
      <c r="Q234" s="41">
        <f t="shared" si="610"/>
        <v>3.2577288941736029</v>
      </c>
      <c r="R234" s="9">
        <f t="shared" si="610"/>
        <v>3.3516868236791852</v>
      </c>
      <c r="S234" s="9">
        <f t="shared" si="610"/>
        <v>3.3608374384236455</v>
      </c>
      <c r="T234" s="9">
        <f t="shared" si="610"/>
        <v>3.2271095152603233</v>
      </c>
      <c r="U234" s="9">
        <f t="shared" si="610"/>
        <v>2.8542193026781204</v>
      </c>
      <c r="V234" s="41">
        <f t="shared" si="610"/>
        <v>2.8542193026781204</v>
      </c>
      <c r="W234" s="9">
        <f t="shared" si="610"/>
        <v>2.9359042553191488</v>
      </c>
      <c r="X234" s="9">
        <f t="shared" si="610"/>
        <v>3.0101038450743753</v>
      </c>
      <c r="Y234" s="9">
        <f t="shared" si="610"/>
        <v>3.2058651026392964</v>
      </c>
      <c r="Z234" s="9">
        <f t="shared" si="610"/>
        <v>3.0387378142637251</v>
      </c>
      <c r="AA234" s="41">
        <f t="shared" si="610"/>
        <v>2.9834411384217336</v>
      </c>
      <c r="AB234" s="41">
        <f t="shared" si="610"/>
        <v>3.0387378142637251</v>
      </c>
      <c r="AC234" s="9">
        <f t="shared" si="610"/>
        <v>2.9491525423728815</v>
      </c>
      <c r="AD234" s="9">
        <f t="shared" si="610"/>
        <v>3.0100026322716502</v>
      </c>
      <c r="AE234" s="9">
        <f t="shared" si="610"/>
        <v>3.3682857142857143</v>
      </c>
      <c r="AF234" s="9">
        <f t="shared" si="610"/>
        <v>3.4707080998471729</v>
      </c>
      <c r="AG234" s="41">
        <f t="shared" si="610"/>
        <v>3.4707080998471729</v>
      </c>
      <c r="AH234" s="9">
        <f t="shared" si="610"/>
        <v>3.5252394512037277</v>
      </c>
      <c r="AI234" s="9">
        <f t="shared" ref="AI234:BN234" si="611">+AI192/AI211</f>
        <v>3.5333679563749674</v>
      </c>
      <c r="AJ234" s="9">
        <f t="shared" si="611"/>
        <v>3.3915022761760243</v>
      </c>
      <c r="AK234" s="9">
        <f t="shared" si="611"/>
        <v>2.7244877660632585</v>
      </c>
      <c r="AL234" s="41">
        <f t="shared" si="611"/>
        <v>2.7244877660632585</v>
      </c>
      <c r="AM234" s="9">
        <f t="shared" si="611"/>
        <v>2.8132142115104926</v>
      </c>
      <c r="AN234" s="9">
        <f t="shared" si="611"/>
        <v>2.8424144217135914</v>
      </c>
      <c r="AO234" s="9">
        <f t="shared" si="611"/>
        <v>2.7223415682062297</v>
      </c>
      <c r="AP234" s="9">
        <f t="shared" si="611"/>
        <v>2.5222608146510894</v>
      </c>
      <c r="AQ234" s="41">
        <f t="shared" si="611"/>
        <v>2.5222608146510894</v>
      </c>
      <c r="AR234" s="9">
        <f t="shared" si="611"/>
        <v>2.888172858225929</v>
      </c>
      <c r="AS234" s="9">
        <f t="shared" si="611"/>
        <v>3.04028307022319</v>
      </c>
      <c r="AT234" s="9">
        <f t="shared" si="611"/>
        <v>3.063453815261044</v>
      </c>
      <c r="AU234" s="9">
        <f t="shared" si="611"/>
        <v>2.8042179917879806</v>
      </c>
      <c r="AV234" s="41">
        <f t="shared" si="611"/>
        <v>2.8042179917879806</v>
      </c>
      <c r="AW234" s="9">
        <f t="shared" si="611"/>
        <v>2.7203057989931008</v>
      </c>
      <c r="AX234" s="9">
        <f t="shared" si="611"/>
        <v>3.0643062200956939</v>
      </c>
      <c r="AY234" s="9">
        <f t="shared" si="611"/>
        <v>3.0743691899070384</v>
      </c>
      <c r="AZ234" s="9">
        <f t="shared" si="611"/>
        <v>2.9340518816222141</v>
      </c>
      <c r="BA234" s="41">
        <f t="shared" si="611"/>
        <v>2.9340518816222141</v>
      </c>
      <c r="BB234" s="9">
        <f t="shared" si="611"/>
        <v>2.6737120211360632</v>
      </c>
      <c r="BC234" s="9">
        <f t="shared" si="611"/>
        <v>2.4565925925925924</v>
      </c>
      <c r="BD234" s="9">
        <f t="shared" si="611"/>
        <v>2.6551962649144043</v>
      </c>
      <c r="BE234" s="9">
        <f t="shared" si="611"/>
        <v>2.5056291390728478</v>
      </c>
      <c r="BF234" s="41">
        <f t="shared" si="611"/>
        <v>2.5056291390728478</v>
      </c>
      <c r="BG234" s="9">
        <f t="shared" si="611"/>
        <v>2.3108228980322005</v>
      </c>
      <c r="BH234" s="9">
        <f t="shared" si="611"/>
        <v>2.1387743885682879</v>
      </c>
      <c r="BI234" s="9">
        <f t="shared" si="611"/>
        <v>2.1694822139815959</v>
      </c>
      <c r="BJ234" s="9">
        <f t="shared" si="611"/>
        <v>2.1008136282735825</v>
      </c>
      <c r="BK234" s="41">
        <f t="shared" si="611"/>
        <v>2.1008136282735825</v>
      </c>
      <c r="BL234" s="9">
        <f t="shared" si="611"/>
        <v>2.01090458488228</v>
      </c>
      <c r="BM234" s="9">
        <f t="shared" si="611"/>
        <v>1.9807599225556631</v>
      </c>
      <c r="BN234" s="9">
        <f t="shared" si="611"/>
        <v>1.9014492753623189</v>
      </c>
      <c r="BO234" s="9">
        <f t="shared" ref="BO234:CT234" si="612">+BO192/BO211</f>
        <v>2.4814099468855626</v>
      </c>
      <c r="BP234" s="41">
        <f t="shared" si="612"/>
        <v>2.4814099468855626</v>
      </c>
      <c r="BQ234" s="9">
        <f t="shared" si="612"/>
        <v>2.545190857408052</v>
      </c>
      <c r="BR234" s="9">
        <f t="shared" si="612"/>
        <v>2.6611430503889077</v>
      </c>
      <c r="BS234" s="9">
        <f t="shared" si="612"/>
        <v>2.7771531369462559</v>
      </c>
      <c r="BT234" s="9">
        <f t="shared" si="612"/>
        <v>2.717696919578251</v>
      </c>
      <c r="BU234" s="41">
        <f t="shared" si="612"/>
        <v>2.717696919578251</v>
      </c>
      <c r="BV234" s="9">
        <f t="shared" si="612"/>
        <v>3.1914379005925748</v>
      </c>
      <c r="BW234" s="9">
        <f t="shared" si="612"/>
        <v>3.0684204583944901</v>
      </c>
      <c r="BX234" s="9">
        <f t="shared" si="612"/>
        <v>3.0576094352460874</v>
      </c>
      <c r="BY234" s="9">
        <f t="shared" si="612"/>
        <v>2.6293569431500465</v>
      </c>
      <c r="BZ234" s="41">
        <f t="shared" si="612"/>
        <v>2.6293569431500465</v>
      </c>
      <c r="CA234" s="9">
        <f t="shared" si="612"/>
        <v>2.6446561040388312</v>
      </c>
      <c r="CB234" s="9">
        <f t="shared" si="612"/>
        <v>2.6911461908030199</v>
      </c>
      <c r="CC234" s="9">
        <f t="shared" si="612"/>
        <v>2.7267490573942186</v>
      </c>
      <c r="CD234" s="9">
        <f t="shared" si="612"/>
        <v>2.7227744165946413</v>
      </c>
      <c r="CE234" s="41">
        <f t="shared" si="612"/>
        <v>2.7227744165946413</v>
      </c>
      <c r="CF234" s="9">
        <f t="shared" si="612"/>
        <v>2.8660914785486349</v>
      </c>
      <c r="CG234" s="9">
        <f t="shared" si="612"/>
        <v>2.7370818979886655</v>
      </c>
      <c r="CH234" s="9">
        <f t="shared" si="612"/>
        <v>2.7414996123601729</v>
      </c>
      <c r="CI234" s="9">
        <f t="shared" si="612"/>
        <v>2.3961106391012934</v>
      </c>
      <c r="CJ234" s="41">
        <f t="shared" si="612"/>
        <v>2.3961106391012934</v>
      </c>
      <c r="CK234" s="9">
        <f t="shared" si="612"/>
        <v>2.3560406473466315</v>
      </c>
      <c r="CL234" s="9">
        <f t="shared" si="612"/>
        <v>2.2212342166103505</v>
      </c>
      <c r="CM234" s="9">
        <f t="shared" si="612"/>
        <v>2.1927292167869554</v>
      </c>
      <c r="CN234" s="9">
        <f t="shared" si="612"/>
        <v>2.2110543251940187</v>
      </c>
      <c r="CO234" s="41">
        <f t="shared" si="612"/>
        <v>2.2110543251940187</v>
      </c>
      <c r="CP234" s="9">
        <f t="shared" si="612"/>
        <v>2.1902667033269179</v>
      </c>
      <c r="CQ234" s="9">
        <f t="shared" si="612"/>
        <v>2.0631443298969074</v>
      </c>
      <c r="CR234" s="9">
        <f t="shared" si="612"/>
        <v>2.1391400627422033</v>
      </c>
      <c r="CS234" s="9">
        <f t="shared" si="612"/>
        <v>1.9608671395552721</v>
      </c>
      <c r="CT234" s="41">
        <f t="shared" si="612"/>
        <v>1.9608671395552721</v>
      </c>
      <c r="CU234" s="9">
        <f t="shared" ref="CU234:DD234" si="613">+CU192/CU211</f>
        <v>2.0749408361819617</v>
      </c>
      <c r="CV234" s="9">
        <f t="shared" si="613"/>
        <v>2.0694156498164618</v>
      </c>
      <c r="CW234" s="9">
        <f t="shared" si="613"/>
        <v>2.1606021900400503</v>
      </c>
      <c r="CX234" s="9">
        <f t="shared" si="613"/>
        <v>2.0597745297106242</v>
      </c>
      <c r="CY234" s="41">
        <f t="shared" si="613"/>
        <v>2.0597745297106242</v>
      </c>
      <c r="CZ234" s="9">
        <f t="shared" si="613"/>
        <v>2.0977082397220235</v>
      </c>
      <c r="DA234" s="9">
        <f t="shared" si="613"/>
        <v>2.07819674997276</v>
      </c>
      <c r="DB234" s="9">
        <f t="shared" si="613"/>
        <v>2.1624258998023231</v>
      </c>
      <c r="DC234" s="9">
        <f t="shared" si="613"/>
        <v>2.0675384368291105</v>
      </c>
      <c r="DD234" s="41">
        <f t="shared" si="613"/>
        <v>2.0675384368291105</v>
      </c>
      <c r="DE234" s="9">
        <f t="shared" ref="DE234:DI234" si="614">+DE192/DE211</f>
        <v>2.0784538545937612</v>
      </c>
      <c r="DF234" s="9">
        <f t="shared" si="614"/>
        <v>2.0343424996166712</v>
      </c>
      <c r="DG234" s="9">
        <f t="shared" si="614"/>
        <v>2.0896994209277024</v>
      </c>
      <c r="DH234" s="9">
        <f t="shared" si="614"/>
        <v>1.9762896277869182</v>
      </c>
      <c r="DI234" s="41">
        <f t="shared" si="614"/>
        <v>1.9762896277869182</v>
      </c>
    </row>
    <row r="235" spans="1:113" ht="12" customHeight="1">
      <c r="A235" s="219"/>
      <c r="B235" s="449" t="s">
        <v>248</v>
      </c>
      <c r="C235" s="9">
        <f t="shared" ref="C235:AH235" si="615">(C192-C188)/C211</f>
        <v>1.2240741510736788</v>
      </c>
      <c r="D235" s="41">
        <f t="shared" si="615"/>
        <v>1.334970435214849</v>
      </c>
      <c r="E235" s="9">
        <f t="shared" si="615"/>
        <v>1.2536651444019056</v>
      </c>
      <c r="F235" s="41">
        <f t="shared" si="615"/>
        <v>1.4276038426981825</v>
      </c>
      <c r="G235" s="9">
        <f t="shared" si="615"/>
        <v>1.0048598130841122</v>
      </c>
      <c r="H235" s="41">
        <f t="shared" si="615"/>
        <v>1.2319919404488724</v>
      </c>
      <c r="I235" s="9">
        <f t="shared" si="615"/>
        <v>1.5161202483389609</v>
      </c>
      <c r="J235" s="41">
        <f t="shared" si="615"/>
        <v>1.5993946010321556</v>
      </c>
      <c r="K235" s="9">
        <f t="shared" si="615"/>
        <v>1.9305126928820311</v>
      </c>
      <c r="L235" s="41">
        <f t="shared" si="615"/>
        <v>2.2709083633453382</v>
      </c>
      <c r="M235" s="9">
        <f t="shared" si="615"/>
        <v>2.0136088133267256</v>
      </c>
      <c r="N235" s="41">
        <f t="shared" si="615"/>
        <v>2.3044117647058826</v>
      </c>
      <c r="O235" s="41">
        <f t="shared" si="615"/>
        <v>1.9271112449194645</v>
      </c>
      <c r="P235" s="9">
        <f t="shared" si="615"/>
        <v>2.2511443393347572</v>
      </c>
      <c r="Q235" s="41">
        <f t="shared" si="615"/>
        <v>2.6510107015457787</v>
      </c>
      <c r="R235" s="9">
        <f t="shared" si="615"/>
        <v>2.6483131763208148</v>
      </c>
      <c r="S235" s="9">
        <f t="shared" si="615"/>
        <v>2.6379310344827585</v>
      </c>
      <c r="T235" s="9">
        <f t="shared" si="615"/>
        <v>2.4682824655894673</v>
      </c>
      <c r="U235" s="9">
        <f t="shared" si="615"/>
        <v>2.1682668014148558</v>
      </c>
      <c r="V235" s="41">
        <f t="shared" si="615"/>
        <v>2.1682668014148558</v>
      </c>
      <c r="W235" s="9">
        <f t="shared" si="615"/>
        <v>2.1095744680851065</v>
      </c>
      <c r="X235" s="9">
        <f t="shared" si="615"/>
        <v>2.1220881279820376</v>
      </c>
      <c r="Y235" s="9">
        <f t="shared" si="615"/>
        <v>2.2217008797653959</v>
      </c>
      <c r="Z235" s="9">
        <f t="shared" si="615"/>
        <v>2.2121600820933813</v>
      </c>
      <c r="AA235" s="41">
        <f t="shared" si="615"/>
        <v>2.1166882276843468</v>
      </c>
      <c r="AB235" s="41">
        <f t="shared" si="615"/>
        <v>2.2121600820933813</v>
      </c>
      <c r="AC235" s="9">
        <f t="shared" si="615"/>
        <v>2.0458156779661016</v>
      </c>
      <c r="AD235" s="9">
        <f t="shared" si="615"/>
        <v>2.1366148986575415</v>
      </c>
      <c r="AE235" s="9">
        <f t="shared" si="615"/>
        <v>2.4171428571428573</v>
      </c>
      <c r="AF235" s="9">
        <f t="shared" si="615"/>
        <v>2.5960264900662251</v>
      </c>
      <c r="AG235" s="41">
        <f t="shared" si="615"/>
        <v>2.5960264900662251</v>
      </c>
      <c r="AH235" s="9">
        <f t="shared" si="615"/>
        <v>2.6264561221848304</v>
      </c>
      <c r="AI235" s="9">
        <f t="shared" ref="AI235:BN235" si="616">(AI192-AI188)/AI211</f>
        <v>2.5738769150869905</v>
      </c>
      <c r="AJ235" s="9">
        <f t="shared" si="616"/>
        <v>2.4241274658573597</v>
      </c>
      <c r="AK235" s="9">
        <f t="shared" si="616"/>
        <v>1.939327630793714</v>
      </c>
      <c r="AL235" s="41">
        <f t="shared" si="616"/>
        <v>1.939327630793714</v>
      </c>
      <c r="AM235" s="9">
        <f t="shared" si="616"/>
        <v>1.9758986079368377</v>
      </c>
      <c r="AN235" s="9">
        <f t="shared" si="616"/>
        <v>2.0018229694146243</v>
      </c>
      <c r="AO235" s="9">
        <f t="shared" si="616"/>
        <v>1.9622269960615826</v>
      </c>
      <c r="AP235" s="9">
        <f t="shared" si="616"/>
        <v>1.8375434164824755</v>
      </c>
      <c r="AQ235" s="41">
        <f t="shared" si="616"/>
        <v>1.8375434164824755</v>
      </c>
      <c r="AR235" s="9">
        <f t="shared" si="616"/>
        <v>2.051554207733131</v>
      </c>
      <c r="AS235" s="9">
        <f t="shared" si="616"/>
        <v>2.2055888223552893</v>
      </c>
      <c r="AT235" s="9">
        <f t="shared" si="616"/>
        <v>2.1417670682730923</v>
      </c>
      <c r="AU235" s="9">
        <f t="shared" si="616"/>
        <v>1.9012691302724898</v>
      </c>
      <c r="AV235" s="41">
        <f t="shared" si="616"/>
        <v>1.9012691302724898</v>
      </c>
      <c r="AW235" s="9">
        <f t="shared" si="616"/>
        <v>1.8073839269065821</v>
      </c>
      <c r="AX235" s="9">
        <f t="shared" si="616"/>
        <v>2.1010526315789475</v>
      </c>
      <c r="AY235" s="9">
        <f t="shared" si="616"/>
        <v>2.1386833617909313</v>
      </c>
      <c r="AZ235" s="9">
        <f t="shared" si="616"/>
        <v>2.0105955425648521</v>
      </c>
      <c r="BA235" s="41">
        <f t="shared" si="616"/>
        <v>2.0105955425648521</v>
      </c>
      <c r="BB235" s="9">
        <f t="shared" si="616"/>
        <v>1.8132430647291942</v>
      </c>
      <c r="BC235" s="9">
        <f t="shared" si="616"/>
        <v>1.6675555555555555</v>
      </c>
      <c r="BD235" s="9">
        <f t="shared" si="616"/>
        <v>1.7273041673871692</v>
      </c>
      <c r="BE235" s="9">
        <f t="shared" si="616"/>
        <v>1.6346026490066226</v>
      </c>
      <c r="BF235" s="41">
        <f t="shared" si="616"/>
        <v>1.6346026490066226</v>
      </c>
      <c r="BG235" s="9">
        <f t="shared" si="616"/>
        <v>1.5316040548598688</v>
      </c>
      <c r="BH235" s="9">
        <f t="shared" si="616"/>
        <v>1.398461115691124</v>
      </c>
      <c r="BI235" s="9">
        <f t="shared" si="616"/>
        <v>1.4257656915258894</v>
      </c>
      <c r="BJ235" s="9">
        <f t="shared" si="616"/>
        <v>1.386092041698449</v>
      </c>
      <c r="BK235" s="41">
        <f t="shared" si="616"/>
        <v>1.386092041698449</v>
      </c>
      <c r="BL235" s="9">
        <f t="shared" si="616"/>
        <v>1.2878562577447337</v>
      </c>
      <c r="BM235" s="9">
        <f t="shared" si="616"/>
        <v>1.2306389157792836</v>
      </c>
      <c r="BN235" s="9">
        <f t="shared" si="616"/>
        <v>1.2001207729468599</v>
      </c>
      <c r="BO235" s="9">
        <f t="shared" ref="BO235:CT235" si="617">(BO192-BO188)/BO211</f>
        <v>1.5921052631578947</v>
      </c>
      <c r="BP235" s="41">
        <f t="shared" si="617"/>
        <v>1.5921052631578947</v>
      </c>
      <c r="BQ235" s="9">
        <f t="shared" si="617"/>
        <v>1.7672583826429979</v>
      </c>
      <c r="BR235" s="9">
        <f t="shared" si="617"/>
        <v>1.9746364558674332</v>
      </c>
      <c r="BS235" s="9">
        <f t="shared" si="617"/>
        <v>2.0246233415785921</v>
      </c>
      <c r="BT235" s="9">
        <f t="shared" si="617"/>
        <v>2.0091999173041142</v>
      </c>
      <c r="BU235" s="41">
        <f t="shared" si="617"/>
        <v>2.0091999173041142</v>
      </c>
      <c r="BV235" s="9">
        <f t="shared" si="617"/>
        <v>2.3813036642883056</v>
      </c>
      <c r="BW235" s="9">
        <f t="shared" si="617"/>
        <v>2.333860223551993</v>
      </c>
      <c r="BX235" s="9">
        <f t="shared" si="617"/>
        <v>2.1843955545475167</v>
      </c>
      <c r="BY235" s="9">
        <f t="shared" si="617"/>
        <v>1.844641192917055</v>
      </c>
      <c r="BZ235" s="41">
        <f t="shared" si="617"/>
        <v>1.844641192917055</v>
      </c>
      <c r="CA235" s="9">
        <f t="shared" si="617"/>
        <v>1.7597765363128492</v>
      </c>
      <c r="CB235" s="9">
        <f t="shared" si="617"/>
        <v>1.7767428179233258</v>
      </c>
      <c r="CC235" s="9">
        <f t="shared" si="617"/>
        <v>1.794093003770423</v>
      </c>
      <c r="CD235" s="9">
        <f t="shared" si="617"/>
        <v>1.8094209161624892</v>
      </c>
      <c r="CE235" s="41">
        <f t="shared" si="617"/>
        <v>1.8094209161624892</v>
      </c>
      <c r="CF235" s="9">
        <f t="shared" si="617"/>
        <v>1.8380806051294174</v>
      </c>
      <c r="CG235" s="9">
        <f t="shared" si="617"/>
        <v>1.8504278253139237</v>
      </c>
      <c r="CH235" s="9">
        <f t="shared" si="617"/>
        <v>1.8858123823236239</v>
      </c>
      <c r="CI235" s="9">
        <f t="shared" si="617"/>
        <v>1.6863022750873218</v>
      </c>
      <c r="CJ235" s="41">
        <f t="shared" si="617"/>
        <v>1.6863022750873218</v>
      </c>
      <c r="CK235" s="9">
        <f t="shared" si="617"/>
        <v>1.5795069627399323</v>
      </c>
      <c r="CL235" s="9">
        <f t="shared" si="617"/>
        <v>1.511559665658901</v>
      </c>
      <c r="CM235" s="9">
        <f t="shared" si="617"/>
        <v>1.5209836941994119</v>
      </c>
      <c r="CN235" s="9">
        <f t="shared" si="617"/>
        <v>1.5022714366837024</v>
      </c>
      <c r="CO235" s="41">
        <f t="shared" si="617"/>
        <v>1.5022714366837024</v>
      </c>
      <c r="CP235" s="9">
        <f t="shared" si="617"/>
        <v>1.4466135093025387</v>
      </c>
      <c r="CQ235" s="9">
        <f t="shared" si="617"/>
        <v>1.3993986254295532</v>
      </c>
      <c r="CR235" s="9">
        <f t="shared" si="617"/>
        <v>1.4483299501753091</v>
      </c>
      <c r="CS235" s="9">
        <f t="shared" si="617"/>
        <v>1.3630349884434527</v>
      </c>
      <c r="CT235" s="41">
        <f t="shared" si="617"/>
        <v>1.3630349884434527</v>
      </c>
      <c r="CU235" s="9">
        <f t="shared" ref="CU235:DD235" si="618">(CU192-CU188)/CU211</f>
        <v>1.3872381453238671</v>
      </c>
      <c r="CV235" s="9">
        <f t="shared" si="618"/>
        <v>1.4353800007264923</v>
      </c>
      <c r="CW235" s="9">
        <f t="shared" si="618"/>
        <v>1.5149619423393221</v>
      </c>
      <c r="CX235" s="9">
        <f t="shared" si="618"/>
        <v>1.4271699384538206</v>
      </c>
      <c r="CY235" s="41">
        <f t="shared" si="618"/>
        <v>1.4271699384538206</v>
      </c>
      <c r="CZ235" s="9">
        <f t="shared" si="618"/>
        <v>1.4288454864253448</v>
      </c>
      <c r="DA235" s="9">
        <f t="shared" si="618"/>
        <v>1.4500154558553382</v>
      </c>
      <c r="DB235" s="9">
        <f t="shared" si="618"/>
        <v>1.5166714265491308</v>
      </c>
      <c r="DC235" s="9">
        <f t="shared" si="618"/>
        <v>1.4432905672901508</v>
      </c>
      <c r="DD235" s="41">
        <f t="shared" si="618"/>
        <v>1.4432905672901508</v>
      </c>
      <c r="DE235" s="9">
        <f t="shared" ref="DE235:DI235" si="619">(DE192-DE188)/DE211</f>
        <v>1.411273354791226</v>
      </c>
      <c r="DF235" s="9">
        <f t="shared" si="619"/>
        <v>1.4024981070870959</v>
      </c>
      <c r="DG235" s="9">
        <f t="shared" si="619"/>
        <v>1.4367029677901679</v>
      </c>
      <c r="DH235" s="9">
        <f t="shared" si="619"/>
        <v>1.3422233132652193</v>
      </c>
      <c r="DI235" s="41">
        <f t="shared" si="619"/>
        <v>1.3422233132652193</v>
      </c>
    </row>
    <row r="236" spans="1:113" ht="12" customHeight="1">
      <c r="A236" s="219"/>
      <c r="B236" s="449" t="s">
        <v>249</v>
      </c>
      <c r="C236" s="466">
        <f>+C216/'2. Consolidated'!C90</f>
        <v>2.0689156421491468</v>
      </c>
      <c r="D236" s="467">
        <f>+D216/'2. Consolidated'!D90</f>
        <v>2.6564582105883345</v>
      </c>
      <c r="E236" s="466">
        <f>+E216/'2. Consolidated'!E90</f>
        <v>1.3886334610472542</v>
      </c>
      <c r="F236" s="467">
        <f>+F216/'2. Consolidated'!F90</f>
        <v>1.4459330558446062</v>
      </c>
      <c r="G236" s="466">
        <f>+G216/'2. Consolidated'!G90</f>
        <v>1.4032662192393734</v>
      </c>
      <c r="H236" s="467">
        <f>+H216/'2. Consolidated'!H90</f>
        <v>1.5985728661604612</v>
      </c>
      <c r="I236" s="466">
        <f>+I216/'2. Consolidated'!I90</f>
        <v>1.7634117214771268</v>
      </c>
      <c r="J236" s="467">
        <f>+J216/'2. Consolidated'!J90</f>
        <v>1.8696711327649205</v>
      </c>
      <c r="K236" s="466">
        <f>+K216/'2. Consolidated'!K90</f>
        <v>2.2167624698683475</v>
      </c>
      <c r="L236" s="467">
        <f>+L216/'2. Consolidated'!L90</f>
        <v>2.6119851920407218</v>
      </c>
      <c r="M236" s="466">
        <f>+M216/'2. Consolidated'!M90</f>
        <v>2.9729921483303374</v>
      </c>
      <c r="N236" s="467">
        <f>+N216/'2. Consolidated'!N90</f>
        <v>3.4432954322681821</v>
      </c>
      <c r="O236" s="467">
        <f>+O216/'2. Consolidated'!O90</f>
        <v>3.8815534943703192</v>
      </c>
      <c r="P236" s="466">
        <f>+P216/'2. Consolidated'!P90</f>
        <v>4.4295591073995988</v>
      </c>
      <c r="Q236" s="467">
        <f>+Q216/'2. Consolidated'!Q90</f>
        <v>4.9372342579469528</v>
      </c>
      <c r="R236" s="466">
        <f>+R216/'2. Consolidated'!R90</f>
        <v>4.9426934097421205</v>
      </c>
      <c r="S236" s="466">
        <f>+S216/'2. Consolidated'!S90</f>
        <v>5.1010049220672684</v>
      </c>
      <c r="T236" s="466">
        <f>+T216/'2. Consolidated'!T90</f>
        <v>5.0988671472708544</v>
      </c>
      <c r="U236" s="466">
        <f>+U216/'2. Consolidated'!U90</f>
        <v>5.1404846459160227</v>
      </c>
      <c r="V236" s="467">
        <f>+V216/'2. Consolidated'!V90</f>
        <v>5.0663990117356397</v>
      </c>
      <c r="W236" s="466">
        <f>+W216/'2. Consolidated'!W90</f>
        <v>5.2176892262281251</v>
      </c>
      <c r="X236" s="466">
        <f>+X216/'2. Consolidated'!X90</f>
        <v>5.2529618956131925</v>
      </c>
      <c r="Y236" s="466">
        <f>+Y216/'2. Consolidated'!Y90</f>
        <v>5.4306756324047392</v>
      </c>
      <c r="Z236" s="466">
        <f>+Z216/'2. Consolidated'!Z90</f>
        <v>5.5442213202307196</v>
      </c>
      <c r="AA236" s="467">
        <f>+AA216/'2. Consolidated'!AA90</f>
        <v>5.5241592166879521</v>
      </c>
      <c r="AB236" s="467">
        <f>+AB216/'2. Consolidated'!AB90</f>
        <v>5.5241592166879521</v>
      </c>
      <c r="AC236" s="466">
        <f>+AC216/'2. Consolidated'!AC90</f>
        <v>5.4085917312661502</v>
      </c>
      <c r="AD236" s="466">
        <f>+AD216/'2. Consolidated'!AD90</f>
        <v>5.4829172141918523</v>
      </c>
      <c r="AE236" s="466">
        <f>+AE216/'2. Consolidated'!AE90</f>
        <v>5.8500603268619065</v>
      </c>
      <c r="AF236" s="466">
        <f>+AF216/'2. Consolidated'!AF90</f>
        <v>6.1068535143420188</v>
      </c>
      <c r="AG236" s="467">
        <f>+AG216/'2. Consolidated'!AG90</f>
        <v>6.0867287924750659</v>
      </c>
      <c r="AH236" s="466">
        <f>+AH216/'2. Consolidated'!AH90</f>
        <v>6.1941363786098602</v>
      </c>
      <c r="AI236" s="466">
        <f>+AI216/'2. Consolidated'!AI90</f>
        <v>6.2288600922468698</v>
      </c>
      <c r="AJ236" s="466">
        <f>+AJ216/'2. Consolidated'!AJ90</f>
        <v>6.1521883289124668</v>
      </c>
      <c r="AK236" s="466">
        <f>+AK216/'2. Consolidated'!AK90</f>
        <v>6.0455764075067018</v>
      </c>
      <c r="AL236" s="467">
        <f>+AL216/'2. Consolidated'!AL90</f>
        <v>5.9779637146880953</v>
      </c>
      <c r="AM236" s="466">
        <f>+AM216/'2. Consolidated'!AM90</f>
        <v>6.2655156849469646</v>
      </c>
      <c r="AN236" s="466">
        <f>+AN216/'2. Consolidated'!AN90</f>
        <v>6.6116636528028936</v>
      </c>
      <c r="AO236" s="466">
        <f>+AO216/'2. Consolidated'!AO90</f>
        <v>6.9970581579542888</v>
      </c>
      <c r="AP236" s="466">
        <f>+AP216/'2. Consolidated'!AP90</f>
        <v>7.2215276199136174</v>
      </c>
      <c r="AQ236" s="467">
        <f>+AQ216/'2. Consolidated'!AQ90</f>
        <v>7.1839665309814569</v>
      </c>
      <c r="AR236" s="466">
        <f>+AR216/'2. Consolidated'!AR90</f>
        <v>7.3486834606178046</v>
      </c>
      <c r="AS236" s="466">
        <f>+AS216/'2. Consolidated'!AS90</f>
        <v>7.6538768984812142</v>
      </c>
      <c r="AT236" s="466">
        <f>+AT216/'2. Consolidated'!AT90</f>
        <v>7.0799516491106891</v>
      </c>
      <c r="AU236" s="466">
        <f>+AU216/'2. Consolidated'!AU90</f>
        <v>7.1139225813939992</v>
      </c>
      <c r="AV236" s="467">
        <f>+AV216/'2. Consolidated'!AV90</f>
        <v>7.0347202295552371</v>
      </c>
      <c r="AW236" s="466">
        <f>+AW216/'2. Consolidated'!AW90</f>
        <v>7.1186143133009532</v>
      </c>
      <c r="AX236" s="466">
        <f>+AX216/'2. Consolidated'!AX90</f>
        <v>7.2779352704937397</v>
      </c>
      <c r="AY236" s="466">
        <f>+AY216/'2. Consolidated'!AY90</f>
        <v>7.5443278183004212</v>
      </c>
      <c r="AZ236" s="466">
        <f>+AZ216/'2. Consolidated'!AZ90</f>
        <v>7.3912784463243186</v>
      </c>
      <c r="BA236" s="467">
        <f>+BA216/'2. Consolidated'!BA90</f>
        <v>7.33274231678487</v>
      </c>
      <c r="BB236" s="466">
        <f>+BB216/'2. Consolidated'!BB90</f>
        <v>7.1518874112946502</v>
      </c>
      <c r="BC236" s="466">
        <f>+BC216/'2. Consolidated'!BC90</f>
        <v>7.0792943584803414</v>
      </c>
      <c r="BD236" s="466">
        <f>+BD216/'2. Consolidated'!BD90</f>
        <v>6.0252540806898676</v>
      </c>
      <c r="BE236" s="466">
        <f>+BE216/'2. Consolidated'!BE90</f>
        <v>5.9785522788203753</v>
      </c>
      <c r="BF236" s="467">
        <f>+BF216/'2. Consolidated'!BF90</f>
        <v>5.9444149943203328</v>
      </c>
      <c r="BG236" s="466">
        <f>+BG216/'2. Consolidated'!BG90</f>
        <v>5.5017131669114043</v>
      </c>
      <c r="BH236" s="466">
        <f>+BH216/'2. Consolidated'!BH90</f>
        <v>5.3859443450360951</v>
      </c>
      <c r="BI236" s="466">
        <f>+BI216/'2. Consolidated'!BI90</f>
        <v>5.5672216699801194</v>
      </c>
      <c r="BJ236" s="466">
        <f>+BJ216/'2. Consolidated'!BJ90</f>
        <v>5.6236391912908239</v>
      </c>
      <c r="BK236" s="467">
        <f>+BK216/'2. Consolidated'!BK90</f>
        <v>5.5869719724359559</v>
      </c>
      <c r="BL236" s="466">
        <f>+BL216/'2. Consolidated'!BL90</f>
        <v>5.7589984350547727</v>
      </c>
      <c r="BM236" s="466">
        <f>+BM216/'2. Consolidated'!BM90</f>
        <v>5.8649021575514295</v>
      </c>
      <c r="BN236" s="466">
        <f>+BN216/'2. Consolidated'!BN90</f>
        <v>5.6829605428499628</v>
      </c>
      <c r="BO236" s="466">
        <f>+BO216/'2. Consolidated'!BO90</f>
        <v>5.1777334961753549</v>
      </c>
      <c r="BP236" s="467">
        <f>+BP216/'2. Consolidated'!BP90</f>
        <v>5.0826602725896013</v>
      </c>
      <c r="BQ236" s="466">
        <f>+BQ216/'2. Consolidated'!BQ90</f>
        <v>5.7892424527709787</v>
      </c>
      <c r="BR236" s="466">
        <f>+BR216/'2. Consolidated'!BR90</f>
        <v>6.610748679714197</v>
      </c>
      <c r="BS236" s="466">
        <f>+BS216/'2. Consolidated'!BS90</f>
        <v>7.3789349990722988</v>
      </c>
      <c r="BT236" s="466">
        <f>+BT216/'2. Consolidated'!BT90</f>
        <v>7.905752678184407</v>
      </c>
      <c r="BU236" s="467">
        <f>+BU216/'2. Consolidated'!BU90</f>
        <v>7.9364684673483969</v>
      </c>
      <c r="BV236" s="466">
        <f>+BV216/'2. Consolidated'!BV90</f>
        <v>8.8558903432946412</v>
      </c>
      <c r="BW236" s="466">
        <f>+BW216/'2. Consolidated'!BW90</f>
        <v>9.2271546927167059</v>
      </c>
      <c r="BX236" s="466">
        <f>+BX216/'2. Consolidated'!BX90</f>
        <v>9.1941391941391934</v>
      </c>
      <c r="BY236" s="466">
        <f>+BY216/'2. Consolidated'!BY90</f>
        <v>9.5805642633228842</v>
      </c>
      <c r="BZ236" s="467">
        <f>+BZ216/'2. Consolidated'!BZ90</f>
        <v>9.4873267418939271</v>
      </c>
      <c r="CA236" s="466">
        <f>+CA216/'2. Consolidated'!CA90</f>
        <v>9.9772985244040857</v>
      </c>
      <c r="CB236" s="466">
        <f>+CB216/'2. Consolidated'!CB90</f>
        <v>9.7125413380819126</v>
      </c>
      <c r="CC236" s="466">
        <f>+CC216/'2. Consolidated'!CC90</f>
        <v>9.2861707566462162</v>
      </c>
      <c r="CD236" s="466">
        <f>+CD216/'2. Consolidated'!CD90</f>
        <v>8.9982651159802103</v>
      </c>
      <c r="CE236" s="467">
        <f>+CE216/'2. Consolidated'!CE90</f>
        <v>8.9207395728823276</v>
      </c>
      <c r="CF236" s="466">
        <f>+CF216/'2. Consolidated'!CF90</f>
        <v>9.0526793235275065</v>
      </c>
      <c r="CG236" s="466">
        <f>+CG216/'2. Consolidated'!CG90</f>
        <v>9.2330787807584365</v>
      </c>
      <c r="CH236" s="466">
        <f>+CH216/'2. Consolidated'!CH90</f>
        <v>9.3193580085162129</v>
      </c>
      <c r="CI236" s="466">
        <f>+CI216/'2. Consolidated'!CI90</f>
        <v>9.5140766137007979</v>
      </c>
      <c r="CJ236" s="467">
        <f>+CJ216/'2. Consolidated'!CJ90</f>
        <v>9.4335305462033805</v>
      </c>
      <c r="CK236" s="466">
        <f>+CK216/'2. Consolidated'!CK90</f>
        <v>9.2836218375499335</v>
      </c>
      <c r="CL236" s="466">
        <f>+CL216/'2. Consolidated'!CL90</f>
        <v>9.4208053691275175</v>
      </c>
      <c r="CM236" s="466">
        <f>+CM216/'2. Consolidated'!CM90</f>
        <v>9.460353910576794</v>
      </c>
      <c r="CN236" s="466">
        <f>+CN216/'2. Consolidated'!CN90</f>
        <v>8.9415984299925562</v>
      </c>
      <c r="CO236" s="467">
        <f>+CO216/'2. Consolidated'!CO90</f>
        <v>8.8822412315345449</v>
      </c>
      <c r="CP236" s="466">
        <f>+CP216/'2. Consolidated'!CP90</f>
        <v>9.1061528059499661</v>
      </c>
      <c r="CQ236" s="466">
        <f>+CQ216/'2. Consolidated'!CQ90</f>
        <v>9.5104659014179607</v>
      </c>
      <c r="CR236" s="466">
        <f>+CR216/'2. Consolidated'!CR90</f>
        <v>9.5099892008639308</v>
      </c>
      <c r="CS236" s="466">
        <f>+CS216/'2. Consolidated'!CS90</f>
        <v>10.024276755007079</v>
      </c>
      <c r="CT236" s="467">
        <f>+CT216/'2. Consolidated'!CT90</f>
        <v>10.036289982276985</v>
      </c>
      <c r="CU236" s="466">
        <f>+CU216/'2. Consolidated'!CU90</f>
        <v>10.25468265732381</v>
      </c>
      <c r="CV236" s="466">
        <f>+CV216/'2. Consolidated'!CV90</f>
        <v>10.542610803798757</v>
      </c>
      <c r="CW236" s="466">
        <f>+CW216/'2. Consolidated'!CW90</f>
        <v>10.521604430049472</v>
      </c>
      <c r="CX236" s="466">
        <f>+CX216/'2. Consolidated'!CX90</f>
        <v>10.355262168414821</v>
      </c>
      <c r="CY236" s="467">
        <f>+CY216/'2. Consolidated'!CY90</f>
        <v>10.30403713585893</v>
      </c>
      <c r="CZ236" s="466">
        <f>+CZ216/'2. Consolidated'!CZ90</f>
        <v>10.52834695867787</v>
      </c>
      <c r="DA236" s="466">
        <f>+DA216/'2. Consolidated'!DA90</f>
        <v>10.550087773098991</v>
      </c>
      <c r="DB236" s="466">
        <f>+DB216/'2. Consolidated'!DB90</f>
        <v>10.517725170347923</v>
      </c>
      <c r="DC236" s="466">
        <f>+DC216/'2. Consolidated'!DC90</f>
        <v>10.332790693702659</v>
      </c>
      <c r="DD236" s="467">
        <f>+DD216/'2. Consolidated'!DD90</f>
        <v>10.338957417242076</v>
      </c>
      <c r="DE236" s="466">
        <f>+DE216/'2. Consolidated'!DE90</f>
        <v>10.364023503053458</v>
      </c>
      <c r="DF236" s="466">
        <f>+DF216/'2. Consolidated'!DF90</f>
        <v>10.252572944037569</v>
      </c>
      <c r="DG236" s="466">
        <f>+DG216/'2. Consolidated'!DG90</f>
        <v>10.079398004346006</v>
      </c>
      <c r="DH236" s="466">
        <f>+DH216/'2. Consolidated'!DH90</f>
        <v>9.7619983419172538</v>
      </c>
      <c r="DI236" s="467">
        <f>+DI216/'2. Consolidated'!DI90</f>
        <v>9.7147392651457274</v>
      </c>
    </row>
    <row r="237" spans="1:113" ht="12" customHeight="1">
      <c r="A237" s="219"/>
      <c r="B237" s="465"/>
      <c r="C237" s="2"/>
      <c r="D237" s="13"/>
      <c r="E237" s="2"/>
      <c r="F237" s="13"/>
      <c r="G237" s="2"/>
      <c r="H237" s="13"/>
      <c r="I237" s="2"/>
      <c r="J237" s="13"/>
      <c r="K237" s="9"/>
      <c r="L237" s="41"/>
      <c r="M237" s="9"/>
      <c r="N237" s="41"/>
      <c r="O237" s="41"/>
      <c r="P237" s="9"/>
      <c r="Q237" s="41"/>
      <c r="R237" s="9"/>
      <c r="S237" s="9"/>
      <c r="T237" s="9"/>
      <c r="U237" s="9"/>
      <c r="V237" s="41"/>
      <c r="W237" s="9"/>
      <c r="X237" s="9"/>
      <c r="Y237" s="9"/>
      <c r="Z237" s="9"/>
      <c r="AA237" s="41"/>
      <c r="AB237" s="41"/>
      <c r="AC237" s="9"/>
      <c r="AD237" s="9"/>
      <c r="AE237" s="9"/>
      <c r="AF237" s="9"/>
      <c r="AG237" s="41"/>
      <c r="AH237" s="9"/>
      <c r="AI237" s="9"/>
      <c r="AJ237" s="9"/>
      <c r="AK237" s="9"/>
      <c r="AL237" s="41"/>
      <c r="AM237" s="9"/>
      <c r="AN237" s="9"/>
      <c r="AO237" s="9"/>
      <c r="AP237" s="9"/>
      <c r="AQ237" s="41"/>
      <c r="AR237" s="9"/>
      <c r="AS237" s="9"/>
      <c r="AT237" s="9"/>
      <c r="AU237" s="9"/>
      <c r="AV237" s="41"/>
      <c r="AW237" s="9"/>
      <c r="AX237" s="9"/>
      <c r="AY237" s="9"/>
      <c r="AZ237" s="9"/>
      <c r="BA237" s="41"/>
      <c r="BB237" s="9"/>
      <c r="BC237" s="9"/>
      <c r="BD237" s="9"/>
      <c r="BE237" s="9"/>
      <c r="BF237" s="41"/>
      <c r="BG237" s="9"/>
      <c r="BH237" s="9"/>
      <c r="BI237" s="9"/>
      <c r="BJ237" s="9"/>
      <c r="BK237" s="41"/>
      <c r="BL237" s="9"/>
      <c r="BM237" s="9"/>
      <c r="BN237" s="9"/>
      <c r="BO237" s="9"/>
      <c r="BP237" s="41"/>
      <c r="BQ237" s="9"/>
      <c r="BR237" s="9"/>
      <c r="BS237" s="9"/>
      <c r="BT237" s="9"/>
      <c r="BU237" s="41"/>
      <c r="BV237" s="9"/>
      <c r="BW237" s="9"/>
      <c r="BX237" s="9"/>
      <c r="BY237" s="9"/>
      <c r="BZ237" s="41"/>
      <c r="CA237" s="9"/>
      <c r="CB237" s="9"/>
      <c r="CC237" s="9"/>
      <c r="CD237" s="9"/>
      <c r="CE237" s="41"/>
      <c r="CF237" s="9"/>
      <c r="CG237" s="9"/>
      <c r="CH237" s="9"/>
      <c r="CI237" s="9"/>
      <c r="CJ237" s="41"/>
      <c r="CK237" s="9"/>
      <c r="CL237" s="9"/>
      <c r="CM237" s="9"/>
      <c r="CN237" s="9"/>
      <c r="CO237" s="41"/>
      <c r="CP237" s="9"/>
      <c r="CQ237" s="9"/>
      <c r="CR237" s="9"/>
      <c r="CS237" s="9"/>
      <c r="CT237" s="41"/>
      <c r="CU237" s="9"/>
      <c r="CV237" s="9"/>
      <c r="CW237" s="9"/>
      <c r="CX237" s="9"/>
      <c r="CY237" s="41"/>
      <c r="CZ237" s="9"/>
      <c r="DA237" s="9"/>
      <c r="DB237" s="9"/>
      <c r="DC237" s="9"/>
      <c r="DD237" s="41"/>
      <c r="DE237" s="9"/>
      <c r="DF237" s="9"/>
      <c r="DG237" s="9"/>
      <c r="DH237" s="9"/>
      <c r="DI237" s="41"/>
    </row>
    <row r="238" spans="1:113" s="7" customFormat="1" ht="12" customHeight="1">
      <c r="A238" s="239"/>
      <c r="B238" s="450" t="s">
        <v>53</v>
      </c>
      <c r="C238" s="43">
        <f t="shared" ref="C238:AA238" si="620">C207+C213</f>
        <v>461.94900000000001</v>
      </c>
      <c r="D238" s="36">
        <f t="shared" si="620"/>
        <v>851.38900000000001</v>
      </c>
      <c r="E238" s="43">
        <f t="shared" si="620"/>
        <v>861.22100000000205</v>
      </c>
      <c r="F238" s="36">
        <f t="shared" si="620"/>
        <v>806.2</v>
      </c>
      <c r="G238" s="43">
        <f t="shared" si="620"/>
        <v>1444.6000000000001</v>
      </c>
      <c r="H238" s="36">
        <f t="shared" si="620"/>
        <v>1296.5999999999999</v>
      </c>
      <c r="I238" s="43">
        <f t="shared" si="620"/>
        <v>1106.4000000000001</v>
      </c>
      <c r="J238" s="36">
        <f t="shared" si="620"/>
        <v>832.7</v>
      </c>
      <c r="K238" s="43">
        <f t="shared" si="620"/>
        <v>835</v>
      </c>
      <c r="L238" s="36">
        <f t="shared" si="620"/>
        <v>763.3</v>
      </c>
      <c r="M238" s="43">
        <f t="shared" si="620"/>
        <v>709.4</v>
      </c>
      <c r="N238" s="36">
        <f t="shared" si="620"/>
        <v>541.20000000000005</v>
      </c>
      <c r="O238" s="36">
        <f t="shared" si="620"/>
        <v>625.1</v>
      </c>
      <c r="P238" s="43">
        <f t="shared" si="620"/>
        <v>812.09999999999991</v>
      </c>
      <c r="Q238" s="36">
        <f t="shared" si="620"/>
        <v>592</v>
      </c>
      <c r="R238" s="43">
        <f t="shared" si="620"/>
        <v>583</v>
      </c>
      <c r="S238" s="43">
        <f t="shared" si="620"/>
        <v>598</v>
      </c>
      <c r="T238" s="43">
        <f t="shared" si="620"/>
        <v>613</v>
      </c>
      <c r="U238" s="43">
        <f t="shared" si="620"/>
        <v>663</v>
      </c>
      <c r="V238" s="36">
        <f t="shared" si="620"/>
        <v>663</v>
      </c>
      <c r="W238" s="43">
        <f t="shared" si="620"/>
        <v>518</v>
      </c>
      <c r="X238" s="43">
        <f t="shared" si="620"/>
        <v>471</v>
      </c>
      <c r="Y238" s="43">
        <f t="shared" si="620"/>
        <v>369</v>
      </c>
      <c r="Z238" s="43">
        <f t="shared" si="620"/>
        <v>385</v>
      </c>
      <c r="AA238" s="36">
        <f t="shared" si="620"/>
        <v>385</v>
      </c>
      <c r="AB238" s="36"/>
      <c r="AC238" s="43">
        <f t="shared" ref="AC238:BH238" si="621">AC207+AC213</f>
        <v>364</v>
      </c>
      <c r="AD238" s="43">
        <f t="shared" si="621"/>
        <v>328</v>
      </c>
      <c r="AE238" s="43">
        <f t="shared" si="621"/>
        <v>321</v>
      </c>
      <c r="AF238" s="43">
        <f t="shared" si="621"/>
        <v>1388</v>
      </c>
      <c r="AG238" s="36">
        <f t="shared" si="621"/>
        <v>1388</v>
      </c>
      <c r="AH238" s="43">
        <f t="shared" si="621"/>
        <v>1375</v>
      </c>
      <c r="AI238" s="43">
        <f t="shared" si="621"/>
        <v>1381</v>
      </c>
      <c r="AJ238" s="43">
        <f t="shared" si="621"/>
        <v>1327</v>
      </c>
      <c r="AK238" s="43">
        <f t="shared" si="621"/>
        <v>1373</v>
      </c>
      <c r="AL238" s="36">
        <f t="shared" si="621"/>
        <v>1373</v>
      </c>
      <c r="AM238" s="43">
        <f t="shared" si="621"/>
        <v>1347</v>
      </c>
      <c r="AN238" s="43">
        <f t="shared" si="621"/>
        <v>1287</v>
      </c>
      <c r="AO238" s="43">
        <f t="shared" si="621"/>
        <v>1251</v>
      </c>
      <c r="AP238" s="43">
        <f t="shared" si="621"/>
        <v>1260</v>
      </c>
      <c r="AQ238" s="40">
        <f t="shared" si="621"/>
        <v>1260</v>
      </c>
      <c r="AR238" s="39">
        <f t="shared" si="621"/>
        <v>1208</v>
      </c>
      <c r="AS238" s="39">
        <f t="shared" si="621"/>
        <v>2171</v>
      </c>
      <c r="AT238" s="39">
        <f t="shared" si="621"/>
        <v>2055</v>
      </c>
      <c r="AU238" s="39">
        <f t="shared" si="621"/>
        <v>2055</v>
      </c>
      <c r="AV238" s="40">
        <f t="shared" si="621"/>
        <v>2055</v>
      </c>
      <c r="AW238" s="39">
        <f t="shared" si="621"/>
        <v>2059</v>
      </c>
      <c r="AX238" s="39">
        <f t="shared" si="621"/>
        <v>3537</v>
      </c>
      <c r="AY238" s="39">
        <f t="shared" si="621"/>
        <v>3501</v>
      </c>
      <c r="AZ238" s="39">
        <f t="shared" si="621"/>
        <v>3802</v>
      </c>
      <c r="BA238" s="40">
        <f t="shared" si="621"/>
        <v>3802</v>
      </c>
      <c r="BB238" s="39">
        <f t="shared" si="621"/>
        <v>3814</v>
      </c>
      <c r="BC238" s="39">
        <f t="shared" si="621"/>
        <v>4711</v>
      </c>
      <c r="BD238" s="39">
        <f t="shared" si="621"/>
        <v>3486</v>
      </c>
      <c r="BE238" s="39">
        <f t="shared" si="621"/>
        <v>3810</v>
      </c>
      <c r="BF238" s="40">
        <f t="shared" si="621"/>
        <v>3810</v>
      </c>
      <c r="BG238" s="39">
        <f t="shared" si="621"/>
        <v>3486</v>
      </c>
      <c r="BH238" s="39">
        <f t="shared" si="621"/>
        <v>3481</v>
      </c>
      <c r="BI238" s="39">
        <f t="shared" ref="BI238:CN238" si="622">BI207+BI213</f>
        <v>3487</v>
      </c>
      <c r="BJ238" s="39">
        <f t="shared" si="622"/>
        <v>3479</v>
      </c>
      <c r="BK238" s="40">
        <f t="shared" si="622"/>
        <v>3479</v>
      </c>
      <c r="BL238" s="39">
        <f t="shared" si="622"/>
        <v>3719</v>
      </c>
      <c r="BM238" s="39">
        <f t="shared" si="622"/>
        <v>3768</v>
      </c>
      <c r="BN238" s="39">
        <f t="shared" si="622"/>
        <v>3476</v>
      </c>
      <c r="BO238" s="39">
        <f t="shared" si="622"/>
        <v>9657</v>
      </c>
      <c r="BP238" s="40">
        <f t="shared" si="622"/>
        <v>9657</v>
      </c>
      <c r="BQ238" s="39">
        <f t="shared" si="622"/>
        <v>9546</v>
      </c>
      <c r="BR238" s="39">
        <f t="shared" si="622"/>
        <v>9451</v>
      </c>
      <c r="BS238" s="39">
        <f t="shared" si="622"/>
        <v>9416</v>
      </c>
      <c r="BT238" s="39">
        <f t="shared" si="622"/>
        <v>9415</v>
      </c>
      <c r="BU238" s="40">
        <f t="shared" si="622"/>
        <v>9415</v>
      </c>
      <c r="BV238" s="39">
        <f t="shared" si="622"/>
        <v>9430</v>
      </c>
      <c r="BW238" s="39">
        <f t="shared" si="622"/>
        <v>9426</v>
      </c>
      <c r="BX238" s="39">
        <f t="shared" si="622"/>
        <v>9418</v>
      </c>
      <c r="BY238" s="39">
        <f t="shared" si="622"/>
        <v>9430</v>
      </c>
      <c r="BZ238" s="40">
        <f t="shared" si="622"/>
        <v>9430</v>
      </c>
      <c r="CA238" s="39">
        <f t="shared" si="622"/>
        <v>9431</v>
      </c>
      <c r="CB238" s="39">
        <f t="shared" si="622"/>
        <v>9431</v>
      </c>
      <c r="CC238" s="39">
        <f t="shared" si="622"/>
        <v>9439</v>
      </c>
      <c r="CD238" s="39">
        <f t="shared" si="622"/>
        <v>8933</v>
      </c>
      <c r="CE238" s="40">
        <f t="shared" si="622"/>
        <v>8933</v>
      </c>
      <c r="CF238" s="39">
        <f t="shared" si="622"/>
        <v>8935</v>
      </c>
      <c r="CG238" s="39">
        <f t="shared" si="622"/>
        <v>8936</v>
      </c>
      <c r="CH238" s="39">
        <f t="shared" si="622"/>
        <v>8936</v>
      </c>
      <c r="CI238" s="39">
        <f t="shared" si="622"/>
        <v>8909</v>
      </c>
      <c r="CJ238" s="40">
        <f t="shared" si="622"/>
        <v>8909</v>
      </c>
      <c r="CK238" s="39">
        <f t="shared" si="622"/>
        <v>9010</v>
      </c>
      <c r="CL238" s="39">
        <f t="shared" si="622"/>
        <v>9022</v>
      </c>
      <c r="CM238" s="39">
        <f t="shared" si="622"/>
        <v>8960</v>
      </c>
      <c r="CN238" s="39">
        <f t="shared" si="622"/>
        <v>7966</v>
      </c>
      <c r="CO238" s="40">
        <f t="shared" ref="CO238:DD238" si="623">CO207+CO213</f>
        <v>7966</v>
      </c>
      <c r="CP238" s="39">
        <f t="shared" si="623"/>
        <v>8000</v>
      </c>
      <c r="CQ238" s="39">
        <f t="shared" si="623"/>
        <v>8015</v>
      </c>
      <c r="CR238" s="39">
        <f t="shared" si="623"/>
        <v>8029</v>
      </c>
      <c r="CS238" s="39">
        <f t="shared" si="623"/>
        <v>7942</v>
      </c>
      <c r="CT238" s="40">
        <f t="shared" si="623"/>
        <v>7942</v>
      </c>
      <c r="CU238" s="39">
        <f t="shared" si="623"/>
        <v>7893</v>
      </c>
      <c r="CV238" s="39">
        <f t="shared" si="623"/>
        <v>7893</v>
      </c>
      <c r="CW238" s="39">
        <f t="shared" si="623"/>
        <v>7893</v>
      </c>
      <c r="CX238" s="39">
        <f t="shared" si="623"/>
        <v>7893</v>
      </c>
      <c r="CY238" s="40">
        <f t="shared" si="623"/>
        <v>7893</v>
      </c>
      <c r="CZ238" s="39">
        <f t="shared" si="623"/>
        <v>7893</v>
      </c>
      <c r="DA238" s="39">
        <f t="shared" si="623"/>
        <v>7893</v>
      </c>
      <c r="DB238" s="39">
        <f t="shared" si="623"/>
        <v>7893</v>
      </c>
      <c r="DC238" s="39">
        <f t="shared" si="623"/>
        <v>7893</v>
      </c>
      <c r="DD238" s="40">
        <f t="shared" si="623"/>
        <v>7893</v>
      </c>
      <c r="DE238" s="39">
        <f t="shared" ref="DE238:DI238" si="624">DE207+DE213</f>
        <v>7893</v>
      </c>
      <c r="DF238" s="39">
        <f t="shared" si="624"/>
        <v>7893</v>
      </c>
      <c r="DG238" s="39">
        <f t="shared" si="624"/>
        <v>7893</v>
      </c>
      <c r="DH238" s="39">
        <f t="shared" si="624"/>
        <v>7893</v>
      </c>
      <c r="DI238" s="40">
        <f t="shared" si="624"/>
        <v>7893</v>
      </c>
    </row>
    <row r="239" spans="1:113" s="7" customFormat="1" ht="12" customHeight="1">
      <c r="A239" s="239"/>
      <c r="B239" s="450" t="s">
        <v>54</v>
      </c>
      <c r="C239" s="39">
        <f t="shared" ref="C239:AA239" si="625">C238-C185-C186</f>
        <v>199.83199999999999</v>
      </c>
      <c r="D239" s="40">
        <f t="shared" si="625"/>
        <v>405.96800000000002</v>
      </c>
      <c r="E239" s="39">
        <f t="shared" si="625"/>
        <v>752.60000000000059</v>
      </c>
      <c r="F239" s="40">
        <f t="shared" si="625"/>
        <v>608.1</v>
      </c>
      <c r="G239" s="39">
        <f t="shared" si="625"/>
        <v>1190.3000000000002</v>
      </c>
      <c r="H239" s="40">
        <f t="shared" si="625"/>
        <v>992.59999999999991</v>
      </c>
      <c r="I239" s="39">
        <f t="shared" si="625"/>
        <v>530.90000000000009</v>
      </c>
      <c r="J239" s="40">
        <f t="shared" si="625"/>
        <v>198.70000000000005</v>
      </c>
      <c r="K239" s="39">
        <f t="shared" si="625"/>
        <v>-393.8</v>
      </c>
      <c r="L239" s="40">
        <f t="shared" si="625"/>
        <v>-1061.4000000000001</v>
      </c>
      <c r="M239" s="39">
        <f t="shared" si="625"/>
        <v>-1593.6</v>
      </c>
      <c r="N239" s="40">
        <f t="shared" si="625"/>
        <v>-2305.8000000000002</v>
      </c>
      <c r="O239" s="40">
        <f t="shared" si="625"/>
        <v>-2151</v>
      </c>
      <c r="P239" s="39">
        <f t="shared" si="625"/>
        <v>-2643</v>
      </c>
      <c r="Q239" s="40">
        <f t="shared" si="625"/>
        <v>-4554</v>
      </c>
      <c r="R239" s="39">
        <f t="shared" si="625"/>
        <v>-4105</v>
      </c>
      <c r="S239" s="39">
        <f t="shared" si="625"/>
        <v>-4191</v>
      </c>
      <c r="T239" s="39">
        <f t="shared" si="625"/>
        <v>-3852</v>
      </c>
      <c r="U239" s="39">
        <f t="shared" si="625"/>
        <v>-3875</v>
      </c>
      <c r="V239" s="40">
        <f t="shared" si="625"/>
        <v>-3875</v>
      </c>
      <c r="W239" s="39">
        <f t="shared" si="625"/>
        <v>-3182</v>
      </c>
      <c r="X239" s="39">
        <f t="shared" si="625"/>
        <v>-2894</v>
      </c>
      <c r="Y239" s="39">
        <f t="shared" si="625"/>
        <v>-2828</v>
      </c>
      <c r="Z239" s="39">
        <f t="shared" si="625"/>
        <v>-3372</v>
      </c>
      <c r="AA239" s="40">
        <f t="shared" si="625"/>
        <v>-3372</v>
      </c>
      <c r="AB239" s="40"/>
      <c r="AC239" s="39">
        <f t="shared" ref="AC239:BH239" si="626">AC238-AC185-AC186</f>
        <v>-2903</v>
      </c>
      <c r="AD239" s="39">
        <f t="shared" si="626"/>
        <v>-3197</v>
      </c>
      <c r="AE239" s="39">
        <f t="shared" si="626"/>
        <v>-3721</v>
      </c>
      <c r="AF239" s="39">
        <f t="shared" si="626"/>
        <v>-4577</v>
      </c>
      <c r="AG239" s="40">
        <f t="shared" si="626"/>
        <v>-4577</v>
      </c>
      <c r="AH239" s="39">
        <f t="shared" si="626"/>
        <v>-4203</v>
      </c>
      <c r="AI239" s="39">
        <f t="shared" si="626"/>
        <v>-3806</v>
      </c>
      <c r="AJ239" s="39">
        <f t="shared" si="626"/>
        <v>-3702</v>
      </c>
      <c r="AK239" s="39">
        <f t="shared" si="626"/>
        <v>-3769</v>
      </c>
      <c r="AL239" s="40">
        <f t="shared" si="626"/>
        <v>-3769</v>
      </c>
      <c r="AM239" s="39">
        <f t="shared" si="626"/>
        <v>-3232</v>
      </c>
      <c r="AN239" s="39">
        <f t="shared" si="626"/>
        <v>-3426</v>
      </c>
      <c r="AO239" s="39">
        <f t="shared" si="626"/>
        <v>-4110</v>
      </c>
      <c r="AP239" s="39">
        <f t="shared" si="626"/>
        <v>-4664</v>
      </c>
      <c r="AQ239" s="40">
        <f t="shared" si="626"/>
        <v>-4664</v>
      </c>
      <c r="AR239" s="39">
        <f t="shared" si="626"/>
        <v>-4200</v>
      </c>
      <c r="AS239" s="39">
        <f t="shared" si="626"/>
        <v>-3945</v>
      </c>
      <c r="AT239" s="39">
        <f t="shared" si="626"/>
        <v>-3051</v>
      </c>
      <c r="AU239" s="39">
        <f t="shared" si="626"/>
        <v>-3402</v>
      </c>
      <c r="AV239" s="40">
        <f t="shared" si="626"/>
        <v>-3402</v>
      </c>
      <c r="AW239" s="39">
        <f t="shared" si="626"/>
        <v>-2728</v>
      </c>
      <c r="AX239" s="39">
        <f t="shared" si="626"/>
        <v>-2406</v>
      </c>
      <c r="AY239" s="39">
        <f t="shared" si="626"/>
        <v>-2659</v>
      </c>
      <c r="AZ239" s="39">
        <f t="shared" si="626"/>
        <v>-2377</v>
      </c>
      <c r="BA239" s="40">
        <f t="shared" si="626"/>
        <v>-2377</v>
      </c>
      <c r="BB239" s="39">
        <f t="shared" si="626"/>
        <v>-1705</v>
      </c>
      <c r="BC239" s="39">
        <f t="shared" si="626"/>
        <v>-1678</v>
      </c>
      <c r="BD239" s="39">
        <f t="shared" si="626"/>
        <v>-1265</v>
      </c>
      <c r="BE239" s="39">
        <f t="shared" si="626"/>
        <v>-1435</v>
      </c>
      <c r="BF239" s="40">
        <f t="shared" si="626"/>
        <v>-1435</v>
      </c>
      <c r="BG239" s="39">
        <f t="shared" si="626"/>
        <v>-783</v>
      </c>
      <c r="BH239" s="39">
        <f t="shared" si="626"/>
        <v>-560</v>
      </c>
      <c r="BI239" s="39">
        <f t="shared" ref="BI239:CN239" si="627">BI238-BI185-BI186</f>
        <v>-559</v>
      </c>
      <c r="BJ239" s="39">
        <f t="shared" si="627"/>
        <v>-1184</v>
      </c>
      <c r="BK239" s="40">
        <f t="shared" si="627"/>
        <v>-1184</v>
      </c>
      <c r="BL239" s="39">
        <f t="shared" si="627"/>
        <v>75</v>
      </c>
      <c r="BM239" s="39">
        <f t="shared" si="627"/>
        <v>266</v>
      </c>
      <c r="BN239" s="39">
        <f t="shared" si="627"/>
        <v>294</v>
      </c>
      <c r="BO239" s="39">
        <f t="shared" si="627"/>
        <v>870</v>
      </c>
      <c r="BP239" s="40">
        <f t="shared" si="627"/>
        <v>870</v>
      </c>
      <c r="BQ239" s="39">
        <f t="shared" si="627"/>
        <v>66</v>
      </c>
      <c r="BR239" s="39">
        <f t="shared" si="627"/>
        <v>-2361</v>
      </c>
      <c r="BS239" s="39">
        <f t="shared" si="627"/>
        <v>-3112</v>
      </c>
      <c r="BT239" s="39">
        <f t="shared" si="627"/>
        <v>-4061</v>
      </c>
      <c r="BU239" s="40">
        <f t="shared" si="627"/>
        <v>-4061</v>
      </c>
      <c r="BV239" s="39">
        <f t="shared" si="627"/>
        <v>-4265</v>
      </c>
      <c r="BW239" s="39">
        <f t="shared" si="627"/>
        <v>-5677</v>
      </c>
      <c r="BX239" s="39">
        <f t="shared" si="627"/>
        <v>-4049</v>
      </c>
      <c r="BY239" s="39">
        <f t="shared" si="627"/>
        <v>-3567</v>
      </c>
      <c r="BZ239" s="40">
        <f t="shared" si="627"/>
        <v>-3567</v>
      </c>
      <c r="CA239" s="39">
        <f t="shared" si="627"/>
        <v>-2445</v>
      </c>
      <c r="CB239" s="39">
        <f t="shared" si="627"/>
        <v>-1190</v>
      </c>
      <c r="CC239" s="39">
        <f t="shared" si="627"/>
        <v>-1363</v>
      </c>
      <c r="CD239" s="39">
        <f t="shared" si="627"/>
        <v>-1742</v>
      </c>
      <c r="CE239" s="40">
        <f t="shared" si="627"/>
        <v>-1742</v>
      </c>
      <c r="CF239" s="39">
        <f t="shared" si="627"/>
        <v>145</v>
      </c>
      <c r="CG239" s="39">
        <f t="shared" si="627"/>
        <v>-991</v>
      </c>
      <c r="CH239" s="39">
        <f t="shared" si="627"/>
        <v>-1637</v>
      </c>
      <c r="CI239" s="39">
        <f t="shared" si="627"/>
        <v>-2673</v>
      </c>
      <c r="CJ239" s="40">
        <f t="shared" si="627"/>
        <v>-2673</v>
      </c>
      <c r="CK239" s="39">
        <f t="shared" si="627"/>
        <v>-1284</v>
      </c>
      <c r="CL239" s="39">
        <f t="shared" si="627"/>
        <v>-739</v>
      </c>
      <c r="CM239" s="39">
        <f t="shared" si="627"/>
        <v>-1433</v>
      </c>
      <c r="CN239" s="39">
        <f t="shared" si="627"/>
        <v>-1185</v>
      </c>
      <c r="CO239" s="40">
        <f t="shared" ref="CO239:DD239" si="628">CO238-CO185-CO186</f>
        <v>-1185</v>
      </c>
      <c r="CP239" s="39">
        <f t="shared" si="628"/>
        <v>-575</v>
      </c>
      <c r="CQ239" s="39">
        <f t="shared" si="628"/>
        <v>-330</v>
      </c>
      <c r="CR239" s="39">
        <f t="shared" si="628"/>
        <v>-28</v>
      </c>
      <c r="CS239" s="39">
        <f t="shared" si="628"/>
        <v>-1085</v>
      </c>
      <c r="CT239" s="40">
        <f t="shared" si="628"/>
        <v>-1085</v>
      </c>
      <c r="CU239" s="39">
        <f t="shared" si="628"/>
        <v>-475</v>
      </c>
      <c r="CV239" s="39">
        <f t="shared" si="628"/>
        <v>-795.16737901871602</v>
      </c>
      <c r="CW239" s="39">
        <f t="shared" si="628"/>
        <v>-905.91660008444978</v>
      </c>
      <c r="CX239" s="39">
        <f t="shared" si="628"/>
        <v>-735.20549116089387</v>
      </c>
      <c r="CY239" s="40">
        <f t="shared" si="628"/>
        <v>-735.20549116089387</v>
      </c>
      <c r="CZ239" s="39">
        <f t="shared" si="628"/>
        <v>-1166.5905559875155</v>
      </c>
      <c r="DA239" s="39">
        <f t="shared" si="628"/>
        <v>-1206.4065831117759</v>
      </c>
      <c r="DB239" s="39">
        <f t="shared" si="628"/>
        <v>-1153.4387390015581</v>
      </c>
      <c r="DC239" s="39">
        <f t="shared" si="628"/>
        <v>-959.07242163579303</v>
      </c>
      <c r="DD239" s="40">
        <f t="shared" si="628"/>
        <v>-959.07242163579303</v>
      </c>
      <c r="DE239" s="39">
        <f t="shared" ref="DE239:DI239" si="629">DE238-DE185-DE186</f>
        <v>-971.98430784313859</v>
      </c>
      <c r="DF239" s="39">
        <f t="shared" si="629"/>
        <v>-661.00646141005927</v>
      </c>
      <c r="DG239" s="39">
        <f t="shared" si="629"/>
        <v>-300.32343189991843</v>
      </c>
      <c r="DH239" s="39">
        <f t="shared" si="629"/>
        <v>206.03899544344404</v>
      </c>
      <c r="DI239" s="40">
        <f t="shared" si="629"/>
        <v>206.03899544344404</v>
      </c>
    </row>
    <row r="240" spans="1:113" ht="12" customHeight="1">
      <c r="A240" s="219"/>
      <c r="B240" s="449" t="s">
        <v>241</v>
      </c>
      <c r="C240" s="468">
        <f t="shared" ref="C240:Q240" si="630">C239/C224</f>
        <v>0.18633292492116155</v>
      </c>
      <c r="D240" s="469">
        <f t="shared" si="630"/>
        <v>0.26745724299681123</v>
      </c>
      <c r="E240" s="468">
        <f t="shared" si="630"/>
        <v>0.71792425832300055</v>
      </c>
      <c r="F240" s="469">
        <f t="shared" si="630"/>
        <v>0.57639810426540194</v>
      </c>
      <c r="G240" s="468">
        <f t="shared" si="630"/>
        <v>1.0148350242987463</v>
      </c>
      <c r="H240" s="469">
        <f t="shared" si="630"/>
        <v>0.81924727632882133</v>
      </c>
      <c r="I240" s="468">
        <f t="shared" si="630"/>
        <v>0.41110422796964541</v>
      </c>
      <c r="J240" s="469">
        <f t="shared" si="630"/>
        <v>0.13499558393912633</v>
      </c>
      <c r="K240" s="468">
        <f t="shared" si="630"/>
        <v>-0.21818383289932958</v>
      </c>
      <c r="L240" s="469">
        <f t="shared" si="630"/>
        <v>-0.49346785066716292</v>
      </c>
      <c r="M240" s="468">
        <f t="shared" si="630"/>
        <v>-0.66644362663098022</v>
      </c>
      <c r="N240" s="469">
        <f t="shared" si="630"/>
        <v>-0.9601499063085569</v>
      </c>
      <c r="O240" s="469">
        <f t="shared" si="630"/>
        <v>-0.78581083549483044</v>
      </c>
      <c r="P240" s="468">
        <f t="shared" si="630"/>
        <v>-0.91825035611298389</v>
      </c>
      <c r="Q240" s="469">
        <f t="shared" si="630"/>
        <v>-1.5996346903649576</v>
      </c>
      <c r="R240" s="468" t="s">
        <v>126</v>
      </c>
      <c r="S240" s="468" t="s">
        <v>126</v>
      </c>
      <c r="T240" s="468" t="s">
        <v>126</v>
      </c>
      <c r="U240" s="468">
        <f t="shared" ref="U240:AA240" si="631">U239/U224</f>
        <v>-1.2174049638705624</v>
      </c>
      <c r="V240" s="469">
        <f t="shared" si="631"/>
        <v>-1.2174049638705624</v>
      </c>
      <c r="W240" s="468">
        <f t="shared" si="631"/>
        <v>-0.96746731529340224</v>
      </c>
      <c r="X240" s="468">
        <f t="shared" si="631"/>
        <v>-0.87458446660622546</v>
      </c>
      <c r="Y240" s="468">
        <f t="shared" si="631"/>
        <v>-0.83718176435760805</v>
      </c>
      <c r="Z240" s="468">
        <f t="shared" si="631"/>
        <v>-1.0038701994641261</v>
      </c>
      <c r="AA240" s="469">
        <f t="shared" si="631"/>
        <v>-1.0038701994641261</v>
      </c>
      <c r="AB240" s="469"/>
      <c r="AC240" s="468">
        <f t="shared" ref="AC240:BH240" si="632">AC239/AC224</f>
        <v>-0.87518842327404278</v>
      </c>
      <c r="AD240" s="468">
        <f t="shared" si="632"/>
        <v>-0.93479532163742685</v>
      </c>
      <c r="AE240" s="468">
        <f t="shared" si="632"/>
        <v>-1.0568020448736155</v>
      </c>
      <c r="AF240" s="468">
        <f t="shared" si="632"/>
        <v>-1.240043348685993</v>
      </c>
      <c r="AG240" s="469">
        <f t="shared" si="632"/>
        <v>-1.240043348685993</v>
      </c>
      <c r="AH240" s="468">
        <f t="shared" si="632"/>
        <v>-1.060560181680545</v>
      </c>
      <c r="AI240" s="468">
        <f t="shared" si="632"/>
        <v>-0.95316804407713496</v>
      </c>
      <c r="AJ240" s="468">
        <f t="shared" si="632"/>
        <v>-0.91429982711780688</v>
      </c>
      <c r="AK240" s="468">
        <f t="shared" si="632"/>
        <v>-0.92039072039072034</v>
      </c>
      <c r="AL240" s="469">
        <f t="shared" si="632"/>
        <v>-0.92039072039072034</v>
      </c>
      <c r="AM240" s="468">
        <f t="shared" si="632"/>
        <v>-0.74953617810760664</v>
      </c>
      <c r="AN240" s="468">
        <f t="shared" si="632"/>
        <v>-0.76936896474286998</v>
      </c>
      <c r="AO240" s="468">
        <f t="shared" si="632"/>
        <v>-0.87113183552352691</v>
      </c>
      <c r="AP240" s="468">
        <f t="shared" si="632"/>
        <v>-0.95534616960262186</v>
      </c>
      <c r="AQ240" s="469">
        <f t="shared" si="632"/>
        <v>-0.95534616960262186</v>
      </c>
      <c r="AR240" s="468">
        <f t="shared" si="632"/>
        <v>-0.82175699471727648</v>
      </c>
      <c r="AS240" s="468">
        <f t="shared" si="632"/>
        <v>-0.75057077625570778</v>
      </c>
      <c r="AT240" s="468">
        <f t="shared" si="632"/>
        <v>-0.579047257544126</v>
      </c>
      <c r="AU240" s="468">
        <f t="shared" si="632"/>
        <v>-0.64140271493212675</v>
      </c>
      <c r="AV240" s="469">
        <f t="shared" si="632"/>
        <v>-0.64140271493212675</v>
      </c>
      <c r="AW240" s="468">
        <f t="shared" si="632"/>
        <v>-0.52960590176664724</v>
      </c>
      <c r="AX240" s="468">
        <f t="shared" si="632"/>
        <v>-0.45217064461567374</v>
      </c>
      <c r="AY240" s="468">
        <f t="shared" si="632"/>
        <v>-0.4800505506409099</v>
      </c>
      <c r="AZ240" s="468">
        <f t="shared" si="632"/>
        <v>-0.42063351619182443</v>
      </c>
      <c r="BA240" s="469">
        <f t="shared" si="632"/>
        <v>-0.42063351619182443</v>
      </c>
      <c r="BB240" s="468">
        <f t="shared" si="632"/>
        <v>-0.31244273410298701</v>
      </c>
      <c r="BC240" s="468">
        <f t="shared" si="632"/>
        <v>-0.32059610240733666</v>
      </c>
      <c r="BD240" s="468">
        <f t="shared" si="632"/>
        <v>-0.24931020890815925</v>
      </c>
      <c r="BE240" s="468">
        <f t="shared" si="632"/>
        <v>-0.2799453765119001</v>
      </c>
      <c r="BF240" s="469">
        <f t="shared" si="632"/>
        <v>-0.2799453765119001</v>
      </c>
      <c r="BG240" s="468">
        <f t="shared" si="632"/>
        <v>-0.14723580293343363</v>
      </c>
      <c r="BH240" s="468">
        <f t="shared" si="632"/>
        <v>-0.10330197380557093</v>
      </c>
      <c r="BI240" s="468">
        <f t="shared" ref="BI240:CN240" si="633">BI239/BI224</f>
        <v>-0.10081154192966636</v>
      </c>
      <c r="BJ240" s="468">
        <f t="shared" si="633"/>
        <v>-0.21314131413141313</v>
      </c>
      <c r="BK240" s="469">
        <f t="shared" si="633"/>
        <v>-0.21314131413141313</v>
      </c>
      <c r="BL240" s="468">
        <f t="shared" si="633"/>
        <v>1.2840267077555213E-2</v>
      </c>
      <c r="BM240" s="468">
        <f t="shared" si="633"/>
        <v>4.3649491302920909E-2</v>
      </c>
      <c r="BN240" s="468">
        <f t="shared" si="633"/>
        <v>4.8387096774193547E-2</v>
      </c>
      <c r="BO240" s="468">
        <f t="shared" si="633"/>
        <v>0.21235050036612155</v>
      </c>
      <c r="BP240" s="469">
        <f t="shared" si="633"/>
        <v>0.21235050036612155</v>
      </c>
      <c r="BQ240" s="468">
        <f t="shared" si="633"/>
        <v>1.532033426183844E-2</v>
      </c>
      <c r="BR240" s="468">
        <f t="shared" si="633"/>
        <v>-0.51505235602094246</v>
      </c>
      <c r="BS240" s="468">
        <f t="shared" si="633"/>
        <v>-0.62202678392964217</v>
      </c>
      <c r="BT240" s="468">
        <f t="shared" si="633"/>
        <v>-0.52967262292943784</v>
      </c>
      <c r="BU240" s="469">
        <f t="shared" si="633"/>
        <v>-0.52967262292943784</v>
      </c>
      <c r="BV240" s="468">
        <f t="shared" si="633"/>
        <v>-0.52974785740901753</v>
      </c>
      <c r="BW240" s="468">
        <f t="shared" si="633"/>
        <v>-0.70285997276216416</v>
      </c>
      <c r="BX240" s="468">
        <f t="shared" si="633"/>
        <v>-0.5</v>
      </c>
      <c r="BY240" s="468">
        <f t="shared" si="633"/>
        <v>-0.47101544962366304</v>
      </c>
      <c r="BZ240" s="469">
        <f t="shared" si="633"/>
        <v>-0.47101544962366304</v>
      </c>
      <c r="CA240" s="468">
        <f t="shared" si="633"/>
        <v>-0.33756730636476601</v>
      </c>
      <c r="CB240" s="468">
        <f t="shared" si="633"/>
        <v>-0.16201497617426822</v>
      </c>
      <c r="CC240" s="468">
        <f t="shared" si="633"/>
        <v>-0.19235111487440024</v>
      </c>
      <c r="CD240" s="468">
        <f t="shared" si="633"/>
        <v>-0.25253696723688024</v>
      </c>
      <c r="CE240" s="469">
        <f t="shared" si="633"/>
        <v>-0.25253696723688024</v>
      </c>
      <c r="CF240" s="468">
        <f t="shared" si="633"/>
        <v>2.1664425519199164E-2</v>
      </c>
      <c r="CG240" s="468">
        <f t="shared" si="633"/>
        <v>-0.14269258459323253</v>
      </c>
      <c r="CH240" s="468">
        <f t="shared" si="633"/>
        <v>-0.22538895773096518</v>
      </c>
      <c r="CI240" s="468">
        <f t="shared" si="633"/>
        <v>-0.34366160966829518</v>
      </c>
      <c r="CJ240" s="469">
        <f t="shared" si="633"/>
        <v>-0.34366160966829518</v>
      </c>
      <c r="CK240" s="468">
        <f t="shared" si="633"/>
        <v>-0.17292929292929293</v>
      </c>
      <c r="CL240" s="468">
        <f t="shared" si="633"/>
        <v>-0.10685367264314632</v>
      </c>
      <c r="CM240" s="468">
        <f t="shared" si="633"/>
        <v>-0.23971227835396453</v>
      </c>
      <c r="CN240" s="468">
        <f t="shared" si="633"/>
        <v>-0.26026795519437734</v>
      </c>
      <c r="CO240" s="469">
        <f t="shared" ref="CO240:DD240" si="634">CO239/CO224</f>
        <v>-0.26026795519437734</v>
      </c>
      <c r="CP240" s="468">
        <f t="shared" si="634"/>
        <v>-0.13706793802145412</v>
      </c>
      <c r="CQ240" s="468">
        <f t="shared" si="634"/>
        <v>-8.7255420412480175E-2</v>
      </c>
      <c r="CR240" s="468">
        <f t="shared" si="634"/>
        <v>-7.7843945131139246E-3</v>
      </c>
      <c r="CS240" s="468">
        <f t="shared" si="634"/>
        <v>-0.23505504837584543</v>
      </c>
      <c r="CT240" s="469">
        <f t="shared" si="634"/>
        <v>-0.23505504837584543</v>
      </c>
      <c r="CU240" s="468">
        <f t="shared" si="634"/>
        <v>-0.102731800791143</v>
      </c>
      <c r="CV240" s="468">
        <f t="shared" si="634"/>
        <v>-0.18284546096035878</v>
      </c>
      <c r="CW240" s="468">
        <f t="shared" si="634"/>
        <v>-0.21240684176802088</v>
      </c>
      <c r="CX240" s="468">
        <f t="shared" si="634"/>
        <v>-0.22828158820979444</v>
      </c>
      <c r="CY240" s="469">
        <f t="shared" si="634"/>
        <v>-0.22828158820979444</v>
      </c>
      <c r="CZ240" s="468">
        <f t="shared" si="634"/>
        <v>-0.36775103203981074</v>
      </c>
      <c r="DA240" s="468">
        <f t="shared" si="634"/>
        <v>-0.39107960276003439</v>
      </c>
      <c r="DB240" s="468">
        <f t="shared" si="634"/>
        <v>-0.37564059661576904</v>
      </c>
      <c r="DC240" s="468">
        <f t="shared" si="634"/>
        <v>-0.31301822652537398</v>
      </c>
      <c r="DD240" s="469">
        <f t="shared" si="634"/>
        <v>-0.31301822652537398</v>
      </c>
      <c r="DE240" s="468">
        <f t="shared" ref="DE240:DI240" si="635">DE239/DE224</f>
        <v>-0.3109102086667751</v>
      </c>
      <c r="DF240" s="468">
        <f t="shared" si="635"/>
        <v>-0.20726392749012867</v>
      </c>
      <c r="DG240" s="468">
        <f t="shared" si="635"/>
        <v>-9.2303914959979749E-2</v>
      </c>
      <c r="DH240" s="468">
        <f t="shared" si="635"/>
        <v>6.2175575514937492E-2</v>
      </c>
      <c r="DI240" s="469">
        <f t="shared" si="635"/>
        <v>6.2175575514937492E-2</v>
      </c>
    </row>
    <row r="241" spans="1:113" ht="12" customHeight="1">
      <c r="A241" s="219"/>
      <c r="B241" s="449" t="s">
        <v>250</v>
      </c>
      <c r="C241" s="58">
        <f t="shared" ref="C241:AH241" si="636">(C239)/(C239+C216)</f>
        <v>7.5937514725262709E-2</v>
      </c>
      <c r="D241" s="59">
        <f t="shared" si="636"/>
        <v>0.11396853434457033</v>
      </c>
      <c r="E241" s="58">
        <f t="shared" si="636"/>
        <v>0.18747041972848436</v>
      </c>
      <c r="F241" s="59">
        <f t="shared" si="636"/>
        <v>0.15422267309155466</v>
      </c>
      <c r="G241" s="58">
        <f t="shared" si="636"/>
        <v>0.27511209725881758</v>
      </c>
      <c r="H241" s="59">
        <f t="shared" si="636"/>
        <v>0.22119712974105271</v>
      </c>
      <c r="I241" s="58">
        <f t="shared" si="636"/>
        <v>0.12148185437737404</v>
      </c>
      <c r="J241" s="59">
        <f t="shared" si="636"/>
        <v>4.7425830011695369E-2</v>
      </c>
      <c r="K241" s="58">
        <f t="shared" si="636"/>
        <v>-8.9740668155507963E-2</v>
      </c>
      <c r="L241" s="59">
        <f t="shared" si="636"/>
        <v>-0.23158997185311253</v>
      </c>
      <c r="M241" s="58">
        <f t="shared" si="636"/>
        <v>-0.33964918263390098</v>
      </c>
      <c r="N241" s="59">
        <f t="shared" si="636"/>
        <v>-0.48852729930718886</v>
      </c>
      <c r="O241" s="59">
        <f t="shared" si="636"/>
        <v>-0.37905755471751312</v>
      </c>
      <c r="P241" s="58">
        <f t="shared" si="636"/>
        <v>-0.43683062276874246</v>
      </c>
      <c r="Q241" s="59">
        <f t="shared" si="636"/>
        <v>-0.87576923076923074</v>
      </c>
      <c r="R241" s="58">
        <f t="shared" si="636"/>
        <v>-0.73897389738973895</v>
      </c>
      <c r="S241" s="58">
        <f t="shared" si="636"/>
        <v>-0.72785689475512327</v>
      </c>
      <c r="T241" s="58">
        <f t="shared" si="636"/>
        <v>-0.63669421487603306</v>
      </c>
      <c r="U241" s="58">
        <f t="shared" si="636"/>
        <v>-0.6492962466487936</v>
      </c>
      <c r="V241" s="59">
        <f t="shared" si="636"/>
        <v>-0.6492962466487936</v>
      </c>
      <c r="W241" s="58">
        <f t="shared" si="636"/>
        <v>-0.47372338841744827</v>
      </c>
      <c r="X241" s="58">
        <f t="shared" si="636"/>
        <v>-0.41646280040293565</v>
      </c>
      <c r="Y241" s="58">
        <f t="shared" si="636"/>
        <v>-0.38486663037561242</v>
      </c>
      <c r="Z241" s="58">
        <f t="shared" si="636"/>
        <v>-0.48109573405621342</v>
      </c>
      <c r="AA241" s="59">
        <f t="shared" si="636"/>
        <v>-0.48109573405621342</v>
      </c>
      <c r="AB241" s="59">
        <f t="shared" si="636"/>
        <v>0</v>
      </c>
      <c r="AC241" s="58">
        <f t="shared" si="636"/>
        <v>-0.40635498320268759</v>
      </c>
      <c r="AD241" s="58">
        <f t="shared" si="636"/>
        <v>-0.46897462226785974</v>
      </c>
      <c r="AE241" s="58">
        <f t="shared" si="636"/>
        <v>-0.53570400230348403</v>
      </c>
      <c r="AF241" s="58">
        <f t="shared" si="636"/>
        <v>-0.69569843441252466</v>
      </c>
      <c r="AG241" s="59">
        <f t="shared" si="636"/>
        <v>-0.69569843441252466</v>
      </c>
      <c r="AH241" s="58">
        <f t="shared" si="636"/>
        <v>-0.59372792767340021</v>
      </c>
      <c r="AI241" s="58">
        <f t="shared" ref="AI241:BN241" si="637">(AI239)/(AI239+AI216)</f>
        <v>-0.50490846378349696</v>
      </c>
      <c r="AJ241" s="58">
        <f t="shared" si="637"/>
        <v>-0.49818328623334679</v>
      </c>
      <c r="AK241" s="58">
        <f t="shared" si="637"/>
        <v>-0.53423104181431613</v>
      </c>
      <c r="AL241" s="59">
        <f t="shared" si="637"/>
        <v>-0.53423104181431613</v>
      </c>
      <c r="AM241" s="58">
        <f t="shared" si="637"/>
        <v>-0.41051695668741267</v>
      </c>
      <c r="AN241" s="58">
        <f t="shared" si="637"/>
        <v>-0.41406816533720087</v>
      </c>
      <c r="AO241" s="58">
        <f t="shared" si="637"/>
        <v>-0.49769920077500607</v>
      </c>
      <c r="AP241" s="58">
        <f t="shared" si="637"/>
        <v>-0.5798831281860003</v>
      </c>
      <c r="AQ241" s="59">
        <f t="shared" si="637"/>
        <v>-0.5798831281860003</v>
      </c>
      <c r="AR241" s="58">
        <f t="shared" si="637"/>
        <v>-0.48309178743961351</v>
      </c>
      <c r="AS241" s="58">
        <f t="shared" si="637"/>
        <v>-0.41701902748414377</v>
      </c>
      <c r="AT241" s="58">
        <f t="shared" si="637"/>
        <v>-0.32987349983782033</v>
      </c>
      <c r="AU241" s="58">
        <f t="shared" si="637"/>
        <v>-0.38414634146341464</v>
      </c>
      <c r="AV241" s="59">
        <f t="shared" si="637"/>
        <v>-0.38414634146341464</v>
      </c>
      <c r="AW241" s="58">
        <f t="shared" si="637"/>
        <v>-0.28907491787644379</v>
      </c>
      <c r="AX241" s="58">
        <f t="shared" si="637"/>
        <v>-0.24261369365735605</v>
      </c>
      <c r="AY241" s="58">
        <f t="shared" si="637"/>
        <v>-0.26423531749975154</v>
      </c>
      <c r="AZ241" s="58">
        <f t="shared" si="637"/>
        <v>-0.23698903290129611</v>
      </c>
      <c r="BA241" s="59">
        <f t="shared" si="637"/>
        <v>-0.23698903290129611</v>
      </c>
      <c r="BB241" s="58">
        <f t="shared" si="637"/>
        <v>-0.16572706065318818</v>
      </c>
      <c r="BC241" s="58">
        <f t="shared" si="637"/>
        <v>-0.16646825396825396</v>
      </c>
      <c r="BD241" s="58">
        <f t="shared" si="637"/>
        <v>-0.14852647645884701</v>
      </c>
      <c r="BE241" s="58">
        <f t="shared" si="637"/>
        <v>-0.17130237555210695</v>
      </c>
      <c r="BF241" s="59">
        <f t="shared" si="637"/>
        <v>-0.17130237555210695</v>
      </c>
      <c r="BG241" s="58">
        <f t="shared" si="637"/>
        <v>-9.5383116092094045E-2</v>
      </c>
      <c r="BH241" s="58">
        <f t="shared" si="637"/>
        <v>-6.8551842330762641E-2</v>
      </c>
      <c r="BI241" s="58">
        <f t="shared" si="637"/>
        <v>-6.6531778148059981E-2</v>
      </c>
      <c r="BJ241" s="58">
        <f t="shared" si="637"/>
        <v>-0.15071283095723015</v>
      </c>
      <c r="BK241" s="59">
        <f t="shared" si="637"/>
        <v>-0.15071283095723015</v>
      </c>
      <c r="BL241" s="58">
        <f t="shared" si="637"/>
        <v>8.0862533692722376E-3</v>
      </c>
      <c r="BM241" s="58">
        <f t="shared" si="637"/>
        <v>2.7659353228657587E-2</v>
      </c>
      <c r="BN241" s="58">
        <f t="shared" si="637"/>
        <v>3.1480886604561518E-2</v>
      </c>
      <c r="BO241" s="58">
        <f t="shared" ref="BO241:CT241" si="638">(BO239)/(BO239+BO216)</f>
        <v>9.7478991596638656E-2</v>
      </c>
      <c r="BP241" s="59">
        <f t="shared" si="638"/>
        <v>9.7478991596638656E-2</v>
      </c>
      <c r="BQ241" s="58">
        <f t="shared" si="638"/>
        <v>7.1044133476856836E-3</v>
      </c>
      <c r="BR241" s="58">
        <f t="shared" si="638"/>
        <v>-0.28517936948906875</v>
      </c>
      <c r="BS241" s="58">
        <f t="shared" si="638"/>
        <v>-0.35287447556412294</v>
      </c>
      <c r="BT241" s="58">
        <f t="shared" si="638"/>
        <v>-0.46645991270388237</v>
      </c>
      <c r="BU241" s="59">
        <f t="shared" si="638"/>
        <v>-0.46645991270388237</v>
      </c>
      <c r="BV241" s="58">
        <f t="shared" si="638"/>
        <v>-0.42319904743004566</v>
      </c>
      <c r="BW241" s="58">
        <f t="shared" si="638"/>
        <v>-0.6139288417865254</v>
      </c>
      <c r="BX241" s="58">
        <f t="shared" si="638"/>
        <v>-0.37630111524163568</v>
      </c>
      <c r="BY241" s="58">
        <f t="shared" si="638"/>
        <v>-0.30450742701041489</v>
      </c>
      <c r="BZ241" s="59">
        <f t="shared" si="638"/>
        <v>-0.30450742701041489</v>
      </c>
      <c r="CA241" s="58">
        <f t="shared" si="638"/>
        <v>-0.18277640726620317</v>
      </c>
      <c r="CB241" s="58">
        <f t="shared" si="638"/>
        <v>-8.450504189745775E-2</v>
      </c>
      <c r="CC241" s="58">
        <f t="shared" si="638"/>
        <v>-0.10350850546780073</v>
      </c>
      <c r="CD241" s="58">
        <f t="shared" si="638"/>
        <v>-0.14206491600065244</v>
      </c>
      <c r="CE241" s="59">
        <f t="shared" si="638"/>
        <v>-0.14206491600065244</v>
      </c>
      <c r="CF241" s="58">
        <f t="shared" si="638"/>
        <v>1.0272031737035987E-2</v>
      </c>
      <c r="CG241" s="58">
        <f t="shared" si="638"/>
        <v>-7.5332573166096539E-2</v>
      </c>
      <c r="CH241" s="58">
        <f t="shared" si="638"/>
        <v>-0.13003415680355868</v>
      </c>
      <c r="CI241" s="58">
        <f t="shared" si="638"/>
        <v>-0.22735391681551417</v>
      </c>
      <c r="CJ241" s="59">
        <f t="shared" si="638"/>
        <v>-0.22735391681551417</v>
      </c>
      <c r="CK241" s="58">
        <f t="shared" si="638"/>
        <v>-0.1014218009478673</v>
      </c>
      <c r="CL241" s="58">
        <f t="shared" si="638"/>
        <v>-5.5572266506241537E-2</v>
      </c>
      <c r="CM241" s="58">
        <f t="shared" si="638"/>
        <v>-0.1139653252743757</v>
      </c>
      <c r="CN241" s="58">
        <f t="shared" si="638"/>
        <v>-9.8520119720651819E-2</v>
      </c>
      <c r="CO241" s="59">
        <f t="shared" si="638"/>
        <v>-9.8520119720651819E-2</v>
      </c>
      <c r="CP241" s="58">
        <f t="shared" si="638"/>
        <v>-4.4597843791204531E-2</v>
      </c>
      <c r="CQ241" s="58">
        <f t="shared" si="638"/>
        <v>-2.3991275899672846E-2</v>
      </c>
      <c r="CR241" s="58">
        <f t="shared" si="638"/>
        <v>-1.9911819086900866E-3</v>
      </c>
      <c r="CS241" s="58">
        <f t="shared" si="638"/>
        <v>-7.8737300435413646E-2</v>
      </c>
      <c r="CT241" s="59">
        <f t="shared" si="638"/>
        <v>-7.8737300435413646E-2</v>
      </c>
      <c r="CU241" s="58">
        <f t="shared" ref="CU241:DD241" si="639">(CU239)/(CU239+CU216)</f>
        <v>-3.2214309935571381E-2</v>
      </c>
      <c r="CV241" s="58">
        <f t="shared" si="639"/>
        <v>-5.4723434507801864E-2</v>
      </c>
      <c r="CW241" s="58">
        <f t="shared" si="639"/>
        <v>-6.2941021600016564E-2</v>
      </c>
      <c r="CX241" s="58">
        <f t="shared" si="639"/>
        <v>-5.1323474353359773E-2</v>
      </c>
      <c r="CY241" s="59">
        <f t="shared" si="639"/>
        <v>-5.1323474353359773E-2</v>
      </c>
      <c r="CZ241" s="58">
        <f t="shared" si="639"/>
        <v>-8.2396992786137546E-2</v>
      </c>
      <c r="DA241" s="58">
        <f t="shared" si="639"/>
        <v>-8.5248170384479433E-2</v>
      </c>
      <c r="DB241" s="58">
        <f t="shared" si="639"/>
        <v>-8.1465580047326458E-2</v>
      </c>
      <c r="DC241" s="58">
        <f t="shared" si="639"/>
        <v>-6.8046025232856744E-2</v>
      </c>
      <c r="DD241" s="59">
        <f t="shared" si="639"/>
        <v>-6.8046025232856744E-2</v>
      </c>
      <c r="DE241" s="58">
        <f t="shared" ref="DE241:DI241" si="640">(DE239)/(DE239+DE216)</f>
        <v>-6.8931214954230699E-2</v>
      </c>
      <c r="DF241" s="58">
        <f t="shared" si="640"/>
        <v>-4.655689043498789E-2</v>
      </c>
      <c r="DG241" s="58">
        <f t="shared" si="640"/>
        <v>-2.1050166059472238E-2</v>
      </c>
      <c r="DH241" s="58">
        <f t="shared" si="640"/>
        <v>1.4442582198761449E-2</v>
      </c>
      <c r="DI241" s="59">
        <f t="shared" si="640"/>
        <v>1.4442582198761449E-2</v>
      </c>
    </row>
    <row r="242" spans="1:113" s="472" customFormat="1" ht="12" hidden="1" customHeight="1" outlineLevel="1">
      <c r="A242" s="470"/>
      <c r="B242" s="471" t="s">
        <v>115</v>
      </c>
      <c r="C242" s="468"/>
      <c r="D242" s="469">
        <f>'2. Consolidated'!D57/AVERAGE(C196:D196)</f>
        <v>11.733777911750206</v>
      </c>
      <c r="E242" s="468">
        <f>'2. Consolidated'!E57/AVERAGE(D196:E196)</f>
        <v>9.2057265128990107</v>
      </c>
      <c r="F242" s="469">
        <f>'2. Consolidated'!F57/AVERAGE(E196:F196)</f>
        <v>7.2569349704411117</v>
      </c>
      <c r="G242" s="468">
        <f>'2. Consolidated'!G57/AVERAGE(F196:G196)</f>
        <v>6.3141232626702237</v>
      </c>
      <c r="H242" s="469">
        <f>'2. Consolidated'!H57/AVERAGE(G196:H196)</f>
        <v>5.9264255824120911</v>
      </c>
      <c r="I242" s="468">
        <f>'2. Consolidated'!I57/AVERAGE(H196:I196)</f>
        <v>6.1194445303559828</v>
      </c>
      <c r="J242" s="469">
        <f>'2. Consolidated'!J57/AVERAGE(I196:J196)</f>
        <v>6.6126788860383883</v>
      </c>
      <c r="K242" s="468">
        <f>'2. Consolidated'!K57/AVERAGE(J196:K196)</f>
        <v>7.6398042210929944</v>
      </c>
      <c r="L242" s="469">
        <f>'2. Consolidated'!L57/AVERAGE(K196:L196)</f>
        <v>8.6069470980674669</v>
      </c>
      <c r="M242" s="468">
        <f>'2. Consolidated'!M57/AVERAGE(L196:M196)</f>
        <v>9.1649456105408298</v>
      </c>
      <c r="N242" s="469">
        <f>'2. Consolidated'!N57/AVERAGE(M196:N196)</f>
        <v>9.7877098321342935</v>
      </c>
      <c r="O242" s="469">
        <f>'2. Consolidated'!O57/AVERAGE(N196:O196)</f>
        <v>10.437048243402254</v>
      </c>
      <c r="P242" s="468">
        <f>'2. Consolidated'!P57/AVERAGE(O196:P196)</f>
        <v>9.9647162752026599</v>
      </c>
      <c r="Q242" s="469">
        <f>'2. Consolidated'!Q57/AVERAGE(P196:Q196)</f>
        <v>9.7765894541995539</v>
      </c>
      <c r="R242" s="468" t="s">
        <v>126</v>
      </c>
      <c r="S242" s="468" t="s">
        <v>126</v>
      </c>
      <c r="T242" s="468" t="s">
        <v>126</v>
      </c>
      <c r="U242" s="468">
        <f>U222/AVERAGE(T196:U196)</f>
        <v>10.000958772770852</v>
      </c>
      <c r="V242" s="469">
        <f>'2. Consolidated'!V57/AVERAGE(Q196:V196)</f>
        <v>10.262523571370009</v>
      </c>
      <c r="W242" s="468">
        <f>W222/AVERAGE(V196:W196)</f>
        <v>10.169586545199719</v>
      </c>
      <c r="X242" s="468">
        <f>X222/AVERAGE(W196:X196)</f>
        <v>10.433801519686853</v>
      </c>
      <c r="Y242" s="468">
        <f>Y222/AVERAGE(X196:Y196)</f>
        <v>10.691008671839343</v>
      </c>
      <c r="Z242" s="468">
        <f>Z222/AVERAGE(Y196:Z196)</f>
        <v>10.93248753964658</v>
      </c>
      <c r="AA242" s="469">
        <f>'2. Consolidated'!AA57/AVERAGE(V196:AA196)</f>
        <v>11.008136263402022</v>
      </c>
      <c r="AB242" s="469"/>
      <c r="AC242" s="468">
        <f>AC222/AVERAGE(AB196:AC196)</f>
        <v>10.898222222222222</v>
      </c>
      <c r="AD242" s="468">
        <f>AD222/AVERAGE(AC196:AD196)</f>
        <v>10.87931413497472</v>
      </c>
      <c r="AE242" s="468">
        <f>AE222/AVERAGE(AD196:AE196)</f>
        <v>11.104913678618859</v>
      </c>
      <c r="AF242" s="468">
        <f>AF222/AVERAGE(AE196:AF196)</f>
        <v>10.744057724957555</v>
      </c>
      <c r="AG242" s="469">
        <f>'2. Consolidated'!AG57/AVERAGE(AB196:AG196)</f>
        <v>10.909208447062204</v>
      </c>
      <c r="AH242" s="468">
        <f>AH222/AVERAGE(AG196:AH196)</f>
        <v>10.305450189658615</v>
      </c>
      <c r="AI242" s="468">
        <f>AI222/AVERAGE(AH196:AI196)</f>
        <v>10.106113033448674</v>
      </c>
      <c r="AJ242" s="468">
        <f>AJ222/AVERAGE(AI196:AJ196)</f>
        <v>10.061698569039212</v>
      </c>
      <c r="AK242" s="468">
        <f>AK222/AVERAGE(AJ196:AK196)</f>
        <v>9.9816876122082583</v>
      </c>
      <c r="AL242" s="469">
        <f>'2. Consolidated'!AL57/AVERAGE(AG196:AL196)</f>
        <v>10.386972225681902</v>
      </c>
      <c r="AM242" s="468">
        <f>AM222/AVERAGE(AL196:AM196)</f>
        <v>10.057601675685111</v>
      </c>
      <c r="AN242" s="468">
        <f>AN222/AVERAGE(AM196:AN196)</f>
        <v>10.222947440742013</v>
      </c>
      <c r="AO242" s="468">
        <f>AO222/AVERAGE(AN196:AO196)</f>
        <v>10.44981862152358</v>
      </c>
      <c r="AP242" s="468">
        <f>AP222/AVERAGE(AO196:AP196)</f>
        <v>10.420909245700663</v>
      </c>
      <c r="AQ242" s="469">
        <f>'2. Consolidated'!AQ57/AVERAGE(AL196:AQ196)</f>
        <v>10.467844925883695</v>
      </c>
      <c r="AR242" s="468">
        <f>AR222/AVERAGE(AQ196:AR196)</f>
        <v>10.136534378572595</v>
      </c>
      <c r="AS242" s="468">
        <f>AS222/AVERAGE(AR196:AS196)</f>
        <v>9.8752166377816284</v>
      </c>
      <c r="AT242" s="468">
        <f>AT222/AVERAGE(AS196:AT196)</f>
        <v>9.723034734917734</v>
      </c>
      <c r="AU242" s="468">
        <f>AU222/AVERAGE(AT196:AU196)</f>
        <v>9.4542268944371433</v>
      </c>
      <c r="AV242" s="469">
        <f>'2. Consolidated'!AV57/AVERAGE(AQ196:AV196)</f>
        <v>9.8472144776195059</v>
      </c>
      <c r="AW242" s="468">
        <f>AW222/AVERAGE(AV196:AW196)</f>
        <v>9.3127467569091937</v>
      </c>
      <c r="AX242" s="468">
        <f>AX222/AVERAGE(AW196:AX196)</f>
        <v>9.3911459792659002</v>
      </c>
      <c r="AY242" s="468">
        <f>AY222/AVERAGE(AX196:AY196)</f>
        <v>9.2178285093083296</v>
      </c>
      <c r="AZ242" s="468">
        <f>AZ222/AVERAGE(AY196:AZ196)</f>
        <v>8.8280647648419421</v>
      </c>
      <c r="BA242" s="469">
        <f>'2. Consolidated'!BA57/AVERAGE(AV196:BA196)</f>
        <v>9.1889963886040391</v>
      </c>
      <c r="BB242" s="468">
        <f>BB222/AVERAGE(BA196:BB196)</f>
        <v>8.5099690402476789</v>
      </c>
      <c r="BC242" s="468">
        <f>BC222/AVERAGE(BB196:BC196)</f>
        <v>8.4683652322321095</v>
      </c>
      <c r="BD242" s="468">
        <f>BD222/AVERAGE(BC196:BD196)</f>
        <v>8.3862150920974443</v>
      </c>
      <c r="BE242" s="468">
        <f>BE222/AVERAGE(BD196:BE196)</f>
        <v>8.3174131627056678</v>
      </c>
      <c r="BF242" s="469">
        <f>'2. Consolidated'!BF57/AVERAGE(BA196:BF196)</f>
        <v>8.5983935742971891</v>
      </c>
      <c r="BG242" s="468">
        <f>BG222/AVERAGE(BF196:BG196)</f>
        <v>8.337993513029863</v>
      </c>
      <c r="BH242" s="468">
        <f>BH222/AVERAGE(BG196:BH196)</f>
        <v>8.3955922865013779</v>
      </c>
      <c r="BI242" s="468">
        <f>BI222/AVERAGE(BH196:BI196)</f>
        <v>8.348857266062959</v>
      </c>
      <c r="BJ242" s="468">
        <f>BJ222/AVERAGE(BI196:BJ196)</f>
        <v>8.2945292620865132</v>
      </c>
      <c r="BK242" s="469">
        <f>'2. Consolidated'!BK57/AVERAGE(BF196:BK196)</f>
        <v>8.4714672441797507</v>
      </c>
      <c r="BL242" s="468">
        <f>BL222/AVERAGE(BK196:BL196)</f>
        <v>8.5113794208782991</v>
      </c>
      <c r="BM242" s="468">
        <f>BM222/AVERAGE(BL196:BM196)</f>
        <v>8.7861682645696426</v>
      </c>
      <c r="BN242" s="468">
        <f>BN222/AVERAGE(BM196:BN196)</f>
        <v>8.7343138292244209</v>
      </c>
      <c r="BO242" s="468">
        <f>BO222/AVERAGE(BN196:BO196)</f>
        <v>7.752720489169862</v>
      </c>
      <c r="BP242" s="469">
        <f>'2. Consolidated'!BP57/AVERAGE(BK196:BP196)</f>
        <v>7.8627286104687828</v>
      </c>
      <c r="BQ242" s="468">
        <f>BQ222/AVERAGE(BP196:BQ196)</f>
        <v>7.5926792069140827</v>
      </c>
      <c r="BR242" s="468">
        <f>BR222/AVERAGE(BQ196:BR196)</f>
        <v>7.7062852538275584</v>
      </c>
      <c r="BS242" s="468">
        <f>BS222/AVERAGE(BR196:BS196)</f>
        <v>7.7658566098618538</v>
      </c>
      <c r="BT242" s="468">
        <f>BT222/AVERAGE(BS196:BT196)</f>
        <v>9.0322449807341307</v>
      </c>
      <c r="BU242" s="469">
        <f>'2. Consolidated'!BU57/AVERAGE(BP196:BU196)</f>
        <v>9.0401894451962104</v>
      </c>
      <c r="BV242" s="468">
        <f>BV222/AVERAGE(BU196:BV196)</f>
        <v>9.4529827074593271</v>
      </c>
      <c r="BW242" s="468">
        <f>BW222/AVERAGE(BV196:BW196)</f>
        <v>9.5663671108356567</v>
      </c>
      <c r="BX242" s="468">
        <f>BX222/AVERAGE(BW196:BX196)</f>
        <v>9.7359118319817011</v>
      </c>
      <c r="BY242" s="468">
        <f>BY222/AVERAGE(BX196:BY196)</f>
        <v>9.73429196623945</v>
      </c>
      <c r="BZ242" s="469">
        <f>'2. Consolidated'!BZ57/AVERAGE(BU196:BZ196)</f>
        <v>9.6731439616194397</v>
      </c>
      <c r="CA242" s="468">
        <f>CA222/AVERAGE(BZ196:CA196)</f>
        <v>9.8545302539450308</v>
      </c>
      <c r="CB242" s="468">
        <f>CB222/AVERAGE(CA196:CB196)</f>
        <v>10.196636212624584</v>
      </c>
      <c r="CC242" s="468">
        <f>CC222/AVERAGE(CB196:CC196)</f>
        <v>10.339221893189013</v>
      </c>
      <c r="CD242" s="468">
        <f>CD222/AVERAGE(CC196:CD196)</f>
        <v>10.222954091816367</v>
      </c>
      <c r="CE242" s="469">
        <f>'2. Consolidated'!CE57/AVERAGE(BZ196:CE196)</f>
        <v>10.408548977103372</v>
      </c>
      <c r="CF242" s="468">
        <f>CF222/AVERAGE(CE196:CF196)</f>
        <v>10.101864573110893</v>
      </c>
      <c r="CG242" s="468">
        <f>CG222/AVERAGE(CF196:CG196)</f>
        <v>10.045215357630092</v>
      </c>
      <c r="CH242" s="468">
        <f>CH222/AVERAGE(CG196:CH196)</f>
        <v>10.079335613092331</v>
      </c>
      <c r="CI242" s="468">
        <f>CI222/AVERAGE(CH196:CI196)</f>
        <v>10.188851418369371</v>
      </c>
      <c r="CJ242" s="469">
        <f>'2. Consolidated'!CJ57/AVERAGE(CE196:CJ196)</f>
        <v>10.128907148726377</v>
      </c>
      <c r="CK242" s="468">
        <f>CK222/AVERAGE(CJ196:CK196)</f>
        <v>10.054684358665058</v>
      </c>
      <c r="CL242" s="468">
        <f>CL222/AVERAGE(CK196:CL196)</f>
        <v>9.990413054563998</v>
      </c>
      <c r="CM242" s="468">
        <f>CM222/AVERAGE(CL196:CM196)</f>
        <v>9.9891372467098396</v>
      </c>
      <c r="CN242" s="468">
        <f>CN222/AVERAGE(CM196:CN196)</f>
        <v>9.7033001571503412</v>
      </c>
      <c r="CO242" s="469">
        <f>'2. Consolidated'!CO57/AVERAGE(CJ196:CO196)</f>
        <v>9.5227225992185893</v>
      </c>
      <c r="CP242" s="468">
        <f>CP222/AVERAGE(CO196:CP196)</f>
        <v>9.5861285994426666</v>
      </c>
      <c r="CQ242" s="468">
        <f>CQ222/AVERAGE(CP196:CQ196)</f>
        <v>9.5863561417971965</v>
      </c>
      <c r="CR242" s="468">
        <f>CR222/AVERAGE(CQ196:CR196)</f>
        <v>9.6832136538661668</v>
      </c>
      <c r="CS242" s="468">
        <f>CS222/AVERAGE(CR196:CS196)</f>
        <v>9.7046642961723482</v>
      </c>
      <c r="CT242" s="469">
        <f>'2. Consolidated'!CT57/AVERAGE(CO196:CT196)</f>
        <v>9.6361370716510901</v>
      </c>
      <c r="CU242" s="468">
        <f>CU222/AVERAGE(CT196:CU196)</f>
        <v>9.4786739646803682</v>
      </c>
      <c r="CV242" s="468">
        <f>CV222/AVERAGE(CU196:CV196)</f>
        <v>8.9439738067323713</v>
      </c>
      <c r="CW242" s="468">
        <f>CW222/AVERAGE(CV196:CW196)</f>
        <v>8.7358305809193606</v>
      </c>
      <c r="CX242" s="468">
        <f>CX222/AVERAGE(CW196:CX196)</f>
        <v>8.6803782305740587</v>
      </c>
      <c r="CY242" s="469">
        <f>'2. Consolidated'!CY57/AVERAGE(CT196:CY196)</f>
        <v>8.6596678544738559</v>
      </c>
      <c r="CZ242" s="468">
        <f>CZ222/AVERAGE(CY196:CZ196)</f>
        <v>8.5447251277176726</v>
      </c>
      <c r="DA242" s="468">
        <f>DA222/AVERAGE(CZ196:DA196)</f>
        <v>8.3139368171913652</v>
      </c>
      <c r="DB242" s="468">
        <f>DB222/AVERAGE(DA196:DB196)</f>
        <v>8.2538338314805024</v>
      </c>
      <c r="DC242" s="468">
        <f>DC222/AVERAGE(DB196:DC196)</f>
        <v>8.3708257931479295</v>
      </c>
      <c r="DD242" s="469">
        <f>'2. Consolidated'!DD57/AVERAGE(CY196:DD196)</f>
        <v>8.3180950660833695</v>
      </c>
      <c r="DE242" s="468">
        <f>DE222/AVERAGE(DD196:DE196)</f>
        <v>8.4265691332852075</v>
      </c>
      <c r="DF242" s="468">
        <f>DF222/AVERAGE(DE196:DF196)</f>
        <v>8.3138051969434716</v>
      </c>
      <c r="DG242" s="468">
        <f>DG222/AVERAGE(DF196:DG196)</f>
        <v>8.3335044875868949</v>
      </c>
      <c r="DH242" s="468">
        <f>DH222/AVERAGE(DG196:DH196)</f>
        <v>8.5309307929949334</v>
      </c>
      <c r="DI242" s="469">
        <f>'2. Consolidated'!DI57/AVERAGE(DD196:DI196)</f>
        <v>8.4658978817810997</v>
      </c>
    </row>
    <row r="243" spans="1:113" ht="12" customHeight="1" collapsed="1">
      <c r="A243" s="219"/>
      <c r="B243" s="449" t="s">
        <v>242</v>
      </c>
      <c r="C243" s="468"/>
      <c r="D243" s="469"/>
      <c r="E243" s="468"/>
      <c r="F243" s="469"/>
      <c r="G243" s="468"/>
      <c r="H243" s="469"/>
      <c r="I243" s="468"/>
      <c r="J243" s="469"/>
      <c r="K243" s="468">
        <f>(-K239+'2. Consolidated'!K101)/'2. Consolidated'!K99</f>
        <v>1.0188379144092647</v>
      </c>
      <c r="L243" s="469">
        <f>(-L239+'2. Consolidated'!L101)/'2. Consolidated'!L99</f>
        <v>1.2271487897982305</v>
      </c>
      <c r="M243" s="468">
        <f>(-M239+'2. Consolidated'!M101)/'2. Consolidated'!M99</f>
        <v>1.3656174334140436</v>
      </c>
      <c r="N243" s="469">
        <f>(-N239+'2. Consolidated'!N101)/'2. Consolidated'!N99</f>
        <v>1.706979341150195</v>
      </c>
      <c r="O243" s="469">
        <f>(-O239+'2. Consolidated'!O101)/'2. Consolidated'!O99</f>
        <v>1.5912115016389183</v>
      </c>
      <c r="P243" s="468">
        <f>(-P239+'2. Consolidated'!P101)/'2. Consolidated'!P99</f>
        <v>1.7766311482917605</v>
      </c>
      <c r="Q243" s="469">
        <f>(-Q239+'2. Consolidated'!Q101)/'2. Consolidated'!Q99</f>
        <v>2.4156425265867774</v>
      </c>
      <c r="R243" s="468"/>
      <c r="S243" s="468"/>
      <c r="T243" s="468"/>
      <c r="U243" s="468"/>
      <c r="V243" s="469">
        <f>(-V239+'2. Consolidated'!V101)/'2. Consolidated'!V99</f>
        <v>2.0509782309176083</v>
      </c>
      <c r="W243" s="468"/>
      <c r="X243" s="468"/>
      <c r="Y243" s="468"/>
      <c r="Z243" s="468"/>
      <c r="AA243" s="469">
        <f>(-AA239+'2. Consolidated'!AA101)/'2. Consolidated'!AA99</f>
        <v>1.7994722955145119</v>
      </c>
      <c r="AB243" s="469"/>
      <c r="AC243" s="468"/>
      <c r="AD243" s="468"/>
      <c r="AE243" s="468"/>
      <c r="AF243" s="468"/>
      <c r="AG243" s="469">
        <f>(-AG239+'2. Consolidated'!AG101)/'2. Consolidated'!AG99</f>
        <v>2.0208483105679367</v>
      </c>
      <c r="AH243" s="468"/>
      <c r="AI243" s="468"/>
      <c r="AJ243" s="468"/>
      <c r="AK243" s="468"/>
      <c r="AL243" s="469">
        <f>(-AL239+'2. Consolidated'!AL101)/'2. Consolidated'!AL99</f>
        <v>1.7357389801210026</v>
      </c>
      <c r="AM243" s="468"/>
      <c r="AN243" s="468"/>
      <c r="AO243" s="468"/>
      <c r="AP243" s="468"/>
      <c r="AQ243" s="469">
        <f>(-AQ239+'2. Consolidated'!AQ101)/'2. Consolidated'!AQ99</f>
        <v>1.7195032870708546</v>
      </c>
      <c r="AR243" s="468"/>
      <c r="AS243" s="468"/>
      <c r="AT243" s="468"/>
      <c r="AU243" s="468"/>
      <c r="AV243" s="469">
        <f>(-AV239+'2. Consolidated'!AV101)/'2. Consolidated'!AV99</f>
        <v>1.4568315171835708</v>
      </c>
      <c r="AW243" s="468"/>
      <c r="AX243" s="468"/>
      <c r="AY243" s="468"/>
      <c r="AZ243" s="468"/>
      <c r="BA243" s="469">
        <f>(-BA239+'2. Consolidated'!BA101)/'2. Consolidated'!BA99</f>
        <v>1.2887809464117832</v>
      </c>
      <c r="BB243" s="468"/>
      <c r="BC243" s="468"/>
      <c r="BD243" s="468"/>
      <c r="BE243" s="468"/>
      <c r="BF243" s="469">
        <f>(-BF239+'2. Consolidated'!BF101)/'2. Consolidated'!BF99</f>
        <v>1.3446014127144299</v>
      </c>
      <c r="BG243" s="468"/>
      <c r="BH243" s="468"/>
      <c r="BI243" s="468"/>
      <c r="BJ243" s="468"/>
      <c r="BK243" s="469">
        <f>(-BK239+'2. Consolidated'!BK101)/'2. Consolidated'!BK99</f>
        <v>1.2243107769423558</v>
      </c>
      <c r="BL243" s="468"/>
      <c r="BM243" s="468"/>
      <c r="BN243" s="468"/>
      <c r="BO243" s="468"/>
      <c r="BP243" s="469">
        <f>(-BP239+'2. Consolidated'!BP101)/'2. Consolidated'!BP99</f>
        <v>1.2748350989406356</v>
      </c>
      <c r="BQ243" s="468"/>
      <c r="BR243" s="468"/>
      <c r="BS243" s="468"/>
      <c r="BT243" s="468"/>
      <c r="BU243" s="469">
        <f>(-BU239+'2. Consolidated'!BU101)/'2. Consolidated'!BU99</f>
        <v>1.3424386841799372</v>
      </c>
      <c r="BV243" s="468"/>
      <c r="BW243" s="468"/>
      <c r="BX243" s="468"/>
      <c r="BY243" s="468"/>
      <c r="BZ243" s="469">
        <f>(-BZ239+'2. Consolidated'!BZ101)/'2. Consolidated'!BZ99</f>
        <v>1.3172761368963901</v>
      </c>
      <c r="CA243" s="468"/>
      <c r="CB243" s="468"/>
      <c r="CC243" s="468"/>
      <c r="CD243" s="468"/>
      <c r="CE243" s="469">
        <f>(-CE239+'2. Consolidated'!CE101)/'2. Consolidated'!CE99</f>
        <v>1.2231803195536393</v>
      </c>
      <c r="CF243" s="468"/>
      <c r="CG243" s="468"/>
      <c r="CH243" s="468"/>
      <c r="CI243" s="468"/>
      <c r="CJ243" s="469">
        <f>(-CJ239+'2. Consolidated'!CJ101)/'2. Consolidated'!CJ99</f>
        <v>1.2550685241816741</v>
      </c>
      <c r="CK243" s="468"/>
      <c r="CL243" s="468"/>
      <c r="CM243" s="468"/>
      <c r="CN243" s="468"/>
      <c r="CO243" s="469">
        <f>(-CO239+'2. Consolidated'!CO101)/'2. Consolidated'!CO99</f>
        <v>1.7608002832861189</v>
      </c>
      <c r="CP243" s="468"/>
      <c r="CQ243" s="468"/>
      <c r="CR243" s="468"/>
      <c r="CS243" s="468"/>
      <c r="CT243" s="469">
        <f>(-CT239+'2. Consolidated'!CT101)/'2. Consolidated'!CT99</f>
        <v>1.779435398494257</v>
      </c>
      <c r="CU243" s="468"/>
      <c r="CV243" s="468"/>
      <c r="CW243" s="468"/>
      <c r="CX243" s="468"/>
      <c r="CY243" s="469">
        <f>(-CY239+'2. Consolidated'!CY101)/'2. Consolidated'!CY99</f>
        <v>2.4145287793817047</v>
      </c>
      <c r="CZ243" s="468"/>
      <c r="DA243" s="468"/>
      <c r="DB243" s="468"/>
      <c r="DC243" s="468"/>
      <c r="DD243" s="469">
        <f>(-DD239+'2. Consolidated'!DD101)/'2. Consolidated'!DD99</f>
        <v>2.7080221502987736</v>
      </c>
      <c r="DE243" s="468"/>
      <c r="DF243" s="468"/>
      <c r="DG243" s="468"/>
      <c r="DH243" s="468"/>
      <c r="DI243" s="469">
        <f>(-DI239+'2. Consolidated'!DI101)/'2. Consolidated'!DI99</f>
        <v>2.4790646645395218</v>
      </c>
    </row>
    <row r="244" spans="1:113" ht="12" hidden="1" customHeight="1" outlineLevel="1">
      <c r="A244" s="219"/>
      <c r="B244" s="449"/>
      <c r="C244" s="468"/>
      <c r="D244" s="469"/>
      <c r="E244" s="468"/>
      <c r="F244" s="469"/>
      <c r="G244" s="468"/>
      <c r="H244" s="469"/>
      <c r="I244" s="468"/>
      <c r="J244" s="469"/>
      <c r="K244" s="468"/>
      <c r="L244" s="469"/>
      <c r="M244" s="468"/>
      <c r="N244" s="469"/>
      <c r="O244" s="469"/>
      <c r="P244" s="468"/>
      <c r="Q244" s="469"/>
      <c r="R244" s="468"/>
      <c r="S244" s="468"/>
      <c r="T244" s="468"/>
      <c r="U244" s="468"/>
      <c r="V244" s="469"/>
      <c r="W244" s="468"/>
      <c r="X244" s="468"/>
      <c r="Y244" s="468"/>
      <c r="Z244" s="468"/>
      <c r="AA244" s="469"/>
      <c r="AB244" s="469"/>
      <c r="AC244" s="468"/>
      <c r="AD244" s="468"/>
      <c r="AE244" s="468"/>
      <c r="AF244" s="468"/>
      <c r="AG244" s="473"/>
      <c r="AH244" s="474"/>
      <c r="AI244" s="474"/>
      <c r="AJ244" s="474"/>
      <c r="AK244" s="474"/>
      <c r="AL244" s="473"/>
      <c r="AM244" s="474"/>
      <c r="AN244" s="474"/>
      <c r="AO244" s="474"/>
      <c r="AP244" s="474"/>
      <c r="AQ244" s="473"/>
      <c r="AR244" s="474"/>
      <c r="AS244" s="474"/>
      <c r="AT244" s="474"/>
      <c r="AU244" s="474"/>
      <c r="AV244" s="473"/>
      <c r="AW244" s="474"/>
      <c r="AX244" s="474"/>
      <c r="AY244" s="474"/>
      <c r="AZ244" s="474"/>
      <c r="BA244" s="473"/>
      <c r="BB244" s="474"/>
      <c r="BC244" s="474"/>
      <c r="BD244" s="474"/>
      <c r="BE244" s="474"/>
      <c r="BF244" s="473"/>
      <c r="BG244" s="474"/>
      <c r="BH244" s="474"/>
      <c r="BI244" s="474"/>
      <c r="BJ244" s="474"/>
      <c r="BK244" s="473"/>
      <c r="BL244" s="474"/>
      <c r="BM244" s="474"/>
      <c r="BN244" s="474"/>
      <c r="BO244" s="474"/>
      <c r="BP244" s="473"/>
      <c r="BQ244" s="474"/>
      <c r="BR244" s="474"/>
      <c r="BS244" s="474"/>
      <c r="BT244" s="474"/>
      <c r="BU244" s="473"/>
      <c r="BV244" s="474"/>
      <c r="BW244" s="474"/>
      <c r="BX244" s="474"/>
      <c r="BY244" s="474"/>
      <c r="BZ244" s="473"/>
      <c r="CA244" s="474"/>
      <c r="CB244" s="474"/>
      <c r="CC244" s="474"/>
      <c r="CD244" s="474"/>
      <c r="CE244" s="473"/>
      <c r="CF244" s="474"/>
      <c r="CG244" s="474"/>
      <c r="CH244" s="474"/>
      <c r="CI244" s="474"/>
      <c r="CJ244" s="473"/>
      <c r="CK244" s="474"/>
      <c r="CL244" s="474"/>
      <c r="CM244" s="474"/>
      <c r="CN244" s="474"/>
      <c r="CO244" s="473"/>
      <c r="CP244" s="474"/>
      <c r="CQ244" s="474"/>
      <c r="CR244" s="474"/>
      <c r="CS244" s="474"/>
      <c r="CT244" s="473"/>
      <c r="CU244" s="474"/>
      <c r="CV244" s="474"/>
      <c r="CW244" s="474"/>
      <c r="CX244" s="474"/>
      <c r="CY244" s="473"/>
      <c r="CZ244" s="474"/>
      <c r="DA244" s="474"/>
      <c r="DB244" s="474"/>
      <c r="DC244" s="474"/>
      <c r="DD244" s="473"/>
      <c r="DE244" s="474"/>
      <c r="DF244" s="474"/>
      <c r="DG244" s="474"/>
      <c r="DH244" s="474"/>
      <c r="DI244" s="473"/>
    </row>
    <row r="245" spans="1:113" ht="12" hidden="1" customHeight="1" outlineLevel="1">
      <c r="A245" s="219"/>
      <c r="B245" s="465" t="s">
        <v>122</v>
      </c>
      <c r="C245" s="468"/>
      <c r="D245" s="469"/>
      <c r="E245" s="468"/>
      <c r="F245" s="469"/>
      <c r="G245" s="468"/>
      <c r="H245" s="469"/>
      <c r="I245" s="468"/>
      <c r="J245" s="469"/>
      <c r="K245" s="468"/>
      <c r="L245" s="469"/>
      <c r="M245" s="468"/>
      <c r="N245" s="469"/>
      <c r="O245" s="469"/>
      <c r="P245" s="468"/>
      <c r="Q245" s="469"/>
      <c r="R245" s="468"/>
      <c r="S245" s="468"/>
      <c r="T245" s="468"/>
      <c r="U245" s="468"/>
      <c r="V245" s="469"/>
      <c r="W245" s="468"/>
      <c r="X245" s="468"/>
      <c r="Y245" s="468"/>
      <c r="Z245" s="468"/>
      <c r="AA245" s="469"/>
      <c r="AB245" s="469"/>
      <c r="AC245" s="468"/>
      <c r="AD245" s="468"/>
      <c r="AE245" s="468"/>
      <c r="AF245" s="468"/>
      <c r="AG245" s="473"/>
      <c r="AH245" s="474"/>
      <c r="AI245" s="474"/>
      <c r="AJ245" s="474"/>
      <c r="AK245" s="474"/>
      <c r="AL245" s="473"/>
      <c r="AM245" s="474"/>
      <c r="AN245" s="474"/>
      <c r="AO245" s="474"/>
      <c r="AP245" s="474"/>
      <c r="AQ245" s="473"/>
      <c r="AR245" s="474"/>
      <c r="AS245" s="474"/>
      <c r="AT245" s="474"/>
      <c r="AU245" s="474"/>
      <c r="AV245" s="473"/>
      <c r="AW245" s="474"/>
      <c r="AX245" s="474"/>
      <c r="AY245" s="474"/>
      <c r="AZ245" s="474"/>
      <c r="BA245" s="473"/>
      <c r="BB245" s="474"/>
      <c r="BC245" s="474"/>
      <c r="BD245" s="474"/>
      <c r="BE245" s="474"/>
      <c r="BF245" s="473"/>
      <c r="BG245" s="474"/>
      <c r="BH245" s="474"/>
      <c r="BI245" s="474"/>
      <c r="BJ245" s="474"/>
      <c r="BK245" s="473"/>
      <c r="BL245" s="474"/>
      <c r="BM245" s="474"/>
      <c r="BN245" s="474"/>
      <c r="BO245" s="474"/>
      <c r="BP245" s="473"/>
      <c r="BQ245" s="474"/>
      <c r="BR245" s="474"/>
      <c r="BS245" s="474"/>
      <c r="BT245" s="474"/>
      <c r="BU245" s="473"/>
      <c r="BV245" s="474"/>
      <c r="BW245" s="474"/>
      <c r="BX245" s="474"/>
      <c r="BY245" s="474"/>
      <c r="BZ245" s="473"/>
      <c r="CA245" s="474"/>
      <c r="CB245" s="474"/>
      <c r="CC245" s="474"/>
      <c r="CD245" s="474"/>
      <c r="CE245" s="473"/>
      <c r="CF245" s="474"/>
      <c r="CG245" s="474"/>
      <c r="CH245" s="474"/>
      <c r="CI245" s="474"/>
      <c r="CJ245" s="473"/>
      <c r="CK245" s="474"/>
      <c r="CL245" s="474"/>
      <c r="CM245" s="474"/>
      <c r="CN245" s="474"/>
      <c r="CO245" s="473"/>
      <c r="CP245" s="474"/>
      <c r="CQ245" s="474"/>
      <c r="CR245" s="474"/>
      <c r="CS245" s="474"/>
      <c r="CT245" s="473"/>
      <c r="CU245" s="474"/>
      <c r="CV245" s="474"/>
      <c r="CW245" s="474"/>
      <c r="CX245" s="474"/>
      <c r="CY245" s="473"/>
      <c r="CZ245" s="474"/>
      <c r="DA245" s="474"/>
      <c r="DB245" s="474"/>
      <c r="DC245" s="474"/>
      <c r="DD245" s="473"/>
      <c r="DE245" s="474"/>
      <c r="DF245" s="474"/>
      <c r="DG245" s="474"/>
      <c r="DH245" s="474"/>
      <c r="DI245" s="473"/>
    </row>
    <row r="246" spans="1:113" ht="12" hidden="1" customHeight="1" outlineLevel="1">
      <c r="A246" s="219"/>
      <c r="B246" s="449" t="s">
        <v>123</v>
      </c>
      <c r="C246" s="412"/>
      <c r="D246" s="413"/>
      <c r="E246" s="412"/>
      <c r="F246" s="413"/>
      <c r="G246" s="412"/>
      <c r="H246" s="413"/>
      <c r="I246" s="412"/>
      <c r="J246" s="413"/>
      <c r="K246" s="412"/>
      <c r="L246" s="413"/>
      <c r="M246" s="412"/>
      <c r="N246" s="413"/>
      <c r="O246" s="413"/>
      <c r="P246" s="412"/>
      <c r="Q246" s="413"/>
      <c r="R246" s="412"/>
      <c r="S246" s="412"/>
      <c r="T246" s="412"/>
      <c r="U246" s="412"/>
      <c r="V246" s="413"/>
      <c r="W246" s="412"/>
      <c r="X246" s="412"/>
      <c r="Y246" s="412"/>
      <c r="Z246" s="412"/>
      <c r="AA246" s="413"/>
      <c r="AB246" s="413"/>
      <c r="AC246" s="412"/>
      <c r="AD246" s="412"/>
      <c r="AE246" s="412"/>
      <c r="AF246" s="412"/>
      <c r="AG246" s="12">
        <v>100</v>
      </c>
      <c r="AH246" s="1"/>
      <c r="AI246" s="1"/>
      <c r="AJ246" s="1"/>
      <c r="AK246" s="1"/>
      <c r="AL246" s="12">
        <v>100</v>
      </c>
      <c r="AM246" s="1"/>
      <c r="AN246" s="1"/>
      <c r="AO246" s="1"/>
      <c r="AP246" s="1"/>
      <c r="AQ246" s="12">
        <v>100</v>
      </c>
      <c r="AR246" s="1"/>
      <c r="AS246" s="1"/>
      <c r="AT246" s="1"/>
      <c r="AU246" s="1"/>
      <c r="AV246" s="12">
        <v>100</v>
      </c>
      <c r="AW246" s="1"/>
      <c r="AX246" s="1"/>
      <c r="AY246" s="1"/>
      <c r="AZ246" s="1"/>
      <c r="BA246" s="12">
        <v>100</v>
      </c>
      <c r="BB246" s="1"/>
      <c r="BC246" s="1"/>
      <c r="BD246" s="1"/>
      <c r="BE246" s="1"/>
      <c r="BF246" s="12">
        <v>100</v>
      </c>
      <c r="BG246" s="1"/>
      <c r="BH246" s="1"/>
      <c r="BI246" s="1"/>
      <c r="BJ246" s="1"/>
      <c r="BK246" s="12">
        <v>100</v>
      </c>
      <c r="BL246" s="1"/>
      <c r="BM246" s="1"/>
      <c r="BN246" s="1"/>
      <c r="BO246" s="1"/>
      <c r="BP246" s="12">
        <v>100</v>
      </c>
      <c r="BQ246" s="1"/>
      <c r="BR246" s="1"/>
      <c r="BS246" s="1"/>
      <c r="BT246" s="1"/>
      <c r="BU246" s="12">
        <v>100</v>
      </c>
      <c r="BV246" s="1"/>
      <c r="BW246" s="1"/>
      <c r="BX246" s="1"/>
      <c r="BY246" s="1"/>
      <c r="BZ246" s="12">
        <v>100</v>
      </c>
      <c r="CA246" s="1"/>
      <c r="CB246" s="1"/>
      <c r="CC246" s="1"/>
      <c r="CD246" s="1"/>
      <c r="CE246" s="12">
        <v>100</v>
      </c>
      <c r="CF246" s="1"/>
      <c r="CG246" s="1"/>
      <c r="CH246" s="1"/>
      <c r="CI246" s="1"/>
      <c r="CJ246" s="12">
        <v>100</v>
      </c>
      <c r="CK246" s="1"/>
      <c r="CL246" s="1"/>
      <c r="CM246" s="1"/>
      <c r="CN246" s="1"/>
      <c r="CO246" s="12">
        <v>100</v>
      </c>
      <c r="CP246" s="1"/>
      <c r="CQ246" s="1"/>
      <c r="CR246" s="1"/>
      <c r="CS246" s="1"/>
      <c r="CT246" s="12">
        <v>100</v>
      </c>
      <c r="CU246" s="1"/>
      <c r="CV246" s="1"/>
      <c r="CW246" s="1"/>
      <c r="CX246" s="1"/>
      <c r="CY246" s="12">
        <v>100</v>
      </c>
      <c r="CZ246" s="1"/>
      <c r="DA246" s="1"/>
      <c r="DB246" s="1"/>
      <c r="DC246" s="1"/>
      <c r="DD246" s="12">
        <v>100</v>
      </c>
      <c r="DE246" s="1"/>
      <c r="DF246" s="1"/>
      <c r="DG246" s="1"/>
      <c r="DH246" s="1"/>
      <c r="DI246" s="12">
        <v>100</v>
      </c>
    </row>
    <row r="247" spans="1:113" ht="12" hidden="1" customHeight="1" outlineLevel="1">
      <c r="A247" s="219"/>
      <c r="B247" s="449" t="s">
        <v>124</v>
      </c>
      <c r="C247" s="468"/>
      <c r="D247" s="469"/>
      <c r="E247" s="468"/>
      <c r="F247" s="469"/>
      <c r="G247" s="468"/>
      <c r="H247" s="469"/>
      <c r="I247" s="468"/>
      <c r="J247" s="469"/>
      <c r="K247" s="468"/>
      <c r="L247" s="469"/>
      <c r="M247" s="468"/>
      <c r="N247" s="469"/>
      <c r="O247" s="469"/>
      <c r="P247" s="468"/>
      <c r="Q247" s="469"/>
      <c r="R247" s="468"/>
      <c r="S247" s="468"/>
      <c r="T247" s="468"/>
      <c r="U247" s="468"/>
      <c r="V247" s="469"/>
      <c r="W247" s="468"/>
      <c r="X247" s="82">
        <f>2700/SUM(X185:X186)</f>
        <v>0.80237741456166423</v>
      </c>
      <c r="Y247" s="57">
        <f>2200/SUM(Y185:Y186)</f>
        <v>0.688145136065061</v>
      </c>
      <c r="Z247" s="57">
        <f>2500/SUM(Z185:Z186)</f>
        <v>0.66542454085706682</v>
      </c>
      <c r="AA247" s="55">
        <f>Z247</f>
        <v>0.66542454085706682</v>
      </c>
      <c r="AB247" s="55"/>
      <c r="AC247" s="57">
        <f>2300/SUM(AC185:AC186)</f>
        <v>0.70400979491888582</v>
      </c>
      <c r="AD247" s="57">
        <f>3000/SUM(AD185:AD186)</f>
        <v>0.85106382978723405</v>
      </c>
      <c r="AE247" s="57">
        <f>2900/SUM(AE185:AE186)</f>
        <v>0.71746660069272639</v>
      </c>
      <c r="AF247" s="57">
        <f>3500/SUM(AF185:AF186)</f>
        <v>0.58675607711651301</v>
      </c>
      <c r="AG247" s="81">
        <f>3500/(AG185+AG186)</f>
        <v>0.58675607711651301</v>
      </c>
      <c r="AH247" s="82">
        <f>3200/SUM(AH185:AH186)</f>
        <v>0.57368232341340986</v>
      </c>
      <c r="AI247" s="82">
        <f>3600/(SUM(AI185:AI186))</f>
        <v>0.69404279930595725</v>
      </c>
      <c r="AJ247" s="82">
        <f>3800/(SUM(AJ185:AJ186))</f>
        <v>0.75561741896997414</v>
      </c>
      <c r="AK247" s="82">
        <f>2500/SUM(AK185:AK186)</f>
        <v>0.48619214313496695</v>
      </c>
      <c r="AL247" s="81">
        <f>2500/(AL185+AL186)</f>
        <v>0.48619214313496695</v>
      </c>
      <c r="AM247" s="82">
        <f>2700/SUM(AM185:AM186)</f>
        <v>0.58964839484603626</v>
      </c>
      <c r="AN247" s="82">
        <f>3000/SUM(AN185:AN186)</f>
        <v>0.63653723742838952</v>
      </c>
      <c r="AO247" s="82">
        <f>3500/SUM(AO185:AO186)</f>
        <v>0.65286327177765346</v>
      </c>
      <c r="AP247" s="82">
        <f>4200/SUM(AP185:AP186)</f>
        <v>0.70898041863605676</v>
      </c>
      <c r="AQ247" s="83">
        <f>4200/(AQ185+AQ186)</f>
        <v>0.70898041863605676</v>
      </c>
      <c r="AR247" s="84">
        <f>4300/SUM(AR185:AR186)</f>
        <v>0.79511834319526631</v>
      </c>
      <c r="AS247" s="84">
        <f>4600/SUM(AS185:AS186)</f>
        <v>0.7521255722694572</v>
      </c>
      <c r="AT247" s="84">
        <f>AS247</f>
        <v>0.7521255722694572</v>
      </c>
      <c r="AU247" s="84">
        <f>+AV247</f>
        <v>0.83636363636363631</v>
      </c>
      <c r="AV247" s="83">
        <f>4.6/5.5</f>
        <v>0.83636363636363631</v>
      </c>
      <c r="AW247" s="84">
        <f>AU247</f>
        <v>0.83636363636363631</v>
      </c>
      <c r="AX247" s="84">
        <f>AW247</f>
        <v>0.83636363636363631</v>
      </c>
      <c r="AY247" s="84">
        <f>AW247</f>
        <v>0.83636363636363631</v>
      </c>
      <c r="AZ247" s="84">
        <f>5.8/6.2</f>
        <v>0.93548387096774188</v>
      </c>
      <c r="BA247" s="83">
        <f>5.8/6.2</f>
        <v>0.93548387096774188</v>
      </c>
      <c r="BB247" s="84">
        <f>AZ247</f>
        <v>0.93548387096774188</v>
      </c>
      <c r="BC247" s="84">
        <f>BB247</f>
        <v>0.93548387096774188</v>
      </c>
      <c r="BD247" s="84">
        <f>BB247</f>
        <v>0.93548387096774188</v>
      </c>
      <c r="BE247" s="84">
        <f>+BD247</f>
        <v>0.93548387096774188</v>
      </c>
      <c r="BF247" s="85">
        <v>0.5</v>
      </c>
      <c r="BG247" s="86">
        <f>+BK247</f>
        <v>0.5</v>
      </c>
      <c r="BH247" s="86">
        <f>+BK247</f>
        <v>0.5</v>
      </c>
      <c r="BI247" s="86">
        <f>+BL247</f>
        <v>0.5</v>
      </c>
      <c r="BJ247" s="86">
        <f>+BI247</f>
        <v>0.5</v>
      </c>
      <c r="BK247" s="85">
        <f>BF247</f>
        <v>0.5</v>
      </c>
      <c r="BL247" s="86">
        <f>+BP247</f>
        <v>0.5</v>
      </c>
      <c r="BM247" s="86">
        <f>+BP247</f>
        <v>0.5</v>
      </c>
      <c r="BN247" s="86">
        <f>+BP247</f>
        <v>0.5</v>
      </c>
      <c r="BO247" s="86">
        <f>+BP247</f>
        <v>0.5</v>
      </c>
      <c r="BP247" s="85">
        <f>BK247</f>
        <v>0.5</v>
      </c>
      <c r="BQ247" s="86">
        <f>+BU247</f>
        <v>0.5</v>
      </c>
      <c r="BR247" s="86">
        <f>+BU247</f>
        <v>0.5</v>
      </c>
      <c r="BS247" s="86">
        <f>+BU247</f>
        <v>0.5</v>
      </c>
      <c r="BT247" s="86">
        <f>+BU247</f>
        <v>0.5</v>
      </c>
      <c r="BU247" s="85">
        <f>BP247</f>
        <v>0.5</v>
      </c>
      <c r="BV247" s="86">
        <f>+BZ247</f>
        <v>0.5</v>
      </c>
      <c r="BW247" s="86">
        <f>+BZ247</f>
        <v>0.5</v>
      </c>
      <c r="BX247" s="86">
        <f>+BZ247</f>
        <v>0.5</v>
      </c>
      <c r="BY247" s="86">
        <f>+BZ247</f>
        <v>0.5</v>
      </c>
      <c r="BZ247" s="85">
        <f>BU247</f>
        <v>0.5</v>
      </c>
      <c r="CA247" s="86">
        <f>+CE247</f>
        <v>0.5</v>
      </c>
      <c r="CB247" s="86">
        <f>+CE247</f>
        <v>0.5</v>
      </c>
      <c r="CC247" s="86">
        <f>+CE247</f>
        <v>0.5</v>
      </c>
      <c r="CD247" s="86">
        <f>+CE247</f>
        <v>0.5</v>
      </c>
      <c r="CE247" s="85">
        <f>BZ247</f>
        <v>0.5</v>
      </c>
      <c r="CF247" s="86">
        <f>+CJ247</f>
        <v>0.5</v>
      </c>
      <c r="CG247" s="86">
        <f>+CJ247</f>
        <v>0.5</v>
      </c>
      <c r="CH247" s="86">
        <f>+CJ247</f>
        <v>0.5</v>
      </c>
      <c r="CI247" s="86">
        <f>+CJ247</f>
        <v>0.5</v>
      </c>
      <c r="CJ247" s="85">
        <f>CE247</f>
        <v>0.5</v>
      </c>
      <c r="CK247" s="86">
        <f>+CO247</f>
        <v>0.5</v>
      </c>
      <c r="CL247" s="86">
        <f>+CO247</f>
        <v>0.5</v>
      </c>
      <c r="CM247" s="86">
        <f>+CO247</f>
        <v>0.5</v>
      </c>
      <c r="CN247" s="86">
        <f>+CO247</f>
        <v>0.5</v>
      </c>
      <c r="CO247" s="85">
        <f>CJ247</f>
        <v>0.5</v>
      </c>
      <c r="CP247" s="86">
        <f>+CT247</f>
        <v>0.5</v>
      </c>
      <c r="CQ247" s="86">
        <f>+CT247</f>
        <v>0.5</v>
      </c>
      <c r="CR247" s="86">
        <f>+CT247</f>
        <v>0.5</v>
      </c>
      <c r="CS247" s="86">
        <f>+CT247</f>
        <v>0.5</v>
      </c>
      <c r="CT247" s="85">
        <f>CO247</f>
        <v>0.5</v>
      </c>
      <c r="CU247" s="86">
        <f>+CY247</f>
        <v>0.5</v>
      </c>
      <c r="CV247" s="86">
        <f>+CY247</f>
        <v>0.5</v>
      </c>
      <c r="CW247" s="86">
        <f>+CY247</f>
        <v>0.5</v>
      </c>
      <c r="CX247" s="86">
        <f>+CY247</f>
        <v>0.5</v>
      </c>
      <c r="CY247" s="85">
        <f>CT247</f>
        <v>0.5</v>
      </c>
      <c r="CZ247" s="86">
        <f>+DD247</f>
        <v>0.5</v>
      </c>
      <c r="DA247" s="86">
        <f>+DD247</f>
        <v>0.5</v>
      </c>
      <c r="DB247" s="86">
        <f>+DD247</f>
        <v>0.5</v>
      </c>
      <c r="DC247" s="86">
        <f>+DD247</f>
        <v>0.5</v>
      </c>
      <c r="DD247" s="85">
        <f>CY247</f>
        <v>0.5</v>
      </c>
      <c r="DE247" s="86">
        <f>+DI247</f>
        <v>0.5</v>
      </c>
      <c r="DF247" s="86">
        <f>+DI247</f>
        <v>0.5</v>
      </c>
      <c r="DG247" s="86">
        <f>+DI247</f>
        <v>0.5</v>
      </c>
      <c r="DH247" s="86">
        <f>+DI247</f>
        <v>0.5</v>
      </c>
      <c r="DI247" s="85">
        <f>DD247</f>
        <v>0.5</v>
      </c>
    </row>
    <row r="248" spans="1:113" ht="12" hidden="1" customHeight="1" outlineLevel="1">
      <c r="A248" s="219"/>
      <c r="B248" s="449"/>
      <c r="C248" s="468"/>
      <c r="D248" s="469"/>
      <c r="E248" s="468"/>
      <c r="F248" s="469"/>
      <c r="G248" s="468"/>
      <c r="H248" s="469"/>
      <c r="I248" s="468"/>
      <c r="J248" s="469"/>
      <c r="K248" s="468"/>
      <c r="L248" s="469"/>
      <c r="M248" s="468"/>
      <c r="N248" s="469"/>
      <c r="O248" s="469"/>
      <c r="P248" s="468"/>
      <c r="Q248" s="469"/>
      <c r="R248" s="468"/>
      <c r="S248" s="468"/>
      <c r="T248" s="468"/>
      <c r="U248" s="468"/>
      <c r="V248" s="469"/>
      <c r="W248" s="468"/>
      <c r="X248" s="82"/>
      <c r="Y248" s="57"/>
      <c r="Z248" s="57"/>
      <c r="AA248" s="55"/>
      <c r="AB248" s="55"/>
      <c r="AC248" s="57"/>
      <c r="AD248" s="57"/>
      <c r="AE248" s="57"/>
      <c r="AF248" s="57"/>
      <c r="AG248" s="81"/>
      <c r="AH248" s="82"/>
      <c r="AI248" s="82"/>
      <c r="AJ248" s="82"/>
      <c r="AK248" s="82"/>
      <c r="AL248" s="81"/>
      <c r="AM248" s="82"/>
      <c r="AN248" s="82"/>
      <c r="AO248" s="82"/>
      <c r="AP248" s="82"/>
      <c r="AQ248" s="83"/>
      <c r="AR248" s="84"/>
      <c r="AS248" s="84"/>
      <c r="AT248" s="84"/>
      <c r="AU248" s="84"/>
      <c r="AV248" s="83"/>
      <c r="AW248" s="84"/>
      <c r="AX248" s="84"/>
      <c r="AY248" s="84"/>
      <c r="AZ248" s="84"/>
      <c r="BA248" s="83"/>
      <c r="BB248" s="84"/>
      <c r="BC248" s="84"/>
      <c r="BD248" s="84"/>
      <c r="BE248" s="84"/>
      <c r="BF248" s="85"/>
      <c r="BG248" s="86"/>
      <c r="BH248" s="86"/>
      <c r="BI248" s="86"/>
      <c r="BJ248" s="84"/>
      <c r="BK248" s="85"/>
      <c r="BL248" s="86"/>
      <c r="BM248" s="86"/>
      <c r="BN248" s="86"/>
      <c r="BO248" s="86"/>
      <c r="BP248" s="85"/>
      <c r="BQ248" s="86"/>
      <c r="BR248" s="86"/>
      <c r="BS248" s="86"/>
      <c r="BT248" s="86"/>
      <c r="BU248" s="85"/>
      <c r="BV248" s="86"/>
      <c r="BW248" s="86"/>
      <c r="BX248" s="86"/>
      <c r="BY248" s="86"/>
      <c r="BZ248" s="85"/>
      <c r="CA248" s="86"/>
      <c r="CB248" s="86"/>
      <c r="CC248" s="86"/>
      <c r="CD248" s="86"/>
      <c r="CE248" s="85"/>
      <c r="CF248" s="86"/>
      <c r="CG248" s="86"/>
      <c r="CH248" s="86"/>
      <c r="CI248" s="86"/>
      <c r="CJ248" s="85"/>
      <c r="CK248" s="86"/>
      <c r="CL248" s="86"/>
      <c r="CM248" s="86"/>
      <c r="CN248" s="86"/>
      <c r="CO248" s="85"/>
      <c r="CP248" s="86"/>
      <c r="CQ248" s="86"/>
      <c r="CR248" s="86"/>
      <c r="CS248" s="86"/>
      <c r="CT248" s="85"/>
      <c r="CU248" s="86"/>
      <c r="CV248" s="86"/>
      <c r="CW248" s="86"/>
      <c r="CX248" s="86"/>
      <c r="CY248" s="85"/>
      <c r="CZ248" s="86"/>
      <c r="DA248" s="86"/>
      <c r="DB248" s="86"/>
      <c r="DC248" s="86"/>
      <c r="DD248" s="85"/>
      <c r="DE248" s="86"/>
      <c r="DF248" s="86"/>
      <c r="DG248" s="86"/>
      <c r="DH248" s="86"/>
      <c r="DI248" s="85"/>
    </row>
    <row r="249" spans="1:113" ht="12" hidden="1" customHeight="1" outlineLevel="1">
      <c r="A249" s="5"/>
      <c r="B249" s="77" t="s">
        <v>133</v>
      </c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56"/>
      <c r="S249" s="56"/>
      <c r="T249" s="56"/>
      <c r="U249" s="56"/>
      <c r="V249" s="48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  <c r="BV249" s="56"/>
      <c r="BW249" s="56"/>
      <c r="BX249" s="56"/>
      <c r="BY249" s="56"/>
      <c r="BZ249" s="56"/>
      <c r="CA249" s="56"/>
      <c r="CB249" s="56"/>
      <c r="CC249" s="56"/>
      <c r="CD249" s="56"/>
      <c r="CE249" s="56"/>
      <c r="CF249" s="56"/>
      <c r="CG249" s="56"/>
      <c r="CH249" s="56"/>
      <c r="CI249" s="56"/>
      <c r="CJ249" s="56"/>
      <c r="CK249" s="56"/>
      <c r="CL249" s="56"/>
      <c r="CM249" s="56"/>
      <c r="CN249" s="56"/>
      <c r="CO249" s="56"/>
      <c r="CP249" s="56"/>
      <c r="CQ249" s="56"/>
      <c r="CR249" s="56"/>
      <c r="CS249" s="56"/>
      <c r="CT249" s="56"/>
      <c r="CU249" s="56"/>
      <c r="CV249" s="56"/>
      <c r="CW249" s="56"/>
      <c r="CX249" s="56"/>
      <c r="CY249" s="56"/>
      <c r="CZ249" s="56"/>
      <c r="DA249" s="56"/>
      <c r="DB249" s="56"/>
      <c r="DC249" s="56"/>
      <c r="DD249" s="56"/>
      <c r="DE249" s="56"/>
      <c r="DF249" s="56"/>
      <c r="DG249" s="56"/>
      <c r="DH249" s="56"/>
      <c r="DI249" s="200"/>
    </row>
    <row r="250" spans="1:113" ht="12" customHeight="1" collapsed="1">
      <c r="A250" s="219"/>
      <c r="B250" s="465" t="s">
        <v>55</v>
      </c>
      <c r="C250" s="2"/>
      <c r="D250" s="13"/>
      <c r="E250" s="2"/>
      <c r="F250" s="13"/>
      <c r="G250" s="2"/>
      <c r="H250" s="13"/>
      <c r="I250" s="2"/>
      <c r="J250" s="13"/>
      <c r="K250" s="2"/>
      <c r="L250" s="13"/>
      <c r="M250" s="2"/>
      <c r="N250" s="13"/>
      <c r="O250" s="13"/>
      <c r="P250" s="2"/>
      <c r="Q250" s="13"/>
      <c r="R250" s="2"/>
      <c r="S250" s="2"/>
      <c r="T250" s="2"/>
      <c r="U250" s="2"/>
      <c r="V250" s="13"/>
      <c r="W250" s="2"/>
      <c r="X250" s="2"/>
      <c r="Y250" s="2"/>
      <c r="Z250" s="2"/>
      <c r="AA250" s="13"/>
      <c r="AB250" s="13"/>
      <c r="AC250" s="2"/>
      <c r="AD250" s="2"/>
      <c r="AE250" s="2"/>
      <c r="AF250" s="2"/>
      <c r="AG250" s="13"/>
      <c r="AH250" s="2"/>
      <c r="AI250" s="2"/>
      <c r="AJ250" s="2"/>
      <c r="AK250" s="2"/>
      <c r="AL250" s="13"/>
      <c r="AM250" s="2"/>
      <c r="AN250" s="2"/>
      <c r="AO250" s="2"/>
      <c r="AP250" s="2"/>
      <c r="AQ250" s="13"/>
      <c r="AR250" s="2"/>
      <c r="AS250" s="2"/>
      <c r="AT250" s="2"/>
      <c r="AU250" s="2"/>
      <c r="AV250" s="13"/>
      <c r="AW250" s="2"/>
      <c r="AX250" s="2"/>
      <c r="AY250" s="2"/>
      <c r="AZ250" s="2"/>
      <c r="BA250" s="13"/>
      <c r="BB250" s="2"/>
      <c r="BC250" s="2"/>
      <c r="BD250" s="2"/>
      <c r="BE250" s="2"/>
      <c r="BF250" s="13"/>
      <c r="BG250" s="2"/>
      <c r="BH250" s="2"/>
      <c r="BI250" s="2"/>
      <c r="BJ250" s="2"/>
      <c r="BK250" s="13"/>
      <c r="BL250" s="2"/>
      <c r="BM250" s="2"/>
      <c r="BN250" s="2"/>
      <c r="BO250" s="2"/>
      <c r="BP250" s="13"/>
      <c r="BQ250" s="2"/>
      <c r="BR250" s="2"/>
      <c r="BS250" s="2"/>
      <c r="BT250" s="2"/>
      <c r="BU250" s="13"/>
      <c r="BV250" s="2"/>
      <c r="BW250" s="2"/>
      <c r="BX250" s="2"/>
      <c r="BY250" s="2"/>
      <c r="BZ250" s="13"/>
      <c r="CA250" s="475"/>
      <c r="CB250" s="475"/>
      <c r="CC250" s="475"/>
      <c r="CD250" s="475"/>
      <c r="CE250" s="13"/>
      <c r="CF250" s="2"/>
      <c r="CG250" s="2"/>
      <c r="CH250" s="2"/>
      <c r="CI250" s="2"/>
      <c r="CJ250" s="13"/>
      <c r="CK250" s="2"/>
      <c r="CL250" s="2"/>
      <c r="CM250" s="2"/>
      <c r="CN250" s="2"/>
      <c r="CO250" s="13"/>
      <c r="CP250" s="2"/>
      <c r="CQ250" s="2"/>
      <c r="CR250" s="2"/>
      <c r="CS250" s="2"/>
      <c r="CT250" s="13"/>
      <c r="CU250" s="2"/>
      <c r="CV250" s="2"/>
      <c r="CW250" s="2"/>
      <c r="CX250" s="2"/>
      <c r="CY250" s="13"/>
      <c r="CZ250" s="2"/>
      <c r="DA250" s="2"/>
      <c r="DB250" s="2"/>
      <c r="DC250" s="2"/>
      <c r="DD250" s="13"/>
      <c r="DE250" s="2"/>
      <c r="DF250" s="2"/>
      <c r="DG250" s="2"/>
      <c r="DH250" s="2"/>
      <c r="DI250" s="13"/>
    </row>
    <row r="251" spans="1:113" s="7" customFormat="1" ht="12" hidden="1" customHeight="1" outlineLevel="1">
      <c r="A251" s="239"/>
      <c r="B251" s="450" t="s">
        <v>56</v>
      </c>
      <c r="C251" s="39" t="s">
        <v>1</v>
      </c>
      <c r="D251" s="36">
        <f>+'2. Consolidated'!D5-'2. Consolidated'!C5</f>
        <v>365</v>
      </c>
      <c r="E251" s="43">
        <f>+'2. Consolidated'!E5-'2. Consolidated'!D5</f>
        <v>365</v>
      </c>
      <c r="F251" s="36">
        <f>+'2. Consolidated'!F5-'2. Consolidated'!E5</f>
        <v>365</v>
      </c>
      <c r="G251" s="43">
        <f>+'2. Consolidated'!G5-'2. Consolidated'!F5</f>
        <v>366</v>
      </c>
      <c r="H251" s="36">
        <f>+'2. Consolidated'!H5-'2. Consolidated'!G5</f>
        <v>365</v>
      </c>
      <c r="I251" s="43">
        <f>+'2. Consolidated'!I5-'2. Consolidated'!H5</f>
        <v>365</v>
      </c>
      <c r="J251" s="36">
        <f>+'2. Consolidated'!J5-'2. Consolidated'!I5</f>
        <v>365</v>
      </c>
      <c r="K251" s="43">
        <f>+'2. Consolidated'!K5-'2. Consolidated'!J5</f>
        <v>366</v>
      </c>
      <c r="L251" s="36">
        <f>+'2. Consolidated'!L5-'2. Consolidated'!K5</f>
        <v>365</v>
      </c>
      <c r="M251" s="43">
        <f>+'2. Consolidated'!M5-'2. Consolidated'!L5</f>
        <v>365</v>
      </c>
      <c r="N251" s="36">
        <f>+'2. Consolidated'!N5-'2. Consolidated'!M5</f>
        <v>365</v>
      </c>
      <c r="O251" s="36">
        <f>+'2. Consolidated'!O5-'2. Consolidated'!N5</f>
        <v>366</v>
      </c>
      <c r="P251" s="43">
        <f>+'2. Consolidated'!P5-'2. Consolidated'!O5</f>
        <v>365</v>
      </c>
      <c r="Q251" s="36">
        <f>+'2. Consolidated'!Q5-'2. Consolidated'!P5</f>
        <v>365</v>
      </c>
      <c r="R251" s="43">
        <f>+'2. Consolidated'!R5-'2. Consolidated'!Q5</f>
        <v>92</v>
      </c>
      <c r="S251" s="43">
        <f>+'2. Consolidated'!S5-'2. Consolidated'!R5</f>
        <v>91</v>
      </c>
      <c r="T251" s="43">
        <f>+'2. Consolidated'!T5-'2. Consolidated'!S5</f>
        <v>90</v>
      </c>
      <c r="U251" s="43">
        <f>+'2. Consolidated'!U5-'2. Consolidated'!T5</f>
        <v>92</v>
      </c>
      <c r="V251" s="36">
        <f>+'2. Consolidated'!V5-'2. Consolidated'!Q5</f>
        <v>365</v>
      </c>
      <c r="W251" s="43">
        <f>+'2. Consolidated'!W5-'2. Consolidated'!V5</f>
        <v>92</v>
      </c>
      <c r="X251" s="43">
        <f>+'2. Consolidated'!X5-'2. Consolidated'!W5</f>
        <v>91</v>
      </c>
      <c r="Y251" s="43">
        <f>+'2. Consolidated'!Y5-'2. Consolidated'!X5</f>
        <v>91</v>
      </c>
      <c r="Z251" s="43">
        <f>+'2. Consolidated'!Z5-'2. Consolidated'!Y5</f>
        <v>92</v>
      </c>
      <c r="AA251" s="36">
        <f>+'2. Consolidated'!AA5-'2. Consolidated'!V5</f>
        <v>366</v>
      </c>
      <c r="AB251" s="36"/>
      <c r="AC251" s="43">
        <f>+'2. Consolidated'!AC5-'2. Consolidated'!AB5</f>
        <v>92</v>
      </c>
      <c r="AD251" s="43">
        <f>+'2. Consolidated'!AD5-'2. Consolidated'!AC5</f>
        <v>91</v>
      </c>
      <c r="AE251" s="43">
        <f>+'2. Consolidated'!AE5-'2. Consolidated'!AD5</f>
        <v>90</v>
      </c>
      <c r="AF251" s="43">
        <f>+'2. Consolidated'!AF5-'2. Consolidated'!AE5</f>
        <v>92</v>
      </c>
      <c r="AG251" s="36">
        <f>+'2. Consolidated'!AG5-'2. Consolidated'!AB5</f>
        <v>365</v>
      </c>
      <c r="AH251" s="43">
        <f>+'2. Consolidated'!AH5-'2. Consolidated'!AG5</f>
        <v>92</v>
      </c>
      <c r="AI251" s="43">
        <f>+'2. Consolidated'!AI5-'2. Consolidated'!AH5</f>
        <v>91</v>
      </c>
      <c r="AJ251" s="43">
        <f>+'2. Consolidated'!AJ5-'2. Consolidated'!AI5</f>
        <v>90</v>
      </c>
      <c r="AK251" s="43">
        <f>+'2. Consolidated'!AK5-'2. Consolidated'!AJ5</f>
        <v>92</v>
      </c>
      <c r="AL251" s="36">
        <f>+'2. Consolidated'!AL5-'2. Consolidated'!AG5</f>
        <v>365</v>
      </c>
      <c r="AM251" s="43">
        <f>+'2. Consolidated'!AM5-'2. Consolidated'!AL5</f>
        <v>92</v>
      </c>
      <c r="AN251" s="43">
        <f>+'2. Consolidated'!AN5-'2. Consolidated'!AM5</f>
        <v>91</v>
      </c>
      <c r="AO251" s="43">
        <f>+'2. Consolidated'!AO5-'2. Consolidated'!AN5</f>
        <v>90</v>
      </c>
      <c r="AP251" s="43">
        <f>+'2. Consolidated'!AP5-'2. Consolidated'!AO5</f>
        <v>92</v>
      </c>
      <c r="AQ251" s="36">
        <f>+'2. Consolidated'!AQ5-'2. Consolidated'!AL5</f>
        <v>365</v>
      </c>
      <c r="AR251" s="43">
        <f>+'2. Consolidated'!AR5-'2. Consolidated'!AQ5</f>
        <v>92</v>
      </c>
      <c r="AS251" s="43">
        <f>+'2. Consolidated'!AS5-'2. Consolidated'!AR5</f>
        <v>91</v>
      </c>
      <c r="AT251" s="43">
        <f>+'2. Consolidated'!AT5-'2. Consolidated'!AS5</f>
        <v>91</v>
      </c>
      <c r="AU251" s="43">
        <f>+'2. Consolidated'!AU5-'2. Consolidated'!AT5</f>
        <v>92</v>
      </c>
      <c r="AV251" s="36">
        <f>+'2. Consolidated'!AV5-'2. Consolidated'!AQ5</f>
        <v>366</v>
      </c>
      <c r="AW251" s="43">
        <f>+'2. Consolidated'!AW5-'2. Consolidated'!AV5</f>
        <v>92</v>
      </c>
      <c r="AX251" s="43">
        <f>+'2. Consolidated'!AX5-'2. Consolidated'!AW5</f>
        <v>91</v>
      </c>
      <c r="AY251" s="43">
        <f>+'2. Consolidated'!AY5-'2. Consolidated'!AX5</f>
        <v>90</v>
      </c>
      <c r="AZ251" s="43">
        <f>+'2. Consolidated'!AZ5-'2. Consolidated'!AY5</f>
        <v>92</v>
      </c>
      <c r="BA251" s="36">
        <f>+'2. Consolidated'!BA5-'2. Consolidated'!AV5</f>
        <v>365</v>
      </c>
      <c r="BB251" s="43">
        <f>+'2. Consolidated'!BB5-'2. Consolidated'!BA5</f>
        <v>92</v>
      </c>
      <c r="BC251" s="43">
        <f>+'2. Consolidated'!BC5-'2. Consolidated'!BB5</f>
        <v>91</v>
      </c>
      <c r="BD251" s="43">
        <f>+'2. Consolidated'!BD5-'2. Consolidated'!BC5</f>
        <v>90</v>
      </c>
      <c r="BE251" s="43">
        <f>+'2. Consolidated'!BE5-'2. Consolidated'!BD5</f>
        <v>92</v>
      </c>
      <c r="BF251" s="36">
        <f>+'2. Consolidated'!BF5-'2. Consolidated'!BA5</f>
        <v>365</v>
      </c>
      <c r="BG251" s="43">
        <f>+'2. Consolidated'!BG5-'2. Consolidated'!BF5</f>
        <v>92</v>
      </c>
      <c r="BH251" s="43">
        <f>+'2. Consolidated'!BH5-'2. Consolidated'!BG5</f>
        <v>91</v>
      </c>
      <c r="BI251" s="43">
        <f>+'2. Consolidated'!BI5-'2. Consolidated'!BH5</f>
        <v>90</v>
      </c>
      <c r="BJ251" s="43">
        <f>+'2. Consolidated'!BJ5-'2. Consolidated'!BI5</f>
        <v>92</v>
      </c>
      <c r="BK251" s="36">
        <f>+'2. Consolidated'!BK5-'2. Consolidated'!BF5</f>
        <v>365</v>
      </c>
      <c r="BL251" s="43">
        <f>+'2. Consolidated'!BL5-'2. Consolidated'!BK5</f>
        <v>92</v>
      </c>
      <c r="BM251" s="43">
        <f>+'2. Consolidated'!BM5-'2. Consolidated'!BL5</f>
        <v>91</v>
      </c>
      <c r="BN251" s="43">
        <f>+'2. Consolidated'!BN5-'2. Consolidated'!BM5</f>
        <v>91</v>
      </c>
      <c r="BO251" s="43">
        <f>+'2. Consolidated'!BO5-'2. Consolidated'!BN5</f>
        <v>92</v>
      </c>
      <c r="BP251" s="36">
        <f>+'2. Consolidated'!BP5-'2. Consolidated'!BK5</f>
        <v>366</v>
      </c>
      <c r="BQ251" s="43">
        <f>+'2. Consolidated'!BQ5-'2. Consolidated'!BP5</f>
        <v>92</v>
      </c>
      <c r="BR251" s="43">
        <f>+'2. Consolidated'!BR5-'2. Consolidated'!BQ5</f>
        <v>91</v>
      </c>
      <c r="BS251" s="43">
        <f>+'2. Consolidated'!BS5-'2. Consolidated'!BR5</f>
        <v>90</v>
      </c>
      <c r="BT251" s="43">
        <f>+'2. Consolidated'!BT5-'2. Consolidated'!BS5</f>
        <v>92</v>
      </c>
      <c r="BU251" s="36">
        <f>+'2. Consolidated'!BU5-'2. Consolidated'!BP5</f>
        <v>365</v>
      </c>
      <c r="BV251" s="43">
        <f>+'2. Consolidated'!BV5-'2. Consolidated'!BU5</f>
        <v>92</v>
      </c>
      <c r="BW251" s="43">
        <f>+'2. Consolidated'!BW5-'2. Consolidated'!BV5</f>
        <v>91</v>
      </c>
      <c r="BX251" s="43">
        <f>+'2. Consolidated'!BX5-'2. Consolidated'!BW5</f>
        <v>90</v>
      </c>
      <c r="BY251" s="43">
        <f>+'2. Consolidated'!BY5-'2. Consolidated'!BX5</f>
        <v>92</v>
      </c>
      <c r="BZ251" s="36">
        <f>+'2. Consolidated'!BZ5-'2. Consolidated'!BU5</f>
        <v>365</v>
      </c>
      <c r="CA251" s="43">
        <f>+'2. Consolidated'!CA5-'2. Consolidated'!BZ5</f>
        <v>92</v>
      </c>
      <c r="CB251" s="43">
        <f>+'2. Consolidated'!CB5-'2. Consolidated'!CA5</f>
        <v>91</v>
      </c>
      <c r="CC251" s="43">
        <f>+'2. Consolidated'!CC5-'2. Consolidated'!CB5</f>
        <v>90</v>
      </c>
      <c r="CD251" s="43">
        <f>+'2. Consolidated'!CD5-'2. Consolidated'!CC5</f>
        <v>92</v>
      </c>
      <c r="CE251" s="36">
        <f>+'2. Consolidated'!CE5-'2. Consolidated'!BZ5</f>
        <v>365</v>
      </c>
      <c r="CF251" s="43">
        <f>+'2. Consolidated'!CF5-'2. Consolidated'!CE5</f>
        <v>92</v>
      </c>
      <c r="CG251" s="43">
        <f>+'2. Consolidated'!CG5-'2. Consolidated'!CF5</f>
        <v>91</v>
      </c>
      <c r="CH251" s="43">
        <f>+'2. Consolidated'!CH5-'2. Consolidated'!CG5</f>
        <v>90</v>
      </c>
      <c r="CI251" s="43">
        <f>+'2. Consolidated'!CI5-'2. Consolidated'!CH5</f>
        <v>93</v>
      </c>
      <c r="CJ251" s="36">
        <f>+'2. Consolidated'!CJ5-'2. Consolidated'!CE5</f>
        <v>366</v>
      </c>
      <c r="CK251" s="43">
        <f>+'2. Consolidated'!CK5-'2. Consolidated'!CJ5</f>
        <v>92</v>
      </c>
      <c r="CL251" s="43">
        <f>+'2. Consolidated'!CL5-'2. Consolidated'!CK5</f>
        <v>91</v>
      </c>
      <c r="CM251" s="43">
        <f>+'2. Consolidated'!CM5-'2. Consolidated'!CL5</f>
        <v>90</v>
      </c>
      <c r="CN251" s="43">
        <f>+'2. Consolidated'!CN5-'2. Consolidated'!CM5</f>
        <v>92</v>
      </c>
      <c r="CO251" s="36">
        <f>+'2. Consolidated'!CO5-'2. Consolidated'!CJ5</f>
        <v>365</v>
      </c>
      <c r="CP251" s="43">
        <f>+'2. Consolidated'!CP5-'2. Consolidated'!CO5</f>
        <v>92</v>
      </c>
      <c r="CQ251" s="43">
        <f>+'2. Consolidated'!CQ5-'2. Consolidated'!CP5</f>
        <v>91</v>
      </c>
      <c r="CR251" s="43">
        <f>+'2. Consolidated'!CR5-'2. Consolidated'!CQ5</f>
        <v>90</v>
      </c>
      <c r="CS251" s="43">
        <f>+'2. Consolidated'!CS5-'2. Consolidated'!CR5</f>
        <v>92</v>
      </c>
      <c r="CT251" s="36">
        <f>+'2. Consolidated'!CT5-'2. Consolidated'!CO5</f>
        <v>365</v>
      </c>
      <c r="CU251" s="43">
        <f>+'2. Consolidated'!CU5-'2. Consolidated'!CT5</f>
        <v>92</v>
      </c>
      <c r="CV251" s="43">
        <f>+'2. Consolidated'!CV5-'2. Consolidated'!CU5</f>
        <v>91</v>
      </c>
      <c r="CW251" s="43">
        <f>+'2. Consolidated'!CW5-'2. Consolidated'!CV5</f>
        <v>90</v>
      </c>
      <c r="CX251" s="43">
        <f>+'2. Consolidated'!CX5-'2. Consolidated'!CW5</f>
        <v>92</v>
      </c>
      <c r="CY251" s="36">
        <f>+'2. Consolidated'!CY5-'2. Consolidated'!CT5</f>
        <v>365</v>
      </c>
      <c r="CZ251" s="43">
        <f>+'2. Consolidated'!CZ5-'2. Consolidated'!CY5</f>
        <v>92</v>
      </c>
      <c r="DA251" s="43">
        <f>+'2. Consolidated'!DA5-'2. Consolidated'!CZ5</f>
        <v>91</v>
      </c>
      <c r="DB251" s="43">
        <f>+'2. Consolidated'!DB5-'2. Consolidated'!DA5</f>
        <v>90</v>
      </c>
      <c r="DC251" s="43">
        <f>+'2. Consolidated'!DC5-'2. Consolidated'!DB5</f>
        <v>93</v>
      </c>
      <c r="DD251" s="36">
        <f>+'2. Consolidated'!DD5-'2. Consolidated'!CY5</f>
        <v>366</v>
      </c>
      <c r="DE251" s="43">
        <f>+'2. Consolidated'!DE5-'2. Consolidated'!DD5</f>
        <v>91</v>
      </c>
      <c r="DF251" s="43">
        <f>+'2. Consolidated'!DF5-'2. Consolidated'!DE5</f>
        <v>91</v>
      </c>
      <c r="DG251" s="43">
        <f>+'2. Consolidated'!DG5-'2. Consolidated'!DF5</f>
        <v>91</v>
      </c>
      <c r="DH251" s="43">
        <f>+'2. Consolidated'!DH5-'2. Consolidated'!DG5</f>
        <v>91</v>
      </c>
      <c r="DI251" s="36">
        <f>+'2. Consolidated'!DI5-'2. Consolidated'!DD5</f>
        <v>0</v>
      </c>
    </row>
    <row r="252" spans="1:113" ht="12" hidden="1" customHeight="1" outlineLevel="1">
      <c r="A252" s="219"/>
      <c r="B252" s="449"/>
      <c r="C252" s="9"/>
      <c r="D252" s="476"/>
      <c r="E252" s="477"/>
      <c r="F252" s="476"/>
      <c r="G252" s="477"/>
      <c r="H252" s="476"/>
      <c r="I252" s="477"/>
      <c r="J252" s="476"/>
      <c r="K252" s="477"/>
      <c r="L252" s="476"/>
      <c r="M252" s="477"/>
      <c r="N252" s="476"/>
      <c r="O252" s="476"/>
      <c r="P252" s="477"/>
      <c r="Q252" s="476"/>
      <c r="R252" s="477"/>
      <c r="S252" s="477"/>
      <c r="T252" s="477"/>
      <c r="U252" s="477"/>
      <c r="V252" s="476"/>
      <c r="W252" s="477"/>
      <c r="X252" s="477"/>
      <c r="Y252" s="477"/>
      <c r="Z252" s="477"/>
      <c r="AA252" s="476"/>
      <c r="AB252" s="476"/>
      <c r="AC252" s="477"/>
      <c r="AD252" s="477"/>
      <c r="AE252" s="477"/>
      <c r="AF252" s="477"/>
      <c r="AG252" s="476"/>
      <c r="AH252" s="477"/>
      <c r="AI252" s="477"/>
      <c r="AJ252" s="477"/>
      <c r="AK252" s="477"/>
      <c r="AL252" s="476"/>
      <c r="AM252" s="477"/>
      <c r="AN252" s="477"/>
      <c r="AO252" s="477"/>
      <c r="AP252" s="477"/>
      <c r="AQ252" s="476"/>
      <c r="AR252" s="477"/>
      <c r="AS252" s="477"/>
      <c r="AT252" s="477"/>
      <c r="AU252" s="477"/>
      <c r="AV252" s="476"/>
      <c r="AW252" s="477"/>
      <c r="AX252" s="477"/>
      <c r="AY252" s="477"/>
      <c r="AZ252" s="477"/>
      <c r="BA252" s="476"/>
      <c r="BB252" s="477"/>
      <c r="BC252" s="477"/>
      <c r="BD252" s="477"/>
      <c r="BE252" s="477"/>
      <c r="BF252" s="476"/>
      <c r="BG252" s="477"/>
      <c r="BH252" s="477"/>
      <c r="BI252" s="477"/>
      <c r="BJ252" s="477"/>
      <c r="BK252" s="476"/>
      <c r="BL252" s="477"/>
      <c r="BM252" s="477"/>
      <c r="BN252" s="477"/>
      <c r="BO252" s="477"/>
      <c r="BP252" s="476"/>
      <c r="BQ252" s="477"/>
      <c r="BR252" s="477"/>
      <c r="BS252" s="477"/>
      <c r="BT252" s="477"/>
      <c r="BU252" s="476"/>
      <c r="BV252" s="477"/>
      <c r="BW252" s="477"/>
      <c r="BX252" s="477"/>
      <c r="BY252" s="477"/>
      <c r="BZ252" s="476"/>
      <c r="CA252" s="478"/>
      <c r="CB252" s="478"/>
      <c r="CC252" s="478"/>
      <c r="CD252" s="478"/>
      <c r="CE252" s="476"/>
      <c r="CF252" s="477"/>
      <c r="CG252" s="477"/>
      <c r="CH252" s="477"/>
      <c r="CI252" s="477"/>
      <c r="CJ252" s="476"/>
      <c r="CK252" s="477"/>
      <c r="CL252" s="477"/>
      <c r="CM252" s="477"/>
      <c r="CN252" s="477"/>
      <c r="CO252" s="476"/>
      <c r="CP252" s="477"/>
      <c r="CQ252" s="477"/>
      <c r="CR252" s="477"/>
      <c r="CS252" s="477"/>
      <c r="CT252" s="476"/>
      <c r="CU252" s="477"/>
      <c r="CV252" s="477"/>
      <c r="CW252" s="477"/>
      <c r="CX252" s="477"/>
      <c r="CY252" s="476"/>
      <c r="CZ252" s="477"/>
      <c r="DA252" s="477"/>
      <c r="DB252" s="477"/>
      <c r="DC252" s="477"/>
      <c r="DD252" s="476"/>
      <c r="DE252" s="477"/>
      <c r="DF252" s="477"/>
      <c r="DG252" s="477"/>
      <c r="DH252" s="477"/>
      <c r="DI252" s="476"/>
    </row>
    <row r="253" spans="1:113" s="7" customFormat="1" ht="12" hidden="1" customHeight="1" outlineLevel="1">
      <c r="A253" s="239"/>
      <c r="B253" s="450" t="s">
        <v>57</v>
      </c>
      <c r="C253" s="39" t="s">
        <v>1</v>
      </c>
      <c r="D253" s="267">
        <f>+'2. Consolidated'!D57</f>
        <v>9186.5390000000007</v>
      </c>
      <c r="E253" s="443">
        <f>+'2. Consolidated'!E57</f>
        <v>9553.0999999999985</v>
      </c>
      <c r="F253" s="267">
        <f>+'2. Consolidated'!F57</f>
        <v>8776.9000000000015</v>
      </c>
      <c r="G253" s="443">
        <f>+'2. Consolidated'!G57</f>
        <v>8995.1</v>
      </c>
      <c r="H253" s="267">
        <f>+'2. Consolidated'!H57</f>
        <v>9488.7999999999993</v>
      </c>
      <c r="I253" s="443">
        <f>+'2. Consolidated'!I57</f>
        <v>9893</v>
      </c>
      <c r="J253" s="267">
        <f>+'2. Consolidated'!J57</f>
        <v>10697</v>
      </c>
      <c r="K253" s="443">
        <f>+'2. Consolidated'!K57</f>
        <v>12253.1</v>
      </c>
      <c r="L253" s="267">
        <f>+'2. Consolidated'!L57</f>
        <v>13739.699999999999</v>
      </c>
      <c r="M253" s="443">
        <f>+'2. Consolidated'!M57</f>
        <v>14954.9</v>
      </c>
      <c r="N253" s="267">
        <f>+'2. Consolidated'!N57</f>
        <v>16325.900000000001</v>
      </c>
      <c r="O253" s="267">
        <f>+'2. Consolidated'!O57</f>
        <v>18627</v>
      </c>
      <c r="P253" s="443">
        <f>+'2. Consolidated'!P57</f>
        <v>19176.099999999999</v>
      </c>
      <c r="Q253" s="267">
        <f>+'2. Consolidated'!Q57</f>
        <v>19014</v>
      </c>
      <c r="R253" s="443">
        <f>+'2. Consolidated'!R57</f>
        <v>5175</v>
      </c>
      <c r="S253" s="443">
        <f>+'2. Consolidated'!S57</f>
        <v>4842</v>
      </c>
      <c r="T253" s="443">
        <f>+'2. Consolidated'!T57</f>
        <v>5079</v>
      </c>
      <c r="U253" s="443">
        <f>+'2. Consolidated'!U57</f>
        <v>5766</v>
      </c>
      <c r="V253" s="267">
        <f>+'2. Consolidated'!V57</f>
        <v>20862</v>
      </c>
      <c r="W253" s="443">
        <f>+'2. Consolidated'!W57</f>
        <v>6081</v>
      </c>
      <c r="X253" s="443">
        <f>+'2. Consolidated'!X57</f>
        <v>5731</v>
      </c>
      <c r="Y253" s="443">
        <f>+'2. Consolidated'!Y57</f>
        <v>5846</v>
      </c>
      <c r="Z253" s="443">
        <f>+'2. Consolidated'!Z57</f>
        <v>6470</v>
      </c>
      <c r="AA253" s="267">
        <f>+'2. Consolidated'!AA57</f>
        <v>24128</v>
      </c>
      <c r="AB253" s="267"/>
      <c r="AC253" s="443">
        <f>+'2. Consolidated'!AC57</f>
        <v>6474</v>
      </c>
      <c r="AD253" s="443">
        <f>+'2. Consolidated'!AD57</f>
        <v>5955</v>
      </c>
      <c r="AE253" s="443">
        <f>+'2. Consolidated'!AE57</f>
        <v>6187</v>
      </c>
      <c r="AF253" s="443">
        <f>+'2. Consolidated'!AF57</f>
        <v>6697</v>
      </c>
      <c r="AG253" s="267">
        <f>+'2. Consolidated'!AG57</f>
        <v>25313</v>
      </c>
      <c r="AH253" s="443">
        <f>+'2. Consolidated'!AH57</f>
        <v>6971</v>
      </c>
      <c r="AI253" s="443">
        <f>+'2. Consolidated'!AI57</f>
        <v>6431</v>
      </c>
      <c r="AJ253" s="443">
        <f>+'2. Consolidated'!AJ57</f>
        <v>6972</v>
      </c>
      <c r="AK253" s="443">
        <f>+'2. Consolidated'!AK57</f>
        <v>7425</v>
      </c>
      <c r="AL253" s="267">
        <f>+'2. Consolidated'!AL57</f>
        <v>27799</v>
      </c>
      <c r="AM253" s="443">
        <f>+'2. Consolidated'!AM57</f>
        <v>7982</v>
      </c>
      <c r="AN253" s="443">
        <f>+'2. Consolidated'!AN57</f>
        <v>7380</v>
      </c>
      <c r="AO253" s="443">
        <f>+'2. Consolidated'!AO57</f>
        <v>7460</v>
      </c>
      <c r="AP253" s="443">
        <f>+'2. Consolidated'!AP57</f>
        <v>7779</v>
      </c>
      <c r="AQ253" s="267">
        <f>+'2. Consolidated'!AQ57</f>
        <v>30601</v>
      </c>
      <c r="AR253" s="443">
        <f>+'2. Consolidated'!AR57</f>
        <v>8414</v>
      </c>
      <c r="AS253" s="443">
        <f>+'2. Consolidated'!AS57</f>
        <v>7686</v>
      </c>
      <c r="AT253" s="443">
        <f>+'2. Consolidated'!AT57</f>
        <v>8032</v>
      </c>
      <c r="AU253" s="443">
        <f>+'2. Consolidated'!AU57</f>
        <v>8244</v>
      </c>
      <c r="AV253" s="267">
        <f>+'2. Consolidated'!AV57</f>
        <v>32376</v>
      </c>
      <c r="AW253" s="443">
        <f>+'2. Consolidated'!AW57</f>
        <v>9061</v>
      </c>
      <c r="AX253" s="443">
        <f>+'2. Consolidated'!AX57</f>
        <v>8180</v>
      </c>
      <c r="AY253" s="443">
        <f>+'2. Consolidated'!AY57</f>
        <v>8432</v>
      </c>
      <c r="AZ253" s="443">
        <f>+'2. Consolidated'!AZ57</f>
        <v>8677</v>
      </c>
      <c r="BA253" s="267">
        <f>+'2. Consolidated'!BA57</f>
        <v>34350</v>
      </c>
      <c r="BB253" s="443">
        <f>+'2. Consolidated'!BB57</f>
        <v>9070</v>
      </c>
      <c r="BC253" s="443">
        <f>+'2. Consolidated'!BC57</f>
        <v>8554</v>
      </c>
      <c r="BD253" s="443">
        <f>+'2. Consolidated'!BD57</f>
        <v>8984</v>
      </c>
      <c r="BE253" s="443">
        <f>+'2. Consolidated'!BE57</f>
        <v>9789</v>
      </c>
      <c r="BF253" s="267">
        <f>+'2. Consolidated'!BF57</f>
        <v>36397</v>
      </c>
      <c r="BG253" s="443">
        <f>+'2. Consolidated'!BG57</f>
        <v>9948</v>
      </c>
      <c r="BH253" s="443">
        <f>+'2. Consolidated'!BH57</f>
        <v>9374</v>
      </c>
      <c r="BI253" s="443">
        <f>+'2. Consolidated'!BI57</f>
        <v>9611</v>
      </c>
      <c r="BJ253" s="443">
        <f>+'2. Consolidated'!BJ57</f>
        <v>10184</v>
      </c>
      <c r="BK253" s="267">
        <f>+'2. Consolidated'!BK57</f>
        <v>39117</v>
      </c>
      <c r="BL253" s="443">
        <f>+'2. Consolidated'!BL57</f>
        <v>10660</v>
      </c>
      <c r="BM253" s="443">
        <f>+'2. Consolidated'!BM57</f>
        <v>10326</v>
      </c>
      <c r="BN253" s="443">
        <f>+'2. Consolidated'!BN57</f>
        <v>10104</v>
      </c>
      <c r="BO253" s="443">
        <f>+'2. Consolidated'!BO57</f>
        <v>6313</v>
      </c>
      <c r="BP253" s="267">
        <f>+'2. Consolidated'!BP57</f>
        <v>37403</v>
      </c>
      <c r="BQ253" s="443">
        <f>+'2. Consolidated'!BQ57</f>
        <v>10594</v>
      </c>
      <c r="BR253" s="443">
        <f>+'2. Consolidated'!BR57</f>
        <v>11243</v>
      </c>
      <c r="BS253" s="443">
        <f>+'2. Consolidated'!BS57</f>
        <v>10357</v>
      </c>
      <c r="BT253" s="443">
        <f>+'2. Consolidated'!BT57</f>
        <v>12344</v>
      </c>
      <c r="BU253" s="267">
        <f>+'2. Consolidated'!BU57</f>
        <v>44538</v>
      </c>
      <c r="BV253" s="443">
        <f>+'2. Consolidated'!BV57</f>
        <v>12248</v>
      </c>
      <c r="BW253" s="443">
        <f>+'2. Consolidated'!BW57</f>
        <v>11357</v>
      </c>
      <c r="BX253" s="443">
        <f>+'2. Consolidated'!BX57</f>
        <v>10871</v>
      </c>
      <c r="BY253" s="443">
        <f>+'2. Consolidated'!BY57</f>
        <v>12234</v>
      </c>
      <c r="BZ253" s="267">
        <f>+'2. Consolidated'!BZ57</f>
        <v>46710</v>
      </c>
      <c r="CA253" s="443">
        <f>+'2. Consolidated'!CA57</f>
        <v>12687</v>
      </c>
      <c r="CB253" s="443">
        <f>+'2. Consolidated'!CB57</f>
        <v>13315</v>
      </c>
      <c r="CC253" s="443">
        <f>+'2. Consolidated'!CC57</f>
        <v>12390</v>
      </c>
      <c r="CD253" s="443">
        <f>+'2. Consolidated'!CD57</f>
        <v>12825</v>
      </c>
      <c r="CE253" s="267">
        <f>+'2. Consolidated'!CE57</f>
        <v>51217</v>
      </c>
      <c r="CF253" s="443">
        <f>+'2. Consolidated'!CF57</f>
        <v>12939</v>
      </c>
      <c r="CG253" s="443">
        <f>+'2. Consolidated'!CG57</f>
        <v>13388</v>
      </c>
      <c r="CH253" s="443">
        <f>+'2. Consolidated'!CH57</f>
        <v>12429</v>
      </c>
      <c r="CI253" s="443">
        <f>+'2. Consolidated'!CI57</f>
        <v>12606</v>
      </c>
      <c r="CJ253" s="267">
        <f>+'2. Consolidated'!CJ57</f>
        <v>51362</v>
      </c>
      <c r="CK253" s="443">
        <f>+'2. Consolidated'!CK57</f>
        <v>11589</v>
      </c>
      <c r="CL253" s="443">
        <f>+'2. Consolidated'!CL57</f>
        <v>12354</v>
      </c>
      <c r="CM253" s="443">
        <f>+'2. Consolidated'!CM57</f>
        <v>11269</v>
      </c>
      <c r="CN253" s="443">
        <f>+'2. Consolidated'!CN57</f>
        <v>11097</v>
      </c>
      <c r="CO253" s="267">
        <f>+'2. Consolidated'!CO57</f>
        <v>46309</v>
      </c>
      <c r="CP253" s="443">
        <f>+'2. Consolidated'!CP57</f>
        <v>11720</v>
      </c>
      <c r="CQ253" s="443">
        <f>+'2. Consolidated'!CQ57</f>
        <v>12427</v>
      </c>
      <c r="CR253" s="443">
        <f>+'2. Consolidated'!CR57</f>
        <v>11279</v>
      </c>
      <c r="CS253" s="443">
        <f>+'2. Consolidated'!CS57</f>
        <v>10972</v>
      </c>
      <c r="CT253" s="267">
        <f>+'2. Consolidated'!CT57</f>
        <v>46398</v>
      </c>
      <c r="CU253" s="443">
        <f>+'2. Consolidated'!CU57</f>
        <v>11213</v>
      </c>
      <c r="CV253" s="443">
        <f>+'2. Consolidated'!CV57</f>
        <v>10878.097940000001</v>
      </c>
      <c r="CW253" s="443">
        <f>+'2. Consolidated'!CW57</f>
        <v>10305.983209999999</v>
      </c>
      <c r="CX253" s="443">
        <f>+'2. Consolidated'!CX57</f>
        <v>9881.3433699999987</v>
      </c>
      <c r="CY253" s="267">
        <f>+'2. Consolidated'!CY57</f>
        <v>42278.424519999993</v>
      </c>
      <c r="CZ253" s="443">
        <f>+'2. Consolidated'!CZ57</f>
        <v>10328.23281</v>
      </c>
      <c r="DA253" s="443">
        <f>+'2. Consolidated'!DA57</f>
        <v>10360.009180099998</v>
      </c>
      <c r="DB253" s="443">
        <f>+'2. Consolidated'!DB57</f>
        <v>10025.647070699999</v>
      </c>
      <c r="DC253" s="443">
        <f>+'2. Consolidated'!DC57</f>
        <v>9627.8920167999968</v>
      </c>
      <c r="DD253" s="267">
        <f>+'2. Consolidated'!DD57</f>
        <v>40341.781077599997</v>
      </c>
      <c r="DE253" s="443">
        <f>+'2. Consolidated'!DE57</f>
        <v>10334.0543898</v>
      </c>
      <c r="DF253" s="443">
        <f>+'2. Consolidated'!DF57</f>
        <v>10379.712353105997</v>
      </c>
      <c r="DG253" s="443">
        <f>+'2. Consolidated'!DG57</f>
        <v>10094.693474377</v>
      </c>
      <c r="DH253" s="443">
        <f>+'2. Consolidated'!DH57</f>
        <v>9696.6732653359995</v>
      </c>
      <c r="DI253" s="267">
        <f>+'2. Consolidated'!DI57</f>
        <v>40505.133482619</v>
      </c>
    </row>
    <row r="254" spans="1:113" s="7" customFormat="1" ht="12" hidden="1" customHeight="1" outlineLevel="1">
      <c r="A254" s="239"/>
      <c r="B254" s="450" t="s">
        <v>58</v>
      </c>
      <c r="C254" s="39" t="s">
        <v>1</v>
      </c>
      <c r="D254" s="267">
        <f t="shared" ref="D254:U254" si="641">AVERAGE(C187:D187)</f>
        <v>1550.1309999999999</v>
      </c>
      <c r="E254" s="443">
        <f t="shared" si="641"/>
        <v>1714.2685000000001</v>
      </c>
      <c r="F254" s="267">
        <f t="shared" si="641"/>
        <v>1607.25</v>
      </c>
      <c r="G254" s="443">
        <f t="shared" si="641"/>
        <v>1553.65</v>
      </c>
      <c r="H254" s="267">
        <f t="shared" si="641"/>
        <v>1594.3000000000002</v>
      </c>
      <c r="I254" s="443">
        <f t="shared" si="641"/>
        <v>1714.25</v>
      </c>
      <c r="J254" s="267">
        <f t="shared" si="641"/>
        <v>1954.1</v>
      </c>
      <c r="K254" s="443">
        <f t="shared" si="641"/>
        <v>2110.6499999999996</v>
      </c>
      <c r="L254" s="267">
        <f t="shared" si="641"/>
        <v>2191.1499999999996</v>
      </c>
      <c r="M254" s="443">
        <f t="shared" si="641"/>
        <v>2329</v>
      </c>
      <c r="N254" s="267">
        <f t="shared" si="641"/>
        <v>2445.3000000000002</v>
      </c>
      <c r="O254" s="267">
        <f t="shared" si="641"/>
        <v>2645</v>
      </c>
      <c r="P254" s="443">
        <f t="shared" si="641"/>
        <v>2839.6000000000004</v>
      </c>
      <c r="Q254" s="267">
        <f t="shared" si="641"/>
        <v>2766.95</v>
      </c>
      <c r="R254" s="443">
        <f t="shared" si="641"/>
        <v>2720.5</v>
      </c>
      <c r="S254" s="443">
        <f t="shared" si="641"/>
        <v>2791.5</v>
      </c>
      <c r="T254" s="443">
        <f t="shared" si="641"/>
        <v>2888.5</v>
      </c>
      <c r="U254" s="443">
        <f t="shared" si="641"/>
        <v>3061.5</v>
      </c>
      <c r="V254" s="267">
        <f>AVERAGE(V187,Q187)</f>
        <v>2894</v>
      </c>
      <c r="W254" s="443">
        <f>AVERAGE(V187:W187)</f>
        <v>3208.5</v>
      </c>
      <c r="X254" s="443">
        <f>AVERAGE(W187:X187)</f>
        <v>3191</v>
      </c>
      <c r="Y254" s="443">
        <f>AVERAGE(X187:Y187)</f>
        <v>3199.5</v>
      </c>
      <c r="Z254" s="443">
        <f>AVERAGE(Y187:Z187)</f>
        <v>3214</v>
      </c>
      <c r="AA254" s="267">
        <f>AVERAGE(AA187,V187)</f>
        <v>3209</v>
      </c>
      <c r="AB254" s="267"/>
      <c r="AC254" s="443">
        <f>AVERAGE(AB187:AC187)</f>
        <v>3281.5</v>
      </c>
      <c r="AD254" s="443">
        <f>AVERAGE(AC187:AD187)</f>
        <v>3309.5</v>
      </c>
      <c r="AE254" s="443">
        <f>AVERAGE(AD187:AE187)</f>
        <v>3210</v>
      </c>
      <c r="AF254" s="443">
        <f>AVERAGE(AE187:AF187)</f>
        <v>3174.5</v>
      </c>
      <c r="AG254" s="267">
        <f>AVERAGE(AG187,AB187)</f>
        <v>3124.5</v>
      </c>
      <c r="AH254" s="443">
        <f>AVERAGE(AG187:AH187)</f>
        <v>3162</v>
      </c>
      <c r="AI254" s="443">
        <f>AVERAGE(AH187:AI187)</f>
        <v>3207.5</v>
      </c>
      <c r="AJ254" s="443">
        <f>AVERAGE(AI187:AJ187)</f>
        <v>3281.5</v>
      </c>
      <c r="AK254" s="443">
        <f>AVERAGE(AJ187:AK187)</f>
        <v>3394.5</v>
      </c>
      <c r="AL254" s="267">
        <f>AVERAGE(AL187,AG187)</f>
        <v>3275.5</v>
      </c>
      <c r="AM254" s="443">
        <f>AVERAGE(AL187:AM187)</f>
        <v>3510.5</v>
      </c>
      <c r="AN254" s="443">
        <f>AVERAGE(AM187:AN187)</f>
        <v>3522</v>
      </c>
      <c r="AO254" s="443">
        <f>AVERAGE(AN187:AO187)</f>
        <v>3375.5</v>
      </c>
      <c r="AP254" s="443">
        <f>AVERAGE(AO187:AP187)</f>
        <v>3326</v>
      </c>
      <c r="AQ254" s="267">
        <f>AVERAGE(AQ187,AL187)</f>
        <v>3396</v>
      </c>
      <c r="AR254" s="443">
        <f>AVERAGE(AQ187:AR187)</f>
        <v>3323</v>
      </c>
      <c r="AS254" s="443">
        <f>AVERAGE(AR187:AS187)</f>
        <v>3362.5</v>
      </c>
      <c r="AT254" s="443">
        <f>AVERAGE(AS187:AT187)</f>
        <v>3402.5</v>
      </c>
      <c r="AU254" s="443">
        <f>AVERAGE(AT187:AU187)</f>
        <v>3304.5</v>
      </c>
      <c r="AV254" s="267">
        <f>AVERAGE(AV187,AQ187)</f>
        <v>3299.5</v>
      </c>
      <c r="AW254" s="443">
        <f>AVERAGE(AV187:AW187)</f>
        <v>3383.5</v>
      </c>
      <c r="AX254" s="443">
        <f>AVERAGE(AW187:AX187)</f>
        <v>3502</v>
      </c>
      <c r="AY254" s="443">
        <f>AVERAGE(AX187:AY187)</f>
        <v>3615</v>
      </c>
      <c r="AZ254" s="443">
        <f>AVERAGE(AY187:AZ187)</f>
        <v>3714.5</v>
      </c>
      <c r="BA254" s="267">
        <f>AVERAGE(BA187,AV187)</f>
        <v>3459</v>
      </c>
      <c r="BB254" s="443">
        <f>AVERAGE(BA187:BB187)</f>
        <v>3774</v>
      </c>
      <c r="BC254" s="443">
        <f>AVERAGE(BB187:BC187)</f>
        <v>3742</v>
      </c>
      <c r="BD254" s="443">
        <f>AVERAGE(BC187:BD187)</f>
        <v>3702.5</v>
      </c>
      <c r="BE254" s="443">
        <f>AVERAGE(BD187:BE187)</f>
        <v>3645</v>
      </c>
      <c r="BF254" s="267">
        <f>AVERAGE(BF187,BA187)</f>
        <v>3587.5</v>
      </c>
      <c r="BG254" s="443">
        <f>AVERAGE(BF187:BG187)</f>
        <v>3914</v>
      </c>
      <c r="BH254" s="443">
        <f>AVERAGE(BG187:BH187)</f>
        <v>4338</v>
      </c>
      <c r="BI254" s="443">
        <f>AVERAGE(BH187:BI187)</f>
        <v>4447.5</v>
      </c>
      <c r="BJ254" s="443">
        <f>AVERAGE(BI187:BJ187)</f>
        <v>4410.5</v>
      </c>
      <c r="BK254" s="267">
        <f>AVERAGE(BK187,BF187)</f>
        <v>3885</v>
      </c>
      <c r="BL254" s="443">
        <f>AVERAGE(BK187:BL187)</f>
        <v>4464</v>
      </c>
      <c r="BM254" s="443">
        <f>AVERAGE(BL187:BM187)</f>
        <v>4724</v>
      </c>
      <c r="BN254" s="443">
        <f>AVERAGE(BM187:BN187)</f>
        <v>4632.5</v>
      </c>
      <c r="BO254" s="443">
        <f>AVERAGE(BN187:BO187)</f>
        <v>3611</v>
      </c>
      <c r="BP254" s="267">
        <f>AVERAGE(BP187,BK187)</f>
        <v>3510.5</v>
      </c>
      <c r="BQ254" s="443">
        <f>AVERAGE(BP187:BQ187)</f>
        <v>3281</v>
      </c>
      <c r="BR254" s="443">
        <f>AVERAGE(BQ187:BR187)</f>
        <v>3763</v>
      </c>
      <c r="BS254" s="443">
        <f>AVERAGE(BR187:BS187)</f>
        <v>3691</v>
      </c>
      <c r="BT254" s="443">
        <f>AVERAGE(BS187:BT187)</f>
        <v>4066</v>
      </c>
      <c r="BU254" s="267">
        <f>AVERAGE(BU187,BP187)</f>
        <v>3606</v>
      </c>
      <c r="BV254" s="443">
        <f>AVERAGE(BU187:BV187)</f>
        <v>4402</v>
      </c>
      <c r="BW254" s="443">
        <f>AVERAGE(BV187:BW187)</f>
        <v>4043.5</v>
      </c>
      <c r="BX254" s="443">
        <f>AVERAGE(BW187:BX187)</f>
        <v>3786.5</v>
      </c>
      <c r="BY254" s="443">
        <f>AVERAGE(BX187:BY187)</f>
        <v>4247</v>
      </c>
      <c r="BZ254" s="267">
        <f>AVERAGE(BZ187,BU187)</f>
        <v>4565</v>
      </c>
      <c r="CA254" s="443">
        <f>AVERAGE(BZ187:CA187)</f>
        <v>4813.5</v>
      </c>
      <c r="CB254" s="443">
        <f>AVERAGE(CA187:CB187)</f>
        <v>5198.5</v>
      </c>
      <c r="CC254" s="443">
        <f>AVERAGE(CB187:CC187)</f>
        <v>4975</v>
      </c>
      <c r="CD254" s="443">
        <f>AVERAGE(CC187:CD187)</f>
        <v>4322</v>
      </c>
      <c r="CE254" s="267">
        <f>AVERAGE(CE187,BZ187)</f>
        <v>4399</v>
      </c>
      <c r="CF254" s="443">
        <f>AVERAGE(CE187:CF187)</f>
        <v>4440</v>
      </c>
      <c r="CG254" s="443">
        <f>AVERAGE(CF187:CG187)</f>
        <v>4765.5</v>
      </c>
      <c r="CH254" s="443">
        <f>AVERAGE(CG187:CH187)</f>
        <v>4654</v>
      </c>
      <c r="CI254" s="443">
        <f>AVERAGE(CH187:CI187)</f>
        <v>4476.5</v>
      </c>
      <c r="CJ254" s="267">
        <f>AVERAGE(CJ187,CE187)</f>
        <v>4279</v>
      </c>
      <c r="CK254" s="443">
        <f>AVERAGE(CJ187:CK187)</f>
        <v>4595.5</v>
      </c>
      <c r="CL254" s="443">
        <f>AVERAGE(CK187:CL187)</f>
        <v>5033</v>
      </c>
      <c r="CM254" s="443">
        <f>AVERAGE(CL187:CM187)</f>
        <v>4896.5</v>
      </c>
      <c r="CN254" s="443">
        <f>AVERAGE(CM187:CN187)</f>
        <v>4604</v>
      </c>
      <c r="CO254" s="267">
        <f>AVERAGE(CO187,CJ187)</f>
        <v>4572</v>
      </c>
      <c r="CP254" s="443">
        <f>AVERAGE(CO187:CP187)</f>
        <v>4839.5</v>
      </c>
      <c r="CQ254" s="443">
        <f>AVERAGE(CP187:CQ187)</f>
        <v>5350</v>
      </c>
      <c r="CR254" s="443">
        <f>AVERAGE(CQ187:CR187)</f>
        <v>5553.5</v>
      </c>
      <c r="CS254" s="443">
        <f>AVERAGE(CR187:CS187)</f>
        <v>5650</v>
      </c>
      <c r="CT254" s="267">
        <f>AVERAGE(CT187,CO187)</f>
        <v>5324</v>
      </c>
      <c r="CU254" s="443">
        <f>AVERAGE(CT187:CU187)</f>
        <v>5586.5</v>
      </c>
      <c r="CV254" s="443">
        <f>AVERAGE(CU187:CV187)</f>
        <v>5356.0951129761579</v>
      </c>
      <c r="CW254" s="443">
        <f>AVERAGE(CV187:CW187)</f>
        <v>5237.6056636107896</v>
      </c>
      <c r="CX254" s="443">
        <f>AVERAGE(CW187:CX187)</f>
        <v>5204.7103849822342</v>
      </c>
      <c r="CY254" s="267">
        <f>AVERAGE(CY187,CT187)</f>
        <v>5667.6998343476016</v>
      </c>
      <c r="CZ254" s="443">
        <f>AVERAGE(CY187:CZ187)</f>
        <v>5066.3404253552062</v>
      </c>
      <c r="DA254" s="443">
        <f>AVERAGE(CZ187:DA187)</f>
        <v>4885.4143473255554</v>
      </c>
      <c r="DB254" s="443">
        <f>AVERAGE(DA187:DB187)</f>
        <v>4863.7259081672</v>
      </c>
      <c r="DC254" s="443">
        <f>AVERAGE(DB187:DC187)</f>
        <v>4920.8725963861416</v>
      </c>
      <c r="DD254" s="267">
        <f>AVERAGE(DD187,CY187)</f>
        <v>5280.6202788844948</v>
      </c>
      <c r="DE254" s="443">
        <f>AVERAGE(DD187:DE187)</f>
        <v>4882.8170923555372</v>
      </c>
      <c r="DF254" s="443">
        <f>AVERAGE(DE187:DF187)</f>
        <v>4794.3199042724264</v>
      </c>
      <c r="DG254" s="443">
        <f>AVERAGE(DF187:DG187)</f>
        <v>4823.2076012379921</v>
      </c>
      <c r="DH254" s="443">
        <f>AVERAGE(DG187:DH187)</f>
        <v>4922.1453591104018</v>
      </c>
      <c r="DI254" s="267">
        <f>AVERAGE(DI187,DD187)</f>
        <v>5167.2814588630845</v>
      </c>
    </row>
    <row r="255" spans="1:113" ht="12" hidden="1" customHeight="1" outlineLevel="1">
      <c r="A255" s="219"/>
      <c r="B255" s="449" t="s">
        <v>59</v>
      </c>
      <c r="C255" s="412" t="s">
        <v>1</v>
      </c>
      <c r="D255" s="479">
        <f t="shared" ref="D255:AA255" si="642">D253/D254</f>
        <v>5.9262984870310973</v>
      </c>
      <c r="E255" s="480">
        <f t="shared" si="642"/>
        <v>5.572697625838658</v>
      </c>
      <c r="F255" s="479">
        <f t="shared" si="642"/>
        <v>5.4608181676777114</v>
      </c>
      <c r="G255" s="480">
        <f t="shared" si="642"/>
        <v>5.7896566150677433</v>
      </c>
      <c r="H255" s="479">
        <f t="shared" si="642"/>
        <v>5.9517029417299119</v>
      </c>
      <c r="I255" s="480">
        <f t="shared" si="642"/>
        <v>5.7710368966020127</v>
      </c>
      <c r="J255" s="479">
        <f t="shared" si="642"/>
        <v>5.4741313136482272</v>
      </c>
      <c r="K255" s="480">
        <f t="shared" si="642"/>
        <v>5.8053680145926618</v>
      </c>
      <c r="L255" s="479">
        <f t="shared" si="642"/>
        <v>6.2705428656185109</v>
      </c>
      <c r="M255" s="480">
        <f t="shared" si="642"/>
        <v>6.4211678832116785</v>
      </c>
      <c r="N255" s="479">
        <f t="shared" si="642"/>
        <v>6.6764405185457818</v>
      </c>
      <c r="O255" s="479">
        <f t="shared" si="642"/>
        <v>7.0423440453686199</v>
      </c>
      <c r="P255" s="480">
        <f t="shared" si="642"/>
        <v>6.7530990280321159</v>
      </c>
      <c r="Q255" s="479">
        <f t="shared" si="642"/>
        <v>6.8718263792262242</v>
      </c>
      <c r="R255" s="480">
        <f t="shared" si="642"/>
        <v>1.9022238559088402</v>
      </c>
      <c r="S255" s="480">
        <f t="shared" si="642"/>
        <v>1.7345513164965072</v>
      </c>
      <c r="T255" s="480">
        <f t="shared" si="642"/>
        <v>1.7583520858577115</v>
      </c>
      <c r="U255" s="480">
        <f t="shared" si="642"/>
        <v>1.8833904948554629</v>
      </c>
      <c r="V255" s="479">
        <f t="shared" si="642"/>
        <v>7.2087076710435385</v>
      </c>
      <c r="W255" s="480">
        <f t="shared" si="642"/>
        <v>1.8952781673679289</v>
      </c>
      <c r="X255" s="480">
        <f t="shared" si="642"/>
        <v>1.7959887182701348</v>
      </c>
      <c r="Y255" s="480">
        <f t="shared" si="642"/>
        <v>1.8271604938271604</v>
      </c>
      <c r="Z255" s="480">
        <f t="shared" si="642"/>
        <v>2.0130678282514003</v>
      </c>
      <c r="AA255" s="479">
        <f t="shared" si="642"/>
        <v>7.5188532253038334</v>
      </c>
      <c r="AB255" s="479"/>
      <c r="AC255" s="480">
        <f t="shared" ref="AC255:BH255" si="643">AC253/AC254</f>
        <v>1.9728782568947127</v>
      </c>
      <c r="AD255" s="480">
        <f t="shared" si="643"/>
        <v>1.7993654630608853</v>
      </c>
      <c r="AE255" s="480">
        <f t="shared" si="643"/>
        <v>1.9274143302180686</v>
      </c>
      <c r="AF255" s="480">
        <f t="shared" si="643"/>
        <v>2.10962356276579</v>
      </c>
      <c r="AG255" s="479">
        <f t="shared" si="643"/>
        <v>8.101456232997279</v>
      </c>
      <c r="AH255" s="480">
        <f t="shared" si="643"/>
        <v>2.204617330803289</v>
      </c>
      <c r="AI255" s="480">
        <f t="shared" si="643"/>
        <v>2.0049883086515976</v>
      </c>
      <c r="AJ255" s="480">
        <f t="shared" si="643"/>
        <v>2.1246381228096909</v>
      </c>
      <c r="AK255" s="480">
        <f t="shared" si="643"/>
        <v>2.1873619089703933</v>
      </c>
      <c r="AL255" s="479">
        <f t="shared" si="643"/>
        <v>8.4869485574721413</v>
      </c>
      <c r="AM255" s="480">
        <f t="shared" si="643"/>
        <v>2.2737501780373166</v>
      </c>
      <c r="AN255" s="480">
        <f t="shared" si="643"/>
        <v>2.0954003407155026</v>
      </c>
      <c r="AO255" s="480">
        <f t="shared" si="643"/>
        <v>2.2100429565990223</v>
      </c>
      <c r="AP255" s="480">
        <f t="shared" si="643"/>
        <v>2.3388454600120263</v>
      </c>
      <c r="AQ255" s="479">
        <f t="shared" si="643"/>
        <v>9.0108951707891638</v>
      </c>
      <c r="AR255" s="480">
        <f t="shared" si="643"/>
        <v>2.5320493529942825</v>
      </c>
      <c r="AS255" s="480">
        <f t="shared" si="643"/>
        <v>2.2857992565055762</v>
      </c>
      <c r="AT255" s="480">
        <f t="shared" si="643"/>
        <v>2.3606171932402646</v>
      </c>
      <c r="AU255" s="480">
        <f t="shared" si="643"/>
        <v>2.4947798456650023</v>
      </c>
      <c r="AV255" s="479">
        <f t="shared" si="643"/>
        <v>9.8123958175481132</v>
      </c>
      <c r="AW255" s="480">
        <f t="shared" si="643"/>
        <v>2.6779961578247375</v>
      </c>
      <c r="AX255" s="480">
        <f t="shared" si="643"/>
        <v>2.3358081096516274</v>
      </c>
      <c r="AY255" s="480">
        <f t="shared" si="643"/>
        <v>2.3325034578146613</v>
      </c>
      <c r="AZ255" s="480">
        <f t="shared" si="643"/>
        <v>2.3359806165028942</v>
      </c>
      <c r="BA255" s="479">
        <f t="shared" si="643"/>
        <v>9.9306157849089338</v>
      </c>
      <c r="BB255" s="480">
        <f t="shared" si="643"/>
        <v>2.4032856385797561</v>
      </c>
      <c r="BC255" s="480">
        <f t="shared" si="643"/>
        <v>2.2859433458043825</v>
      </c>
      <c r="BD255" s="480">
        <f t="shared" si="643"/>
        <v>2.426468602295746</v>
      </c>
      <c r="BE255" s="480">
        <f t="shared" si="643"/>
        <v>2.68559670781893</v>
      </c>
      <c r="BF255" s="479">
        <f t="shared" si="643"/>
        <v>10.145505226480836</v>
      </c>
      <c r="BG255" s="480">
        <f t="shared" si="643"/>
        <v>2.5416453755748596</v>
      </c>
      <c r="BH255" s="480">
        <f t="shared" si="643"/>
        <v>2.1609036422314429</v>
      </c>
      <c r="BI255" s="480">
        <f t="shared" ref="BI255:CN255" si="644">BI253/BI254</f>
        <v>2.1609893198426082</v>
      </c>
      <c r="BJ255" s="480">
        <f t="shared" si="644"/>
        <v>2.3090352567736083</v>
      </c>
      <c r="BK255" s="479">
        <f t="shared" si="644"/>
        <v>10.068725868725869</v>
      </c>
      <c r="BL255" s="480">
        <f t="shared" si="644"/>
        <v>2.3879928315412187</v>
      </c>
      <c r="BM255" s="480">
        <f t="shared" si="644"/>
        <v>2.1858594411515666</v>
      </c>
      <c r="BN255" s="480">
        <f t="shared" si="644"/>
        <v>2.1811117107393416</v>
      </c>
      <c r="BO255" s="480">
        <f t="shared" si="644"/>
        <v>1.7482691775131542</v>
      </c>
      <c r="BP255" s="479">
        <f t="shared" si="644"/>
        <v>10.654607605754165</v>
      </c>
      <c r="BQ255" s="480">
        <f t="shared" si="644"/>
        <v>3.2288936299908566</v>
      </c>
      <c r="BR255" s="480">
        <f t="shared" si="644"/>
        <v>2.9877757108689873</v>
      </c>
      <c r="BS255" s="480">
        <f t="shared" si="644"/>
        <v>2.8060146301815228</v>
      </c>
      <c r="BT255" s="480">
        <f t="shared" si="644"/>
        <v>3.0359075258239057</v>
      </c>
      <c r="BU255" s="479">
        <f t="shared" si="644"/>
        <v>12.351081530782031</v>
      </c>
      <c r="BV255" s="480">
        <f t="shared" si="644"/>
        <v>2.782371649250341</v>
      </c>
      <c r="BW255" s="480">
        <f t="shared" si="644"/>
        <v>2.808705329541239</v>
      </c>
      <c r="BX255" s="480">
        <f t="shared" si="644"/>
        <v>2.870989040010564</v>
      </c>
      <c r="BY255" s="480">
        <f t="shared" si="644"/>
        <v>2.8806216152578292</v>
      </c>
      <c r="BZ255" s="479">
        <f t="shared" si="644"/>
        <v>10.232201533406352</v>
      </c>
      <c r="CA255" s="480">
        <f t="shared" si="644"/>
        <v>2.6357120598317234</v>
      </c>
      <c r="CB255" s="480">
        <f t="shared" si="644"/>
        <v>2.5613157641627393</v>
      </c>
      <c r="CC255" s="480">
        <f t="shared" si="644"/>
        <v>2.4904522613065327</v>
      </c>
      <c r="CD255" s="480">
        <f t="shared" si="644"/>
        <v>2.9673762147154097</v>
      </c>
      <c r="CE255" s="479">
        <f t="shared" si="644"/>
        <v>11.642873380313707</v>
      </c>
      <c r="CF255" s="480">
        <f t="shared" si="644"/>
        <v>2.9141891891891891</v>
      </c>
      <c r="CG255" s="480">
        <f t="shared" si="644"/>
        <v>2.8093589340048264</v>
      </c>
      <c r="CH255" s="480">
        <f t="shared" si="644"/>
        <v>2.6706059303824667</v>
      </c>
      <c r="CI255" s="480">
        <f t="shared" si="644"/>
        <v>2.8160393164302469</v>
      </c>
      <c r="CJ255" s="479">
        <f t="shared" si="644"/>
        <v>12.003271792474877</v>
      </c>
      <c r="CK255" s="480">
        <f t="shared" si="644"/>
        <v>2.521814818844522</v>
      </c>
      <c r="CL255" s="480">
        <f t="shared" si="644"/>
        <v>2.4545996423604213</v>
      </c>
      <c r="CM255" s="480">
        <f t="shared" si="644"/>
        <v>2.3014398039415909</v>
      </c>
      <c r="CN255" s="480">
        <f t="shared" si="644"/>
        <v>2.4102953953084274</v>
      </c>
      <c r="CO255" s="479">
        <f t="shared" ref="CO255:DD255" si="645">CO253/CO254</f>
        <v>10.128827646544181</v>
      </c>
      <c r="CP255" s="480">
        <f t="shared" si="645"/>
        <v>2.4217377828288047</v>
      </c>
      <c r="CQ255" s="480">
        <f t="shared" si="645"/>
        <v>2.3228037383177571</v>
      </c>
      <c r="CR255" s="480">
        <f t="shared" si="645"/>
        <v>2.0309714594399928</v>
      </c>
      <c r="CS255" s="480">
        <f t="shared" si="645"/>
        <v>1.9419469026548672</v>
      </c>
      <c r="CT255" s="479">
        <f t="shared" si="645"/>
        <v>8.7148760330578519</v>
      </c>
      <c r="CU255" s="480">
        <f t="shared" si="645"/>
        <v>2.0071601181419494</v>
      </c>
      <c r="CV255" s="480">
        <f t="shared" si="645"/>
        <v>2.0309754981097594</v>
      </c>
      <c r="CW255" s="480">
        <f t="shared" si="645"/>
        <v>1.9676897941367897</v>
      </c>
      <c r="CX255" s="480">
        <f t="shared" si="645"/>
        <v>1.8985385620133266</v>
      </c>
      <c r="CY255" s="479">
        <f t="shared" si="645"/>
        <v>7.4595383940029318</v>
      </c>
      <c r="CZ255" s="480">
        <f t="shared" si="645"/>
        <v>2.0385982667708076</v>
      </c>
      <c r="DA255" s="480">
        <f t="shared" si="645"/>
        <v>2.1205999007579419</v>
      </c>
      <c r="DB255" s="480">
        <f t="shared" si="645"/>
        <v>2.0613100450140225</v>
      </c>
      <c r="DC255" s="480">
        <f t="shared" si="645"/>
        <v>1.956541614971024</v>
      </c>
      <c r="DD255" s="479">
        <f t="shared" si="645"/>
        <v>7.6395913637104016</v>
      </c>
      <c r="DE255" s="480">
        <f t="shared" ref="DE255:DI255" si="646">DE253/DE254</f>
        <v>2.1164123485147202</v>
      </c>
      <c r="DF255" s="480">
        <f t="shared" si="646"/>
        <v>2.1650020358166309</v>
      </c>
      <c r="DG255" s="480">
        <f t="shared" si="646"/>
        <v>2.0929419400869151</v>
      </c>
      <c r="DH255" s="480">
        <f t="shared" si="646"/>
        <v>1.9700095299681513</v>
      </c>
      <c r="DI255" s="479">
        <f t="shared" si="646"/>
        <v>7.8387705034227064</v>
      </c>
    </row>
    <row r="256" spans="1:113" ht="12" customHeight="1" collapsed="1">
      <c r="A256" s="219"/>
      <c r="B256" s="449" t="s">
        <v>60</v>
      </c>
      <c r="C256" s="412" t="s">
        <v>1</v>
      </c>
      <c r="D256" s="481">
        <f t="shared" ref="D256:AA256" si="647">D251/D255</f>
        <v>61.589877863687278</v>
      </c>
      <c r="E256" s="414">
        <f t="shared" si="647"/>
        <v>65.497901466539673</v>
      </c>
      <c r="F256" s="481">
        <f t="shared" si="647"/>
        <v>66.839801068714451</v>
      </c>
      <c r="G256" s="414">
        <f t="shared" si="647"/>
        <v>63.216184367044285</v>
      </c>
      <c r="H256" s="481">
        <f t="shared" si="647"/>
        <v>61.326985498693205</v>
      </c>
      <c r="I256" s="414">
        <f t="shared" si="647"/>
        <v>63.246866471242292</v>
      </c>
      <c r="J256" s="481">
        <f t="shared" si="647"/>
        <v>66.67724595681031</v>
      </c>
      <c r="K256" s="414">
        <f t="shared" si="647"/>
        <v>63.045098791326268</v>
      </c>
      <c r="L256" s="481">
        <f t="shared" si="647"/>
        <v>58.208676317532408</v>
      </c>
      <c r="M256" s="414">
        <f t="shared" si="647"/>
        <v>56.843242014323067</v>
      </c>
      <c r="N256" s="481">
        <f t="shared" si="647"/>
        <v>54.669849747946515</v>
      </c>
      <c r="O256" s="481">
        <f t="shared" si="647"/>
        <v>51.971331937510065</v>
      </c>
      <c r="P256" s="414">
        <f t="shared" si="647"/>
        <v>54.049259234150853</v>
      </c>
      <c r="Q256" s="481">
        <f t="shared" si="647"/>
        <v>53.115428105606391</v>
      </c>
      <c r="R256" s="414">
        <f t="shared" si="647"/>
        <v>48.364444444444445</v>
      </c>
      <c r="S256" s="414">
        <f t="shared" si="647"/>
        <v>52.463135068153655</v>
      </c>
      <c r="T256" s="414">
        <f t="shared" si="647"/>
        <v>51.184288245717667</v>
      </c>
      <c r="U256" s="414">
        <f t="shared" si="647"/>
        <v>48.848074921956297</v>
      </c>
      <c r="V256" s="481">
        <f t="shared" si="647"/>
        <v>50.633208704822167</v>
      </c>
      <c r="W256" s="414">
        <f t="shared" si="647"/>
        <v>48.5416872224963</v>
      </c>
      <c r="X256" s="414">
        <f t="shared" si="647"/>
        <v>50.668469726051299</v>
      </c>
      <c r="Y256" s="414">
        <f t="shared" si="647"/>
        <v>49.804054054054056</v>
      </c>
      <c r="Z256" s="414">
        <f t="shared" si="647"/>
        <v>45.701391035548681</v>
      </c>
      <c r="AA256" s="481">
        <f t="shared" si="647"/>
        <v>48.67763594164456</v>
      </c>
      <c r="AB256" s="481"/>
      <c r="AC256" s="414">
        <f t="shared" ref="AC256:BH256" si="648">AC251/AC255</f>
        <v>46.632375656472043</v>
      </c>
      <c r="AD256" s="414">
        <f t="shared" si="648"/>
        <v>50.573383711167089</v>
      </c>
      <c r="AE256" s="414">
        <f t="shared" si="648"/>
        <v>46.694682398577662</v>
      </c>
      <c r="AF256" s="414">
        <f t="shared" si="648"/>
        <v>43.609675974316858</v>
      </c>
      <c r="AG256" s="481">
        <f t="shared" si="648"/>
        <v>45.05362857029985</v>
      </c>
      <c r="AH256" s="414">
        <f t="shared" si="648"/>
        <v>41.730598192511835</v>
      </c>
      <c r="AI256" s="414">
        <f t="shared" si="648"/>
        <v>45.386798320634433</v>
      </c>
      <c r="AJ256" s="414">
        <f t="shared" si="648"/>
        <v>42.360154905335627</v>
      </c>
      <c r="AK256" s="414">
        <f t="shared" si="648"/>
        <v>42.059797979797978</v>
      </c>
      <c r="AL256" s="481">
        <f t="shared" si="648"/>
        <v>43.007212489657903</v>
      </c>
      <c r="AM256" s="414">
        <f t="shared" si="648"/>
        <v>40.461789025306942</v>
      </c>
      <c r="AN256" s="414">
        <f t="shared" si="648"/>
        <v>43.428455284552847</v>
      </c>
      <c r="AO256" s="414">
        <f t="shared" si="648"/>
        <v>40.72319034852547</v>
      </c>
      <c r="AP256" s="414">
        <f t="shared" si="648"/>
        <v>39.33564725543129</v>
      </c>
      <c r="AQ256" s="481">
        <f t="shared" si="648"/>
        <v>40.50651939479102</v>
      </c>
      <c r="AR256" s="414">
        <f t="shared" si="648"/>
        <v>36.334204896600902</v>
      </c>
      <c r="AS256" s="414">
        <f t="shared" si="648"/>
        <v>39.811020036429873</v>
      </c>
      <c r="AT256" s="414">
        <f t="shared" si="648"/>
        <v>38.549240537848604</v>
      </c>
      <c r="AU256" s="414">
        <f t="shared" si="648"/>
        <v>36.877001455604073</v>
      </c>
      <c r="AV256" s="481">
        <f t="shared" si="648"/>
        <v>37.299759080800591</v>
      </c>
      <c r="AW256" s="414">
        <f t="shared" si="648"/>
        <v>34.3540448074164</v>
      </c>
      <c r="AX256" s="414">
        <f t="shared" si="648"/>
        <v>38.958679706601473</v>
      </c>
      <c r="AY256" s="414">
        <f t="shared" si="648"/>
        <v>38.585151802656547</v>
      </c>
      <c r="AZ256" s="414">
        <f t="shared" si="648"/>
        <v>39.383888440705313</v>
      </c>
      <c r="BA256" s="481">
        <f t="shared" si="648"/>
        <v>36.755021834061132</v>
      </c>
      <c r="BB256" s="414">
        <f t="shared" si="648"/>
        <v>38.280926130099232</v>
      </c>
      <c r="BC256" s="414">
        <f t="shared" si="648"/>
        <v>39.808510638297875</v>
      </c>
      <c r="BD256" s="414">
        <f t="shared" si="648"/>
        <v>37.090939447907395</v>
      </c>
      <c r="BE256" s="414">
        <f t="shared" si="648"/>
        <v>34.256818878332822</v>
      </c>
      <c r="BF256" s="481">
        <f t="shared" si="648"/>
        <v>35.976522790339864</v>
      </c>
      <c r="BG256" s="414">
        <f t="shared" si="648"/>
        <v>36.197024527543221</v>
      </c>
      <c r="BH256" s="414">
        <f t="shared" si="648"/>
        <v>42.112011947941113</v>
      </c>
      <c r="BI256" s="414">
        <f t="shared" ref="BI256:CN256" si="649">BI251/BI255</f>
        <v>41.647591301633547</v>
      </c>
      <c r="BJ256" s="414">
        <f t="shared" si="649"/>
        <v>39.843479968578166</v>
      </c>
      <c r="BK256" s="481">
        <f t="shared" si="649"/>
        <v>36.250862796226706</v>
      </c>
      <c r="BL256" s="414">
        <f t="shared" si="649"/>
        <v>38.526078799249532</v>
      </c>
      <c r="BM256" s="414">
        <f t="shared" si="649"/>
        <v>41.631222157660275</v>
      </c>
      <c r="BN256" s="414">
        <f t="shared" si="649"/>
        <v>41.721842834520984</v>
      </c>
      <c r="BO256" s="414">
        <f t="shared" si="649"/>
        <v>52.623475368287657</v>
      </c>
      <c r="BP256" s="481">
        <f t="shared" si="649"/>
        <v>34.351335454375317</v>
      </c>
      <c r="BQ256" s="414">
        <f t="shared" si="649"/>
        <v>28.492731734944307</v>
      </c>
      <c r="BR256" s="414">
        <f t="shared" si="649"/>
        <v>30.457440185004003</v>
      </c>
      <c r="BS256" s="414">
        <f t="shared" si="649"/>
        <v>32.073959640822629</v>
      </c>
      <c r="BT256" s="414">
        <f t="shared" si="649"/>
        <v>30.303953337653919</v>
      </c>
      <c r="BU256" s="481">
        <f t="shared" si="649"/>
        <v>29.552067897076654</v>
      </c>
      <c r="BV256" s="414">
        <f t="shared" si="649"/>
        <v>33.065316786414108</v>
      </c>
      <c r="BW256" s="414">
        <f t="shared" si="649"/>
        <v>32.399269173197148</v>
      </c>
      <c r="BX256" s="414">
        <f t="shared" si="649"/>
        <v>31.34808205316898</v>
      </c>
      <c r="BY256" s="414">
        <f t="shared" si="649"/>
        <v>31.937551087134214</v>
      </c>
      <c r="BZ256" s="481">
        <f t="shared" si="649"/>
        <v>35.671697709269964</v>
      </c>
      <c r="CA256" s="414">
        <f t="shared" si="649"/>
        <v>34.90517852920312</v>
      </c>
      <c r="CB256" s="414">
        <f t="shared" si="649"/>
        <v>35.528614344723998</v>
      </c>
      <c r="CC256" s="414">
        <f t="shared" si="649"/>
        <v>36.138014527845037</v>
      </c>
      <c r="CD256" s="414">
        <f t="shared" si="649"/>
        <v>31.003820662768028</v>
      </c>
      <c r="CE256" s="481">
        <f t="shared" si="649"/>
        <v>31.34964953042935</v>
      </c>
      <c r="CF256" s="414">
        <f t="shared" si="649"/>
        <v>31.569673081381868</v>
      </c>
      <c r="CG256" s="414">
        <f t="shared" si="649"/>
        <v>32.391731401254852</v>
      </c>
      <c r="CH256" s="414">
        <f t="shared" si="649"/>
        <v>33.700217233888488</v>
      </c>
      <c r="CI256" s="414">
        <f t="shared" si="649"/>
        <v>33.025107091861017</v>
      </c>
      <c r="CJ256" s="481">
        <f t="shared" si="649"/>
        <v>30.491686460807603</v>
      </c>
      <c r="CK256" s="414">
        <f t="shared" si="649"/>
        <v>36.481663646561394</v>
      </c>
      <c r="CL256" s="414">
        <f t="shared" si="649"/>
        <v>37.073255625708271</v>
      </c>
      <c r="CM256" s="414">
        <f t="shared" si="649"/>
        <v>39.105954388144468</v>
      </c>
      <c r="CN256" s="414">
        <f t="shared" si="649"/>
        <v>38.169595386140401</v>
      </c>
      <c r="CO256" s="481">
        <f t="shared" ref="CO256:DD256" si="650">CO251/CO255</f>
        <v>36.035759787514309</v>
      </c>
      <c r="CP256" s="414">
        <f t="shared" si="650"/>
        <v>37.989249146757679</v>
      </c>
      <c r="CQ256" s="414">
        <f t="shared" si="650"/>
        <v>39.176792468013197</v>
      </c>
      <c r="CR256" s="414">
        <f t="shared" si="650"/>
        <v>44.313768951148148</v>
      </c>
      <c r="CS256" s="414">
        <f t="shared" si="650"/>
        <v>47.375136711629601</v>
      </c>
      <c r="CT256" s="481">
        <f t="shared" si="650"/>
        <v>41.882408724513986</v>
      </c>
      <c r="CU256" s="414">
        <f t="shared" si="650"/>
        <v>45.835904753411221</v>
      </c>
      <c r="CV256" s="414">
        <f t="shared" si="650"/>
        <v>44.806055063044447</v>
      </c>
      <c r="CW256" s="414">
        <f t="shared" si="650"/>
        <v>45.738916910672046</v>
      </c>
      <c r="CX256" s="414">
        <f t="shared" si="650"/>
        <v>48.458325704186677</v>
      </c>
      <c r="CY256" s="481">
        <f t="shared" si="650"/>
        <v>48.930641645794111</v>
      </c>
      <c r="CZ256" s="414">
        <f t="shared" si="650"/>
        <v>45.129048473944984</v>
      </c>
      <c r="DA256" s="414">
        <f t="shared" si="650"/>
        <v>42.912385296007464</v>
      </c>
      <c r="DB256" s="414">
        <f t="shared" si="650"/>
        <v>43.66155407707614</v>
      </c>
      <c r="DC256" s="414">
        <f t="shared" si="650"/>
        <v>47.532850458372344</v>
      </c>
      <c r="DD256" s="481">
        <f t="shared" si="650"/>
        <v>47.908321607170478</v>
      </c>
      <c r="DE256" s="414">
        <f t="shared" ref="DE256:DI256" si="651">DE251/DE255</f>
        <v>42.997292122143875</v>
      </c>
      <c r="DF256" s="414">
        <f t="shared" si="651"/>
        <v>42.032293039241935</v>
      </c>
      <c r="DG256" s="414">
        <f t="shared" si="651"/>
        <v>43.479466991913291</v>
      </c>
      <c r="DH256" s="414">
        <f t="shared" si="651"/>
        <v>46.192669941790172</v>
      </c>
      <c r="DI256" s="481">
        <f t="shared" si="651"/>
        <v>0</v>
      </c>
    </row>
    <row r="257" spans="1:127" ht="12" hidden="1" customHeight="1" outlineLevel="1">
      <c r="A257" s="219"/>
      <c r="B257" s="449"/>
      <c r="C257" s="9"/>
      <c r="D257" s="476"/>
      <c r="E257" s="477"/>
      <c r="F257" s="476"/>
      <c r="G257" s="477"/>
      <c r="H257" s="476"/>
      <c r="I257" s="477"/>
      <c r="J257" s="476"/>
      <c r="K257" s="477"/>
      <c r="L257" s="476"/>
      <c r="M257" s="477"/>
      <c r="N257" s="476"/>
      <c r="O257" s="476"/>
      <c r="P257" s="477"/>
      <c r="Q257" s="476"/>
      <c r="R257" s="477"/>
      <c r="S257" s="477"/>
      <c r="T257" s="477"/>
      <c r="U257" s="477"/>
      <c r="V257" s="476"/>
      <c r="W257" s="477"/>
      <c r="X257" s="477"/>
      <c r="Y257" s="477"/>
      <c r="Z257" s="477"/>
      <c r="AA257" s="476"/>
      <c r="AB257" s="476"/>
      <c r="AC257" s="477"/>
      <c r="AD257" s="477"/>
      <c r="AE257" s="477"/>
      <c r="AF257" s="477"/>
      <c r="AG257" s="476"/>
      <c r="AH257" s="477"/>
      <c r="AI257" s="477"/>
      <c r="AJ257" s="477"/>
      <c r="AK257" s="477"/>
      <c r="AL257" s="476"/>
      <c r="AM257" s="477"/>
      <c r="AN257" s="477"/>
      <c r="AO257" s="477"/>
      <c r="AP257" s="477"/>
      <c r="AQ257" s="476"/>
      <c r="AR257" s="477"/>
      <c r="AS257" s="477"/>
      <c r="AT257" s="477"/>
      <c r="AU257" s="477"/>
      <c r="AV257" s="476"/>
      <c r="AW257" s="477"/>
      <c r="AX257" s="477"/>
      <c r="AY257" s="477"/>
      <c r="AZ257" s="477"/>
      <c r="BA257" s="476"/>
      <c r="BB257" s="477"/>
      <c r="BC257" s="477"/>
      <c r="BD257" s="477"/>
      <c r="BE257" s="477"/>
      <c r="BF257" s="476"/>
      <c r="BG257" s="477"/>
      <c r="BH257" s="477"/>
      <c r="BI257" s="477"/>
      <c r="BJ257" s="477"/>
      <c r="BK257" s="476"/>
      <c r="BL257" s="477"/>
      <c r="BM257" s="477"/>
      <c r="BN257" s="477"/>
      <c r="BO257" s="477"/>
      <c r="BP257" s="476"/>
      <c r="BQ257" s="477"/>
      <c r="BR257" s="477"/>
      <c r="BS257" s="477"/>
      <c r="BT257" s="477"/>
      <c r="BU257" s="476"/>
      <c r="BV257" s="477"/>
      <c r="BW257" s="477"/>
      <c r="BX257" s="477"/>
      <c r="BY257" s="477"/>
      <c r="BZ257" s="476"/>
      <c r="CA257" s="477"/>
      <c r="CB257" s="477"/>
      <c r="CC257" s="477"/>
      <c r="CD257" s="477"/>
      <c r="CE257" s="476"/>
      <c r="CF257" s="477"/>
      <c r="CG257" s="477"/>
      <c r="CH257" s="477"/>
      <c r="CI257" s="477"/>
      <c r="CJ257" s="476"/>
      <c r="CK257" s="477"/>
      <c r="CL257" s="477"/>
      <c r="CM257" s="477"/>
      <c r="CN257" s="477"/>
      <c r="CO257" s="476"/>
      <c r="CP257" s="477"/>
      <c r="CQ257" s="477"/>
      <c r="CR257" s="477"/>
      <c r="CS257" s="477"/>
      <c r="CT257" s="476"/>
      <c r="CU257" s="477"/>
      <c r="CV257" s="477"/>
      <c r="CW257" s="477"/>
      <c r="CX257" s="477"/>
      <c r="CY257" s="476"/>
      <c r="CZ257" s="477"/>
      <c r="DA257" s="477"/>
      <c r="DB257" s="477"/>
      <c r="DC257" s="477"/>
      <c r="DD257" s="476"/>
      <c r="DE257" s="477"/>
      <c r="DF257" s="477"/>
      <c r="DG257" s="477"/>
      <c r="DH257" s="477"/>
      <c r="DI257" s="476"/>
    </row>
    <row r="258" spans="1:127" s="7" customFormat="1" ht="12" hidden="1" customHeight="1" outlineLevel="1">
      <c r="A258" s="239"/>
      <c r="B258" s="450" t="s">
        <v>61</v>
      </c>
      <c r="C258" s="39" t="s">
        <v>1</v>
      </c>
      <c r="D258" s="267">
        <f>'2. Consolidated'!D59</f>
        <v>-5502.9930000000004</v>
      </c>
      <c r="E258" s="443">
        <f>'2. Consolidated'!E59</f>
        <v>-6065.4</v>
      </c>
      <c r="F258" s="267">
        <f>'2. Consolidated'!F59</f>
        <v>-5493.5</v>
      </c>
      <c r="G258" s="443">
        <f>'2. Consolidated'!G59</f>
        <v>-5403.8</v>
      </c>
      <c r="H258" s="267">
        <f>'2. Consolidated'!H59</f>
        <v>-5784.9</v>
      </c>
      <c r="I258" s="443">
        <f>'2. Consolidated'!I59</f>
        <v>-6004.7</v>
      </c>
      <c r="J258" s="267">
        <f>'2. Consolidated'!J59</f>
        <v>-6313.6</v>
      </c>
      <c r="K258" s="443">
        <f>'2. Consolidated'!K59</f>
        <v>-7001.4</v>
      </c>
      <c r="L258" s="267">
        <f>'2. Consolidated'!L59</f>
        <v>-7624.3</v>
      </c>
      <c r="M258" s="443">
        <f>'2. Consolidated'!M59</f>
        <v>-8367.9</v>
      </c>
      <c r="N258" s="267">
        <f>'2. Consolidated'!N59</f>
        <v>-9165.4</v>
      </c>
      <c r="O258" s="267">
        <f>'2. Consolidated'!O59</f>
        <v>-10239.6</v>
      </c>
      <c r="P258" s="443">
        <f>'2. Consolidated'!P59</f>
        <v>-10571.7</v>
      </c>
      <c r="Q258" s="267">
        <f>'2. Consolidated'!Q59</f>
        <v>-10213.599999999999</v>
      </c>
      <c r="R258" s="443">
        <f>'2. Consolidated'!R59</f>
        <v>-2741</v>
      </c>
      <c r="S258" s="443">
        <f>'2. Consolidated'!S59</f>
        <v>-2649</v>
      </c>
      <c r="T258" s="443">
        <f>'2. Consolidated'!T59</f>
        <v>-2752</v>
      </c>
      <c r="U258" s="443">
        <f>'2. Consolidated'!U59</f>
        <v>-3212</v>
      </c>
      <c r="V258" s="267">
        <f>'2. Consolidated'!V59</f>
        <v>-11354</v>
      </c>
      <c r="W258" s="443">
        <f>'2. Consolidated'!W59</f>
        <v>-3388</v>
      </c>
      <c r="X258" s="443">
        <f>'2. Consolidated'!X59</f>
        <v>-3281</v>
      </c>
      <c r="Y258" s="443">
        <f>'2. Consolidated'!Y59</f>
        <v>-3285</v>
      </c>
      <c r="Z258" s="443">
        <f>'2. Consolidated'!Z59</f>
        <v>-3703</v>
      </c>
      <c r="AA258" s="267">
        <f>'2. Consolidated'!AA59</f>
        <v>-13657</v>
      </c>
      <c r="AB258" s="267"/>
      <c r="AC258" s="443">
        <f>'2. Consolidated'!AC59</f>
        <v>-3646</v>
      </c>
      <c r="AD258" s="443">
        <f>'2. Consolidated'!AD59</f>
        <v>-3425</v>
      </c>
      <c r="AE258" s="443">
        <f>'2. Consolidated'!AE59</f>
        <v>-3451</v>
      </c>
      <c r="AF258" s="443">
        <f>'2. Consolidated'!AF59</f>
        <v>-3757</v>
      </c>
      <c r="AG258" s="267">
        <f>'2. Consolidated'!AG59</f>
        <v>-14279</v>
      </c>
      <c r="AH258" s="443">
        <f>'2. Consolidated'!AH59</f>
        <v>-3839</v>
      </c>
      <c r="AI258" s="443">
        <f>'2. Consolidated'!AI59</f>
        <v>-3605</v>
      </c>
      <c r="AJ258" s="443">
        <f>'2. Consolidated'!AJ59</f>
        <v>-3869</v>
      </c>
      <c r="AK258" s="443">
        <f>'2. Consolidated'!AK59</f>
        <v>-4040</v>
      </c>
      <c r="AL258" s="267">
        <f>'2. Consolidated'!AL59</f>
        <v>-15353</v>
      </c>
      <c r="AM258" s="443">
        <f>'2. Consolidated'!AM59</f>
        <v>-4261</v>
      </c>
      <c r="AN258" s="443">
        <f>'2. Consolidated'!AN59</f>
        <v>-4053</v>
      </c>
      <c r="AO258" s="443">
        <f>'2. Consolidated'!AO59</f>
        <v>-4034</v>
      </c>
      <c r="AP258" s="443">
        <f>'2. Consolidated'!AP59</f>
        <v>-4186</v>
      </c>
      <c r="AQ258" s="267">
        <f>'2. Consolidated'!AQ59</f>
        <v>-16534</v>
      </c>
      <c r="AR258" s="443">
        <f>'2. Consolidated'!AR59</f>
        <v>-4419</v>
      </c>
      <c r="AS258" s="443">
        <f>'2. Consolidated'!AS59</f>
        <v>-4185</v>
      </c>
      <c r="AT258" s="443">
        <f>'2. Consolidated'!AT59</f>
        <v>-4343</v>
      </c>
      <c r="AU258" s="443">
        <f>'2. Consolidated'!AU59</f>
        <v>-4458</v>
      </c>
      <c r="AV258" s="267">
        <f>'2. Consolidated'!AV59</f>
        <v>-17405</v>
      </c>
      <c r="AW258" s="443">
        <f>'2. Consolidated'!AW59</f>
        <v>-4938</v>
      </c>
      <c r="AX258" s="443">
        <f>'2. Consolidated'!AX59</f>
        <v>-4564</v>
      </c>
      <c r="AY258" s="443">
        <f>'2. Consolidated'!AY59</f>
        <v>-4682</v>
      </c>
      <c r="AZ258" s="443">
        <f>'2. Consolidated'!AZ59</f>
        <v>-4854</v>
      </c>
      <c r="BA258" s="267">
        <f>'2. Consolidated'!BA59</f>
        <v>-19038</v>
      </c>
      <c r="BB258" s="443">
        <f>'2. Consolidated'!BB59</f>
        <v>-5108</v>
      </c>
      <c r="BC258" s="443">
        <f>'2. Consolidated'!BC59</f>
        <v>-4876</v>
      </c>
      <c r="BD258" s="443">
        <f>'2. Consolidated'!BD59</f>
        <v>-5046</v>
      </c>
      <c r="BE258" s="443">
        <f>'2. Consolidated'!BE59</f>
        <v>-5411</v>
      </c>
      <c r="BF258" s="267">
        <f>'2. Consolidated'!BF59</f>
        <v>-20441</v>
      </c>
      <c r="BG258" s="443">
        <f>'2. Consolidated'!BG59</f>
        <v>-5551</v>
      </c>
      <c r="BH258" s="443">
        <f>'2. Consolidated'!BH59</f>
        <v>-5269</v>
      </c>
      <c r="BI258" s="443">
        <f>'2. Consolidated'!BI59</f>
        <v>-5272</v>
      </c>
      <c r="BJ258" s="443">
        <f>'2. Consolidated'!BJ59</f>
        <v>-5551</v>
      </c>
      <c r="BK258" s="267">
        <f>'2. Consolidated'!BK59</f>
        <v>-21643</v>
      </c>
      <c r="BL258" s="443">
        <f>'2. Consolidated'!BL59</f>
        <v>-5789</v>
      </c>
      <c r="BM258" s="443">
        <f>'2. Consolidated'!BM59</f>
        <v>-5782</v>
      </c>
      <c r="BN258" s="443">
        <f>'2. Consolidated'!BN59</f>
        <v>-5631</v>
      </c>
      <c r="BO258" s="443">
        <f>'2. Consolidated'!BO59</f>
        <v>-3960</v>
      </c>
      <c r="BP258" s="267">
        <f>'2. Consolidated'!BP59</f>
        <v>-21162</v>
      </c>
      <c r="BQ258" s="443">
        <f>'2. Consolidated'!BQ59</f>
        <v>-5853</v>
      </c>
      <c r="BR258" s="443">
        <f>'2. Consolidated'!BR59</f>
        <v>-6396</v>
      </c>
      <c r="BS258" s="443">
        <f>'2. Consolidated'!BS59</f>
        <v>-5638</v>
      </c>
      <c r="BT258" s="443">
        <f>'2. Consolidated'!BT59</f>
        <v>-6689</v>
      </c>
      <c r="BU258" s="267">
        <f>'2. Consolidated'!BU59</f>
        <v>-24576</v>
      </c>
      <c r="BV258" s="443">
        <f>'2. Consolidated'!BV59</f>
        <v>-6552</v>
      </c>
      <c r="BW258" s="443">
        <f>'2. Consolidated'!BW59</f>
        <v>-6144</v>
      </c>
      <c r="BX258" s="443">
        <f>'2. Consolidated'!BX59</f>
        <v>-5804</v>
      </c>
      <c r="BY258" s="443">
        <f>'2. Consolidated'!BY59</f>
        <v>-6731</v>
      </c>
      <c r="BZ258" s="267">
        <f>'2. Consolidated'!BZ59</f>
        <v>-25231</v>
      </c>
      <c r="CA258" s="443">
        <f>'2. Consolidated'!CA59</f>
        <v>-7072</v>
      </c>
      <c r="CB258" s="443">
        <f>'2. Consolidated'!CB59</f>
        <v>-7604</v>
      </c>
      <c r="CC258" s="443">
        <f>'2. Consolidated'!CC59</f>
        <v>-7019</v>
      </c>
      <c r="CD258" s="443">
        <f>'2. Consolidated'!CD59</f>
        <v>-7230</v>
      </c>
      <c r="CE258" s="267">
        <f>'2. Consolidated'!CE59</f>
        <v>-28925</v>
      </c>
      <c r="CF258" s="443">
        <f>'2. Consolidated'!CF59</f>
        <v>-7219</v>
      </c>
      <c r="CG258" s="443">
        <f>'2. Consolidated'!CG59</f>
        <v>-7417</v>
      </c>
      <c r="CH258" s="443">
        <f>'2. Consolidated'!CH59</f>
        <v>-6804</v>
      </c>
      <c r="CI258" s="443">
        <f>'2. Consolidated'!CI59</f>
        <v>-6971</v>
      </c>
      <c r="CJ258" s="267">
        <f>'2. Consolidated'!CJ59</f>
        <v>-28411</v>
      </c>
      <c r="CK258" s="443">
        <f>'2. Consolidated'!CK59</f>
        <v>-6332</v>
      </c>
      <c r="CL258" s="443">
        <f>'2. Consolidated'!CL59</f>
        <v>-6965</v>
      </c>
      <c r="CM258" s="443">
        <f>'2. Consolidated'!CM59</f>
        <v>-6594</v>
      </c>
      <c r="CN258" s="443">
        <f>'2. Consolidated'!CN59</f>
        <v>-6628</v>
      </c>
      <c r="CO258" s="267">
        <f>'2. Consolidated'!CO59</f>
        <v>-26519</v>
      </c>
      <c r="CP258" s="443">
        <f>'2. Consolidated'!CP59</f>
        <v>-6777</v>
      </c>
      <c r="CQ258" s="443">
        <f>'2. Consolidated'!CQ59</f>
        <v>-7382</v>
      </c>
      <c r="CR258" s="443">
        <f>'2. Consolidated'!CR59</f>
        <v>-6749</v>
      </c>
      <c r="CS258" s="443">
        <f>'2. Consolidated'!CS59</f>
        <v>-5579</v>
      </c>
      <c r="CT258" s="267">
        <f>'2. Consolidated'!CT59</f>
        <v>-26487</v>
      </c>
      <c r="CU258" s="443">
        <f>'2. Consolidated'!CU59</f>
        <v>-6415</v>
      </c>
      <c r="CV258" s="443">
        <f>'2. Consolidated'!CV59</f>
        <v>-6445.5899097472793</v>
      </c>
      <c r="CW258" s="443">
        <f>'2. Consolidated'!CW59</f>
        <v>-6218.3071732793633</v>
      </c>
      <c r="CX258" s="443">
        <f>'2. Consolidated'!CX59</f>
        <v>-5913.7480506960983</v>
      </c>
      <c r="CY258" s="267">
        <f>'2. Consolidated'!CY59</f>
        <v>-24992.645133722741</v>
      </c>
      <c r="CZ258" s="443">
        <f>'2. Consolidated'!CZ59</f>
        <v>-5960.4624853868409</v>
      </c>
      <c r="DA258" s="443">
        <f>'2. Consolidated'!DA59</f>
        <v>-6164.5072504690825</v>
      </c>
      <c r="DB258" s="443">
        <f>'2. Consolidated'!DB59</f>
        <v>-6049.1611354469742</v>
      </c>
      <c r="DC258" s="443">
        <f>'2. Consolidated'!DC59</f>
        <v>-5762.0634679617979</v>
      </c>
      <c r="DD258" s="267">
        <f>'2. Consolidated'!DD59</f>
        <v>-23936.194339264697</v>
      </c>
      <c r="DE258" s="443">
        <f>'2. Consolidated'!DE59</f>
        <v>-5927.6529508941621</v>
      </c>
      <c r="DF258" s="443">
        <f>'2. Consolidated'!DF59</f>
        <v>-6139.9022191275726</v>
      </c>
      <c r="DG258" s="443">
        <f>'2. Consolidated'!DG59</f>
        <v>-6055.4901436400942</v>
      </c>
      <c r="DH258" s="443">
        <f>'2. Consolidated'!DH59</f>
        <v>-5769.2890463569183</v>
      </c>
      <c r="DI258" s="267">
        <f>'2. Consolidated'!DI59</f>
        <v>-23892.334360018751</v>
      </c>
    </row>
    <row r="259" spans="1:127" s="7" customFormat="1" ht="12" hidden="1" customHeight="1" outlineLevel="1">
      <c r="A259" s="239"/>
      <c r="B259" s="450" t="s">
        <v>62</v>
      </c>
      <c r="C259" s="39" t="s">
        <v>1</v>
      </c>
      <c r="D259" s="267">
        <f t="shared" ref="D259:U259" si="652">AVERAGE(C188:D188)</f>
        <v>1134.8955000000001</v>
      </c>
      <c r="E259" s="443">
        <f t="shared" si="652"/>
        <v>1367.62</v>
      </c>
      <c r="F259" s="267">
        <f t="shared" si="652"/>
        <v>1297.9499999999998</v>
      </c>
      <c r="G259" s="443">
        <f t="shared" si="652"/>
        <v>1322.65</v>
      </c>
      <c r="H259" s="267">
        <f t="shared" si="652"/>
        <v>1435.05</v>
      </c>
      <c r="I259" s="443">
        <f t="shared" si="652"/>
        <v>1398.9499999999998</v>
      </c>
      <c r="J259" s="267">
        <f t="shared" si="652"/>
        <v>1444.35</v>
      </c>
      <c r="K259" s="443">
        <f t="shared" si="652"/>
        <v>1574.25</v>
      </c>
      <c r="L259" s="267">
        <f t="shared" si="652"/>
        <v>1722.35</v>
      </c>
      <c r="M259" s="443">
        <f t="shared" si="652"/>
        <v>1943.8999999999999</v>
      </c>
      <c r="N259" s="267">
        <f t="shared" si="652"/>
        <v>2099.3000000000002</v>
      </c>
      <c r="O259" s="267">
        <f t="shared" si="652"/>
        <v>2280.15</v>
      </c>
      <c r="P259" s="443">
        <f t="shared" si="652"/>
        <v>2397.6999999999998</v>
      </c>
      <c r="Q259" s="267">
        <f t="shared" si="652"/>
        <v>2199</v>
      </c>
      <c r="R259" s="443">
        <f t="shared" si="652"/>
        <v>2125.5</v>
      </c>
      <c r="S259" s="443">
        <f t="shared" si="652"/>
        <v>2279</v>
      </c>
      <c r="T259" s="443">
        <f t="shared" si="652"/>
        <v>2442</v>
      </c>
      <c r="U259" s="443">
        <f t="shared" si="652"/>
        <v>2625.5</v>
      </c>
      <c r="V259" s="267">
        <f>AVERAGE(V188,Q188)</f>
        <v>2378</v>
      </c>
      <c r="W259" s="443">
        <f>AVERAGE(V188:W188)</f>
        <v>2911</v>
      </c>
      <c r="X259" s="443">
        <f>AVERAGE(W188:X188)</f>
        <v>3135.5</v>
      </c>
      <c r="Y259" s="443">
        <f>AVERAGE(X188:Y188)</f>
        <v>3260</v>
      </c>
      <c r="Z259" s="443">
        <f>AVERAGE(Y188:Z188)</f>
        <v>3289</v>
      </c>
      <c r="AA259" s="267">
        <f>AVERAGE(AA188,V188)</f>
        <v>3032.5</v>
      </c>
      <c r="AB259" s="267"/>
      <c r="AC259" s="443">
        <f>AVERAGE(AB188:AC188)</f>
        <v>3316.5</v>
      </c>
      <c r="AD259" s="443">
        <f>AVERAGE(AC188:AD188)</f>
        <v>3364.5</v>
      </c>
      <c r="AE259" s="443">
        <f>AVERAGE(AD188:AE188)</f>
        <v>3323.5</v>
      </c>
      <c r="AF259" s="443">
        <f>AVERAGE(AE188:AF188)</f>
        <v>3381.5</v>
      </c>
      <c r="AG259" s="267">
        <f>AVERAGE(AG188,AB188)</f>
        <v>3328</v>
      </c>
      <c r="AH259" s="443">
        <f>AVERAGE(AG188:AH188)</f>
        <v>3453</v>
      </c>
      <c r="AI259" s="443">
        <f>AVERAGE(AH188:AI188)</f>
        <v>3583.5</v>
      </c>
      <c r="AJ259" s="443">
        <f>AVERAGE(AI188:AJ188)</f>
        <v>3760</v>
      </c>
      <c r="AK259" s="443">
        <f>AVERAGE(AJ188:AK188)</f>
        <v>3886</v>
      </c>
      <c r="AL259" s="267">
        <f>AVERAGE(AL188,AG188)</f>
        <v>3690.5</v>
      </c>
      <c r="AM259" s="443">
        <f>AVERAGE(AL188:AM188)</f>
        <v>3988.5</v>
      </c>
      <c r="AN259" s="443">
        <f>AVERAGE(AM188:AN188)</f>
        <v>4090</v>
      </c>
      <c r="AO259" s="443">
        <f>AVERAGE(AN188:AO188)</f>
        <v>4198</v>
      </c>
      <c r="AP259" s="443">
        <f>AVERAGE(AO188:AP188)</f>
        <v>4291.5</v>
      </c>
      <c r="AQ259" s="267">
        <f>AVERAGE(AQ188,AL188)</f>
        <v>4142</v>
      </c>
      <c r="AR259" s="443">
        <f>AVERAGE(AQ188:AR188)</f>
        <v>4375.5</v>
      </c>
      <c r="AS259" s="443">
        <f>AVERAGE(AR188:AS188)</f>
        <v>4507</v>
      </c>
      <c r="AT259" s="443">
        <f>AVERAGE(AS188:AT188)</f>
        <v>4595</v>
      </c>
      <c r="AU259" s="443">
        <f>AVERAGE(AT188:AU188)</f>
        <v>4714</v>
      </c>
      <c r="AV259" s="267">
        <f>AVERAGE(AV188,AQ188)</f>
        <v>4587.5</v>
      </c>
      <c r="AW259" s="443">
        <f>AVERAGE(AV188:AW188)</f>
        <v>4867</v>
      </c>
      <c r="AX259" s="443">
        <f>AVERAGE(AW188:AX188)</f>
        <v>4964.5</v>
      </c>
      <c r="AY259" s="443">
        <f>AVERAGE(AX188:AY188)</f>
        <v>4982.5</v>
      </c>
      <c r="AZ259" s="443">
        <f>AVERAGE(AY188:AZ188)</f>
        <v>4993.5</v>
      </c>
      <c r="BA259" s="267">
        <f>AVERAGE(BA188,AV188)</f>
        <v>4946.5</v>
      </c>
      <c r="BB259" s="443">
        <f>AVERAGE(BA188:BB188)</f>
        <v>5133</v>
      </c>
      <c r="BC259" s="443">
        <f>AVERAGE(BB188:BC188)</f>
        <v>5268.5</v>
      </c>
      <c r="BD259" s="443">
        <f>AVERAGE(BC188:BD188)</f>
        <v>5346</v>
      </c>
      <c r="BE259" s="443">
        <f>AVERAGE(BD188:BE188)</f>
        <v>5313.5</v>
      </c>
      <c r="BF259" s="267">
        <f>AVERAGE(BF188,BA188)</f>
        <v>5158</v>
      </c>
      <c r="BG259" s="443">
        <f>AVERAGE(BF188:BG188)</f>
        <v>5244</v>
      </c>
      <c r="BH259" s="443">
        <f>AVERAGE(BG188:BH188)</f>
        <v>5307.5</v>
      </c>
      <c r="BI259" s="443">
        <f>AVERAGE(BH188:BI188)</f>
        <v>5401.5</v>
      </c>
      <c r="BJ259" s="443">
        <f>AVERAGE(BI188:BJ188)</f>
        <v>5518.5</v>
      </c>
      <c r="BK259" s="267">
        <f>AVERAGE(BK188,BF188)</f>
        <v>5441.5</v>
      </c>
      <c r="BL259" s="443">
        <f>AVERAGE(BK188:BL188)</f>
        <v>5728.5</v>
      </c>
      <c r="BM259" s="443">
        <f>AVERAGE(BL188:BM188)</f>
        <v>6017</v>
      </c>
      <c r="BN259" s="443">
        <f>AVERAGE(BM188:BN188)</f>
        <v>6003</v>
      </c>
      <c r="BO259" s="443">
        <f>AVERAGE(BN188:BO188)</f>
        <v>6587</v>
      </c>
      <c r="BP259" s="267">
        <f>AVERAGE(BP188,BK188)</f>
        <v>6494.5</v>
      </c>
      <c r="BQ259" s="443">
        <f>AVERAGE(BP188:BQ188)</f>
        <v>7036</v>
      </c>
      <c r="BR259" s="443">
        <f>AVERAGE(BQ188:BR188)</f>
        <v>6397.5</v>
      </c>
      <c r="BS259" s="443">
        <f>AVERAGE(BR188:BS188)</f>
        <v>6391.5</v>
      </c>
      <c r="BT259" s="443">
        <f>AVERAGE(BS188:BT188)</f>
        <v>6773.5</v>
      </c>
      <c r="BU259" s="267">
        <f>AVERAGE(BU188,BP188)</f>
        <v>7110.5</v>
      </c>
      <c r="BV259" s="443">
        <f>AVERAGE(BU188:BV188)</f>
        <v>6776.5</v>
      </c>
      <c r="BW259" s="443">
        <f>AVERAGE(BV188:BW188)</f>
        <v>6602.5</v>
      </c>
      <c r="BX259" s="443">
        <f>AVERAGE(BW188:BX188)</f>
        <v>7103</v>
      </c>
      <c r="BY259" s="443">
        <f>AVERAGE(BX188:BY188)</f>
        <v>8060</v>
      </c>
      <c r="BZ259" s="267">
        <f>AVERAGE(BZ188,BU188)</f>
        <v>7637</v>
      </c>
      <c r="CA259" s="443">
        <f>AVERAGE(BZ188:CA188)</f>
        <v>9041</v>
      </c>
      <c r="CB259" s="443">
        <f>AVERAGE(CA188:CB188)</f>
        <v>9494</v>
      </c>
      <c r="CC259" s="443">
        <f>AVERAGE(CB188:CC188)</f>
        <v>9115.5</v>
      </c>
      <c r="CD259" s="443">
        <f>AVERAGE(CC188:CD188)</f>
        <v>8679.5</v>
      </c>
      <c r="CE259" s="267">
        <f>AVERAGE(CE188,BZ188)</f>
        <v>8437</v>
      </c>
      <c r="CF259" s="443">
        <f>AVERAGE(CE188:CF188)</f>
        <v>8576</v>
      </c>
      <c r="CG259" s="443">
        <f>AVERAGE(CF188:CG188)</f>
        <v>8338.5</v>
      </c>
      <c r="CH259" s="443">
        <f>AVERAGE(CG188:CH188)</f>
        <v>7852.5</v>
      </c>
      <c r="CI259" s="443">
        <f>AVERAGE(CH188:CI188)</f>
        <v>7622.5</v>
      </c>
      <c r="CJ259" s="267">
        <f>AVERAGE(CJ188,CE188)</f>
        <v>7986.5</v>
      </c>
      <c r="CK259" s="443">
        <f>AVERAGE(CJ188:CK188)</f>
        <v>7886</v>
      </c>
      <c r="CL259" s="443">
        <f>AVERAGE(CK188:CL188)</f>
        <v>8117</v>
      </c>
      <c r="CM259" s="443">
        <f>AVERAGE(CL188:CM188)</f>
        <v>7760</v>
      </c>
      <c r="CN259" s="443">
        <f>AVERAGE(CM188:CN188)</f>
        <v>7514</v>
      </c>
      <c r="CO259" s="267">
        <f>AVERAGE(CO188,CJ188)</f>
        <v>7504</v>
      </c>
      <c r="CP259" s="443">
        <f>AVERAGE(CO188:CP188)</f>
        <v>7801.5</v>
      </c>
      <c r="CQ259" s="443">
        <f>AVERAGE(CP188:CQ188)</f>
        <v>7920</v>
      </c>
      <c r="CR259" s="443">
        <f>AVERAGE(CQ188:CR188)</f>
        <v>7606.5</v>
      </c>
      <c r="CS259" s="443">
        <f>AVERAGE(CR188:CS188)</f>
        <v>7494</v>
      </c>
      <c r="CT259" s="267">
        <f>AVERAGE(CT188,CO188)</f>
        <v>7495</v>
      </c>
      <c r="CU259" s="443">
        <f>AVERAGE(CT188:CU188)</f>
        <v>7673.5</v>
      </c>
      <c r="CV259" s="443">
        <f>AVERAGE(CU188:CV188)</f>
        <v>7539.6591714017286</v>
      </c>
      <c r="CW259" s="443">
        <f>AVERAGE(CV188:CW188)</f>
        <v>7030.5278293587944</v>
      </c>
      <c r="CX259" s="443">
        <f>AVERAGE(CW188:CX188)</f>
        <v>7015.2529616973698</v>
      </c>
      <c r="CY259" s="267">
        <f>AVERAGE(CY188,CT188)</f>
        <v>7351.8843037403039</v>
      </c>
      <c r="CZ259" s="443">
        <f>AVERAGE(CY188:CZ188)</f>
        <v>7347.4375609131257</v>
      </c>
      <c r="DA259" s="443">
        <f>AVERAGE(CZ188:DA188)</f>
        <v>7289.5978838100655</v>
      </c>
      <c r="DB259" s="443">
        <f>AVERAGE(DA188:DB188)</f>
        <v>6938.7143649610407</v>
      </c>
      <c r="DC259" s="443">
        <f>AVERAGE(DB188:DC188)</f>
        <v>6904.1623296604066</v>
      </c>
      <c r="DD259" s="267">
        <f>AVERAGE(DD188,CY188)</f>
        <v>7110.3768950769127</v>
      </c>
      <c r="DE259" s="443">
        <f>AVERAGE(DD188:DE188)</f>
        <v>7217.9058249918808</v>
      </c>
      <c r="DF259" s="443">
        <f>AVERAGE(DE188:DF188)</f>
        <v>7256.8995300682709</v>
      </c>
      <c r="DG259" s="443">
        <f>AVERAGE(DF188:DG188)</f>
        <v>6974.2884967902855</v>
      </c>
      <c r="DH259" s="443">
        <f>AVERAGE(DG188:DH188)</f>
        <v>6988.5958526861141</v>
      </c>
      <c r="DI259" s="267">
        <f>AVERAGE(DI188,DD188)</f>
        <v>7071.286243645437</v>
      </c>
    </row>
    <row r="260" spans="1:127" ht="12" hidden="1" customHeight="1" outlineLevel="1">
      <c r="A260" s="219"/>
      <c r="B260" s="449" t="s">
        <v>63</v>
      </c>
      <c r="C260" s="412" t="s">
        <v>1</v>
      </c>
      <c r="D260" s="479">
        <f t="shared" ref="D260:AA260" si="653">-D258/D259</f>
        <v>4.8488984228063288</v>
      </c>
      <c r="E260" s="480">
        <f t="shared" si="653"/>
        <v>4.4350038753454912</v>
      </c>
      <c r="F260" s="479">
        <f t="shared" si="653"/>
        <v>4.2324434685465544</v>
      </c>
      <c r="G260" s="480">
        <f t="shared" si="653"/>
        <v>4.085585755868899</v>
      </c>
      <c r="H260" s="479">
        <f t="shared" si="653"/>
        <v>4.0311487404620046</v>
      </c>
      <c r="I260" s="480">
        <f t="shared" si="653"/>
        <v>4.2922906465563466</v>
      </c>
      <c r="J260" s="479">
        <f t="shared" si="653"/>
        <v>4.3712396579776378</v>
      </c>
      <c r="K260" s="480">
        <f t="shared" si="653"/>
        <v>4.4474511672224866</v>
      </c>
      <c r="L260" s="479">
        <f t="shared" si="653"/>
        <v>4.4266844717972544</v>
      </c>
      <c r="M260" s="480">
        <f t="shared" si="653"/>
        <v>4.3046967436596537</v>
      </c>
      <c r="N260" s="479">
        <f t="shared" si="653"/>
        <v>4.3659315009765152</v>
      </c>
      <c r="O260" s="479">
        <f t="shared" si="653"/>
        <v>4.4907571870271692</v>
      </c>
      <c r="P260" s="480">
        <f t="shared" si="653"/>
        <v>4.4091003878717112</v>
      </c>
      <c r="Q260" s="479">
        <f t="shared" si="653"/>
        <v>4.6446566621191447</v>
      </c>
      <c r="R260" s="480">
        <f t="shared" si="653"/>
        <v>1.2895789226064456</v>
      </c>
      <c r="S260" s="480">
        <f t="shared" si="653"/>
        <v>1.1623519087318999</v>
      </c>
      <c r="T260" s="480">
        <f t="shared" si="653"/>
        <v>1.1269451269451269</v>
      </c>
      <c r="U260" s="480">
        <f t="shared" si="653"/>
        <v>1.2233860217101504</v>
      </c>
      <c r="V260" s="479">
        <f t="shared" si="653"/>
        <v>4.7746005046257363</v>
      </c>
      <c r="W260" s="480">
        <f t="shared" si="653"/>
        <v>1.1638612160769495</v>
      </c>
      <c r="X260" s="480">
        <f t="shared" si="653"/>
        <v>1.0464040822835274</v>
      </c>
      <c r="Y260" s="480">
        <f t="shared" si="653"/>
        <v>1.0076687116564418</v>
      </c>
      <c r="Z260" s="480">
        <f t="shared" si="653"/>
        <v>1.1258741258741258</v>
      </c>
      <c r="AA260" s="479">
        <f t="shared" si="653"/>
        <v>4.5035449299258037</v>
      </c>
      <c r="AB260" s="479"/>
      <c r="AC260" s="480">
        <f t="shared" ref="AC260:BH260" si="654">-AC258/AC259</f>
        <v>1.099351726217398</v>
      </c>
      <c r="AD260" s="480">
        <f t="shared" si="654"/>
        <v>1.017981869519988</v>
      </c>
      <c r="AE260" s="480">
        <f t="shared" si="654"/>
        <v>1.0383631713554988</v>
      </c>
      <c r="AF260" s="480">
        <f t="shared" si="654"/>
        <v>1.1110453940558924</v>
      </c>
      <c r="AG260" s="479">
        <f t="shared" si="654"/>
        <v>4.2905649038461542</v>
      </c>
      <c r="AH260" s="480">
        <f t="shared" si="654"/>
        <v>1.1117868520127425</v>
      </c>
      <c r="AI260" s="480">
        <f t="shared" si="654"/>
        <v>1.0059997209432119</v>
      </c>
      <c r="AJ260" s="480">
        <f t="shared" si="654"/>
        <v>1.0289893617021277</v>
      </c>
      <c r="AK260" s="480">
        <f t="shared" si="654"/>
        <v>1.0396294390118375</v>
      </c>
      <c r="AL260" s="479">
        <f t="shared" si="654"/>
        <v>4.1601409023167593</v>
      </c>
      <c r="AM260" s="480">
        <f t="shared" si="654"/>
        <v>1.0683214240942711</v>
      </c>
      <c r="AN260" s="480">
        <f t="shared" si="654"/>
        <v>0.99095354523227386</v>
      </c>
      <c r="AO260" s="480">
        <f t="shared" si="654"/>
        <v>0.96093377798951884</v>
      </c>
      <c r="AP260" s="480">
        <f t="shared" si="654"/>
        <v>0.97541652102994292</v>
      </c>
      <c r="AQ260" s="479">
        <f t="shared" si="654"/>
        <v>3.9917914051183003</v>
      </c>
      <c r="AR260" s="480">
        <f t="shared" si="654"/>
        <v>1.0099417209461776</v>
      </c>
      <c r="AS260" s="480">
        <f t="shared" si="654"/>
        <v>0.92855558020856444</v>
      </c>
      <c r="AT260" s="480">
        <f t="shared" si="654"/>
        <v>0.94515778019586505</v>
      </c>
      <c r="AU260" s="480">
        <f t="shared" si="654"/>
        <v>0.94569367840475183</v>
      </c>
      <c r="AV260" s="479">
        <f t="shared" si="654"/>
        <v>3.7940054495912805</v>
      </c>
      <c r="AW260" s="480">
        <f t="shared" si="654"/>
        <v>1.0145880419149373</v>
      </c>
      <c r="AX260" s="480">
        <f t="shared" si="654"/>
        <v>0.91932722328532579</v>
      </c>
      <c r="AY260" s="480">
        <f t="shared" si="654"/>
        <v>0.93968891118916209</v>
      </c>
      <c r="AZ260" s="480">
        <f t="shared" si="654"/>
        <v>0.9720636827876239</v>
      </c>
      <c r="BA260" s="479">
        <f t="shared" si="654"/>
        <v>3.8487819670474073</v>
      </c>
      <c r="BB260" s="480">
        <f t="shared" si="654"/>
        <v>0.9951295538671342</v>
      </c>
      <c r="BC260" s="480">
        <f t="shared" si="654"/>
        <v>0.92550061687387297</v>
      </c>
      <c r="BD260" s="480">
        <f t="shared" si="654"/>
        <v>0.94388327721661058</v>
      </c>
      <c r="BE260" s="480">
        <f t="shared" si="654"/>
        <v>1.0183494871553589</v>
      </c>
      <c r="BF260" s="479">
        <f t="shared" si="654"/>
        <v>3.9629701434664599</v>
      </c>
      <c r="BG260" s="480">
        <f t="shared" si="654"/>
        <v>1.0585430968726164</v>
      </c>
      <c r="BH260" s="480">
        <f t="shared" si="654"/>
        <v>0.9927461139896373</v>
      </c>
      <c r="BI260" s="480">
        <f t="shared" ref="BI260:CN260" si="655">-BI258/BI259</f>
        <v>0.97602517819124313</v>
      </c>
      <c r="BJ260" s="480">
        <f t="shared" si="655"/>
        <v>1.0058892815076561</v>
      </c>
      <c r="BK260" s="479">
        <f t="shared" si="655"/>
        <v>3.9773959386198658</v>
      </c>
      <c r="BL260" s="480">
        <f t="shared" si="655"/>
        <v>1.0105612289430044</v>
      </c>
      <c r="BM260" s="480">
        <f t="shared" si="655"/>
        <v>0.96094399202260261</v>
      </c>
      <c r="BN260" s="480">
        <f t="shared" si="655"/>
        <v>0.93803098450774614</v>
      </c>
      <c r="BO260" s="480">
        <f t="shared" si="655"/>
        <v>0.60118415059966601</v>
      </c>
      <c r="BP260" s="479">
        <f t="shared" si="655"/>
        <v>3.2584494572330431</v>
      </c>
      <c r="BQ260" s="480">
        <f t="shared" si="655"/>
        <v>0.83186469584991474</v>
      </c>
      <c r="BR260" s="480">
        <f t="shared" si="655"/>
        <v>0.99976553341148888</v>
      </c>
      <c r="BS260" s="480">
        <f t="shared" si="655"/>
        <v>0.88210905108347026</v>
      </c>
      <c r="BT260" s="480">
        <f t="shared" si="655"/>
        <v>0.98752491326492953</v>
      </c>
      <c r="BU260" s="479">
        <f t="shared" si="655"/>
        <v>3.4562970255256311</v>
      </c>
      <c r="BV260" s="480">
        <f t="shared" si="655"/>
        <v>0.9668708035121375</v>
      </c>
      <c r="BW260" s="480">
        <f t="shared" si="655"/>
        <v>0.93055660734570234</v>
      </c>
      <c r="BX260" s="480">
        <f t="shared" si="655"/>
        <v>0.81711952696043921</v>
      </c>
      <c r="BY260" s="480">
        <f t="shared" si="655"/>
        <v>0.83511166253101732</v>
      </c>
      <c r="BZ260" s="479">
        <f t="shared" si="655"/>
        <v>3.3037842084588189</v>
      </c>
      <c r="CA260" s="480">
        <f t="shared" si="655"/>
        <v>0.78221435681893592</v>
      </c>
      <c r="CB260" s="480">
        <f t="shared" si="655"/>
        <v>0.80092690120075838</v>
      </c>
      <c r="CC260" s="480">
        <f t="shared" si="655"/>
        <v>0.77000713071142557</v>
      </c>
      <c r="CD260" s="480">
        <f t="shared" si="655"/>
        <v>0.83299729247076448</v>
      </c>
      <c r="CE260" s="479">
        <f t="shared" si="655"/>
        <v>3.4283513097072418</v>
      </c>
      <c r="CF260" s="480">
        <f t="shared" si="655"/>
        <v>0.84176772388059706</v>
      </c>
      <c r="CG260" s="480">
        <f t="shared" si="655"/>
        <v>0.88948851711938604</v>
      </c>
      <c r="CH260" s="480">
        <f t="shared" si="655"/>
        <v>0.8664756446991404</v>
      </c>
      <c r="CI260" s="480">
        <f t="shared" si="655"/>
        <v>0.91452935388652012</v>
      </c>
      <c r="CJ260" s="479">
        <f t="shared" si="655"/>
        <v>3.5573780755024105</v>
      </c>
      <c r="CK260" s="480">
        <f t="shared" si="655"/>
        <v>0.8029419223941161</v>
      </c>
      <c r="CL260" s="480">
        <f t="shared" si="655"/>
        <v>0.85807564371073053</v>
      </c>
      <c r="CM260" s="480">
        <f t="shared" si="655"/>
        <v>0.84974226804123709</v>
      </c>
      <c r="CN260" s="480">
        <f t="shared" si="655"/>
        <v>0.88208677136012781</v>
      </c>
      <c r="CO260" s="479">
        <f t="shared" ref="CO260:DD260" si="656">-CO258/CO259</f>
        <v>3.5339818763326227</v>
      </c>
      <c r="CP260" s="480">
        <f t="shared" si="656"/>
        <v>0.86867910017304362</v>
      </c>
      <c r="CQ260" s="480">
        <f t="shared" si="656"/>
        <v>0.93207070707070705</v>
      </c>
      <c r="CR260" s="480">
        <f t="shared" si="656"/>
        <v>0.88726746861237105</v>
      </c>
      <c r="CS260" s="480">
        <f t="shared" si="656"/>
        <v>0.74446223645583132</v>
      </c>
      <c r="CT260" s="479">
        <f t="shared" si="656"/>
        <v>3.533955970647098</v>
      </c>
      <c r="CU260" s="480">
        <f t="shared" si="656"/>
        <v>0.83599400534306378</v>
      </c>
      <c r="CV260" s="480">
        <f t="shared" si="656"/>
        <v>0.8548914166035112</v>
      </c>
      <c r="CW260" s="480">
        <f t="shared" si="656"/>
        <v>0.88447230765694751</v>
      </c>
      <c r="CX260" s="480">
        <f t="shared" si="656"/>
        <v>0.8429842919399505</v>
      </c>
      <c r="CY260" s="479">
        <f t="shared" si="656"/>
        <v>3.399488362596732</v>
      </c>
      <c r="CZ260" s="480">
        <f t="shared" si="656"/>
        <v>0.81123009701984938</v>
      </c>
      <c r="DA260" s="480">
        <f t="shared" si="656"/>
        <v>0.84565806629200102</v>
      </c>
      <c r="DB260" s="480">
        <f t="shared" si="656"/>
        <v>0.87179855190377742</v>
      </c>
      <c r="DC260" s="480">
        <f t="shared" si="656"/>
        <v>0.83457821424734879</v>
      </c>
      <c r="DD260" s="479">
        <f t="shared" si="656"/>
        <v>3.366374904238572</v>
      </c>
      <c r="DE260" s="480">
        <f t="shared" ref="DE260:DI260" si="657">-DE258/DE259</f>
        <v>0.82124276689365505</v>
      </c>
      <c r="DF260" s="480">
        <f t="shared" si="657"/>
        <v>0.84607788680103302</v>
      </c>
      <c r="DG260" s="480">
        <f t="shared" si="657"/>
        <v>0.86825919897448434</v>
      </c>
      <c r="DH260" s="480">
        <f t="shared" si="657"/>
        <v>0.82552907164311884</v>
      </c>
      <c r="DI260" s="479">
        <f t="shared" si="657"/>
        <v>3.3787819551908869</v>
      </c>
    </row>
    <row r="261" spans="1:127" ht="12" customHeight="1" collapsed="1">
      <c r="A261" s="219"/>
      <c r="B261" s="449" t="s">
        <v>64</v>
      </c>
      <c r="C261" s="412" t="s">
        <v>1</v>
      </c>
      <c r="D261" s="481">
        <f t="shared" ref="D261:AA261" si="658">D251/D260</f>
        <v>75.274829079375536</v>
      </c>
      <c r="E261" s="414">
        <f t="shared" si="658"/>
        <v>82.299815346061251</v>
      </c>
      <c r="F261" s="481">
        <f t="shared" si="658"/>
        <v>86.238600163829972</v>
      </c>
      <c r="G261" s="414">
        <f t="shared" si="658"/>
        <v>89.583237721603325</v>
      </c>
      <c r="H261" s="481">
        <f t="shared" si="658"/>
        <v>90.544910024373806</v>
      </c>
      <c r="I261" s="414">
        <f t="shared" si="658"/>
        <v>85.036179992339314</v>
      </c>
      <c r="J261" s="481">
        <f t="shared" si="658"/>
        <v>83.500340534718688</v>
      </c>
      <c r="K261" s="414">
        <f t="shared" si="658"/>
        <v>82.294326848915944</v>
      </c>
      <c r="L261" s="481">
        <f t="shared" si="658"/>
        <v>82.454487625093435</v>
      </c>
      <c r="M261" s="414">
        <f t="shared" si="658"/>
        <v>84.791106490278324</v>
      </c>
      <c r="N261" s="481">
        <f t="shared" si="658"/>
        <v>83.601861348113573</v>
      </c>
      <c r="O261" s="481">
        <f t="shared" si="658"/>
        <v>81.500732450486353</v>
      </c>
      <c r="P261" s="414">
        <f t="shared" si="658"/>
        <v>82.783327184842534</v>
      </c>
      <c r="Q261" s="481">
        <f t="shared" si="658"/>
        <v>78.58492598104489</v>
      </c>
      <c r="R261" s="414">
        <f t="shared" si="658"/>
        <v>71.341116380882895</v>
      </c>
      <c r="S261" s="414">
        <f t="shared" si="658"/>
        <v>78.289543223858061</v>
      </c>
      <c r="T261" s="414">
        <f t="shared" si="658"/>
        <v>79.861918604651166</v>
      </c>
      <c r="U261" s="414">
        <f t="shared" si="658"/>
        <v>75.201120797011214</v>
      </c>
      <c r="V261" s="481">
        <f t="shared" si="658"/>
        <v>76.44618636603839</v>
      </c>
      <c r="W261" s="414">
        <f t="shared" si="658"/>
        <v>79.047225501770953</v>
      </c>
      <c r="X261" s="414">
        <f t="shared" si="658"/>
        <v>86.964492532764396</v>
      </c>
      <c r="Y261" s="414">
        <f t="shared" si="658"/>
        <v>90.30745814307457</v>
      </c>
      <c r="Z261" s="414">
        <f t="shared" si="658"/>
        <v>81.714285714285722</v>
      </c>
      <c r="AA261" s="481">
        <f t="shared" si="658"/>
        <v>81.269312440506695</v>
      </c>
      <c r="AB261" s="481"/>
      <c r="AC261" s="414">
        <f t="shared" ref="AC261:BH261" si="659">AC251/AC260</f>
        <v>83.685682940208437</v>
      </c>
      <c r="AD261" s="414">
        <f t="shared" si="659"/>
        <v>89.392554744525555</v>
      </c>
      <c r="AE261" s="414">
        <f t="shared" si="659"/>
        <v>86.674876847290633</v>
      </c>
      <c r="AF261" s="414">
        <f t="shared" si="659"/>
        <v>82.804897524620699</v>
      </c>
      <c r="AG261" s="481">
        <f t="shared" si="659"/>
        <v>85.07038308004762</v>
      </c>
      <c r="AH261" s="414">
        <f t="shared" si="659"/>
        <v>82.749674394373542</v>
      </c>
      <c r="AI261" s="414">
        <f t="shared" si="659"/>
        <v>90.457281553398062</v>
      </c>
      <c r="AJ261" s="414">
        <f t="shared" si="659"/>
        <v>87.464461101059698</v>
      </c>
      <c r="AK261" s="414">
        <f t="shared" si="659"/>
        <v>88.493069306930678</v>
      </c>
      <c r="AL261" s="481">
        <f t="shared" si="659"/>
        <v>87.737412883475542</v>
      </c>
      <c r="AM261" s="414">
        <f t="shared" si="659"/>
        <v>86.11640459985918</v>
      </c>
      <c r="AN261" s="414">
        <f t="shared" si="659"/>
        <v>91.830742659758201</v>
      </c>
      <c r="AO261" s="414">
        <f t="shared" si="659"/>
        <v>93.658899355478425</v>
      </c>
      <c r="AP261" s="414">
        <f t="shared" si="659"/>
        <v>94.318681318681314</v>
      </c>
      <c r="AQ261" s="481">
        <f t="shared" si="659"/>
        <v>91.437643643401472</v>
      </c>
      <c r="AR261" s="414">
        <f t="shared" si="659"/>
        <v>91.094365241004752</v>
      </c>
      <c r="AS261" s="414">
        <f t="shared" si="659"/>
        <v>98.001672640382324</v>
      </c>
      <c r="AT261" s="414">
        <f t="shared" si="659"/>
        <v>96.280221045360349</v>
      </c>
      <c r="AU261" s="414">
        <f t="shared" si="659"/>
        <v>97.283086585912969</v>
      </c>
      <c r="AV261" s="481">
        <f t="shared" si="659"/>
        <v>96.467968974432637</v>
      </c>
      <c r="AW261" s="414">
        <f t="shared" si="659"/>
        <v>90.677197245848518</v>
      </c>
      <c r="AX261" s="414">
        <f t="shared" si="659"/>
        <v>98.985429447852766</v>
      </c>
      <c r="AY261" s="414">
        <f t="shared" si="659"/>
        <v>95.776377616403238</v>
      </c>
      <c r="AZ261" s="414">
        <f t="shared" si="659"/>
        <v>94.64400494437578</v>
      </c>
      <c r="BA261" s="481">
        <f t="shared" si="659"/>
        <v>94.835198025002626</v>
      </c>
      <c r="BB261" s="414">
        <f t="shared" si="659"/>
        <v>92.450274079874703</v>
      </c>
      <c r="BC261" s="414">
        <f t="shared" si="659"/>
        <v>98.325164068908947</v>
      </c>
      <c r="BD261" s="414">
        <f t="shared" si="659"/>
        <v>95.350772889417357</v>
      </c>
      <c r="BE261" s="414">
        <f t="shared" si="659"/>
        <v>90.342265754943639</v>
      </c>
      <c r="BF261" s="481">
        <f t="shared" si="659"/>
        <v>92.102636857296602</v>
      </c>
      <c r="BG261" s="414">
        <f t="shared" si="659"/>
        <v>86.911907764366774</v>
      </c>
      <c r="BH261" s="414">
        <f t="shared" si="659"/>
        <v>91.664926931106478</v>
      </c>
      <c r="BI261" s="414">
        <f t="shared" ref="BI261:CN261" si="660">BI251/BI260</f>
        <v>92.210735963581186</v>
      </c>
      <c r="BJ261" s="414">
        <f t="shared" si="660"/>
        <v>91.461358313817328</v>
      </c>
      <c r="BK261" s="481">
        <f t="shared" si="660"/>
        <v>91.768585685903062</v>
      </c>
      <c r="BL261" s="414">
        <f t="shared" si="660"/>
        <v>91.038521333563651</v>
      </c>
      <c r="BM261" s="414">
        <f t="shared" si="660"/>
        <v>94.698547215496376</v>
      </c>
      <c r="BN261" s="414">
        <f t="shared" si="660"/>
        <v>97.011720831113479</v>
      </c>
      <c r="BO261" s="414">
        <f t="shared" si="660"/>
        <v>153.03131313131314</v>
      </c>
      <c r="BP261" s="481">
        <f t="shared" si="660"/>
        <v>112.32336263113127</v>
      </c>
      <c r="BQ261" s="414">
        <f t="shared" si="660"/>
        <v>110.59490859388347</v>
      </c>
      <c r="BR261" s="414">
        <f t="shared" si="660"/>
        <v>91.021341463414629</v>
      </c>
      <c r="BS261" s="414">
        <f t="shared" si="660"/>
        <v>102.02820148989002</v>
      </c>
      <c r="BT261" s="414">
        <f t="shared" si="660"/>
        <v>93.162206607863652</v>
      </c>
      <c r="BU261" s="481">
        <f t="shared" si="660"/>
        <v>105.60434977213542</v>
      </c>
      <c r="BV261" s="414">
        <f t="shared" si="660"/>
        <v>95.152319902319903</v>
      </c>
      <c r="BW261" s="414">
        <f t="shared" si="660"/>
        <v>97.790934244791671</v>
      </c>
      <c r="BX261" s="414">
        <f t="shared" si="660"/>
        <v>110.14300482425914</v>
      </c>
      <c r="BY261" s="414">
        <f t="shared" si="660"/>
        <v>110.16490863170407</v>
      </c>
      <c r="BZ261" s="481">
        <f t="shared" si="660"/>
        <v>110.47937061551266</v>
      </c>
      <c r="CA261" s="414">
        <f t="shared" si="660"/>
        <v>117.61481900452489</v>
      </c>
      <c r="CB261" s="414">
        <f t="shared" si="660"/>
        <v>113.61835875854813</v>
      </c>
      <c r="CC261" s="414">
        <f t="shared" si="660"/>
        <v>116.88203447784585</v>
      </c>
      <c r="CD261" s="414">
        <f t="shared" si="660"/>
        <v>110.44453665283541</v>
      </c>
      <c r="CE261" s="481">
        <f t="shared" si="660"/>
        <v>106.46516853932584</v>
      </c>
      <c r="CF261" s="414">
        <f t="shared" si="660"/>
        <v>109.29380800664912</v>
      </c>
      <c r="CG261" s="414">
        <f t="shared" si="660"/>
        <v>102.30598624780909</v>
      </c>
      <c r="CH261" s="414">
        <f t="shared" si="660"/>
        <v>103.86904761904762</v>
      </c>
      <c r="CI261" s="414">
        <f t="shared" si="660"/>
        <v>101.69165112609382</v>
      </c>
      <c r="CJ261" s="481">
        <f t="shared" si="660"/>
        <v>102.88476294393017</v>
      </c>
      <c r="CK261" s="414">
        <f t="shared" si="660"/>
        <v>114.57864813644979</v>
      </c>
      <c r="CL261" s="414">
        <f t="shared" si="660"/>
        <v>106.05125628140703</v>
      </c>
      <c r="CM261" s="414">
        <f t="shared" si="660"/>
        <v>105.91446769790718</v>
      </c>
      <c r="CN261" s="414">
        <f t="shared" si="660"/>
        <v>104.29812914906456</v>
      </c>
      <c r="CO261" s="481">
        <f t="shared" ref="CO261:DD261" si="661">CO251/CO260</f>
        <v>103.28292922055884</v>
      </c>
      <c r="CP261" s="414">
        <f t="shared" si="661"/>
        <v>105.9079238601151</v>
      </c>
      <c r="CQ261" s="414">
        <f t="shared" si="661"/>
        <v>97.63207802763479</v>
      </c>
      <c r="CR261" s="414">
        <f t="shared" si="661"/>
        <v>101.43502741146835</v>
      </c>
      <c r="CS261" s="414">
        <f t="shared" si="661"/>
        <v>123.57913604588636</v>
      </c>
      <c r="CT261" s="481">
        <f t="shared" si="661"/>
        <v>103.28368633669348</v>
      </c>
      <c r="CU261" s="414">
        <f t="shared" si="661"/>
        <v>110.04863600935307</v>
      </c>
      <c r="CV261" s="414">
        <f t="shared" si="661"/>
        <v>106.44626701428768</v>
      </c>
      <c r="CW261" s="414">
        <f t="shared" si="661"/>
        <v>101.75558829921842</v>
      </c>
      <c r="CX261" s="414">
        <f t="shared" si="661"/>
        <v>109.13607866675832</v>
      </c>
      <c r="CY261" s="481">
        <f t="shared" si="661"/>
        <v>107.36909824900569</v>
      </c>
      <c r="CZ261" s="414">
        <f t="shared" si="661"/>
        <v>113.40802114957641</v>
      </c>
      <c r="DA261" s="414">
        <f t="shared" si="661"/>
        <v>107.60850469860972</v>
      </c>
      <c r="DB261" s="414">
        <f t="shared" si="661"/>
        <v>103.2348583321959</v>
      </c>
      <c r="DC261" s="414">
        <f t="shared" si="661"/>
        <v>111.43353422407579</v>
      </c>
      <c r="DD261" s="481">
        <f t="shared" si="661"/>
        <v>108.72229339019036</v>
      </c>
      <c r="DE261" s="414">
        <f t="shared" ref="DE261:DI261" si="662">DE251/DE260</f>
        <v>110.80767303949216</v>
      </c>
      <c r="DF261" s="414">
        <f t="shared" si="662"/>
        <v>107.55510978317285</v>
      </c>
      <c r="DG261" s="414">
        <f t="shared" si="662"/>
        <v>104.80741247254466</v>
      </c>
      <c r="DH261" s="414">
        <f t="shared" si="662"/>
        <v>110.2323384188944</v>
      </c>
      <c r="DI261" s="481">
        <f t="shared" si="662"/>
        <v>0</v>
      </c>
    </row>
    <row r="262" spans="1:127" ht="12" hidden="1" customHeight="1" outlineLevel="1">
      <c r="A262" s="219"/>
      <c r="B262" s="449"/>
      <c r="C262" s="9"/>
      <c r="D262" s="476"/>
      <c r="E262" s="477"/>
      <c r="F262" s="476"/>
      <c r="G262" s="477"/>
      <c r="H262" s="476"/>
      <c r="I262" s="477"/>
      <c r="J262" s="476"/>
      <c r="K262" s="477"/>
      <c r="L262" s="476"/>
      <c r="M262" s="477"/>
      <c r="N262" s="476"/>
      <c r="O262" s="476"/>
      <c r="P262" s="477"/>
      <c r="Q262" s="476"/>
      <c r="R262" s="477"/>
      <c r="S262" s="477"/>
      <c r="T262" s="477"/>
      <c r="U262" s="477"/>
      <c r="V262" s="476"/>
      <c r="W262" s="477"/>
      <c r="X262" s="477"/>
      <c r="Y262" s="477"/>
      <c r="Z262" s="477"/>
      <c r="AA262" s="476"/>
      <c r="AB262" s="476"/>
      <c r="AC262" s="477"/>
      <c r="AD262" s="477"/>
      <c r="AE262" s="477"/>
      <c r="AF262" s="477"/>
      <c r="AG262" s="476"/>
      <c r="AH262" s="477"/>
      <c r="AI262" s="477"/>
      <c r="AJ262" s="477"/>
      <c r="AK262" s="477"/>
      <c r="AL262" s="476"/>
      <c r="AM262" s="477"/>
      <c r="AN262" s="477"/>
      <c r="AO262" s="477"/>
      <c r="AP262" s="477"/>
      <c r="AQ262" s="476"/>
      <c r="AR262" s="477"/>
      <c r="AS262" s="477"/>
      <c r="AT262" s="477"/>
      <c r="AU262" s="477"/>
      <c r="AV262" s="476"/>
      <c r="AW262" s="477"/>
      <c r="AX262" s="477"/>
      <c r="AY262" s="477"/>
      <c r="AZ262" s="477"/>
      <c r="BA262" s="476"/>
      <c r="BB262" s="477"/>
      <c r="BC262" s="477"/>
      <c r="BD262" s="477"/>
      <c r="BE262" s="477"/>
      <c r="BF262" s="476"/>
      <c r="BG262" s="477"/>
      <c r="BH262" s="477"/>
      <c r="BI262" s="477"/>
      <c r="BJ262" s="477"/>
      <c r="BK262" s="476"/>
      <c r="BL262" s="477"/>
      <c r="BM262" s="477"/>
      <c r="BN262" s="477"/>
      <c r="BO262" s="477"/>
      <c r="BP262" s="476"/>
      <c r="BQ262" s="477"/>
      <c r="BR262" s="477"/>
      <c r="BS262" s="477"/>
      <c r="BT262" s="477"/>
      <c r="BU262" s="476"/>
      <c r="BV262" s="477"/>
      <c r="BW262" s="477"/>
      <c r="BX262" s="477"/>
      <c r="BY262" s="477"/>
      <c r="BZ262" s="476"/>
      <c r="CA262" s="24"/>
      <c r="CB262" s="24"/>
      <c r="CC262" s="24"/>
      <c r="CD262" s="24"/>
      <c r="CE262" s="476"/>
      <c r="CF262" s="477"/>
      <c r="CG262" s="477"/>
      <c r="CH262" s="477"/>
      <c r="CI262" s="477"/>
      <c r="CJ262" s="476"/>
      <c r="CK262" s="477"/>
      <c r="CL262" s="477"/>
      <c r="CM262" s="477"/>
      <c r="CN262" s="477"/>
      <c r="CO262" s="476"/>
      <c r="CP262" s="477"/>
      <c r="CQ262" s="477"/>
      <c r="CR262" s="477"/>
      <c r="CS262" s="477"/>
      <c r="CT262" s="476"/>
      <c r="CU262" s="477"/>
      <c r="CV262" s="477"/>
      <c r="CW262" s="477"/>
      <c r="CX262" s="477"/>
      <c r="CY262" s="476"/>
      <c r="CZ262" s="477"/>
      <c r="DA262" s="477"/>
      <c r="DB262" s="477"/>
      <c r="DC262" s="477"/>
      <c r="DD262" s="476"/>
      <c r="DE262" s="477"/>
      <c r="DF262" s="477"/>
      <c r="DG262" s="477"/>
      <c r="DH262" s="477"/>
      <c r="DI262" s="476"/>
    </row>
    <row r="263" spans="1:127" s="7" customFormat="1" ht="12" hidden="1" customHeight="1" outlineLevel="1">
      <c r="A263" s="239"/>
      <c r="B263" s="450" t="s">
        <v>65</v>
      </c>
      <c r="C263" s="39" t="s">
        <v>1</v>
      </c>
      <c r="D263" s="267">
        <f t="shared" ref="D263:U263" si="663">D188-C188-D258</f>
        <v>5910.4820000000009</v>
      </c>
      <c r="E263" s="443">
        <f t="shared" si="663"/>
        <v>6123.36</v>
      </c>
      <c r="F263" s="267">
        <f t="shared" si="663"/>
        <v>5296.2</v>
      </c>
      <c r="G263" s="443">
        <f t="shared" si="663"/>
        <v>5650.5</v>
      </c>
      <c r="H263" s="267">
        <f t="shared" si="663"/>
        <v>5763</v>
      </c>
      <c r="I263" s="443">
        <f t="shared" si="663"/>
        <v>5954.4</v>
      </c>
      <c r="J263" s="267">
        <f t="shared" si="663"/>
        <v>6454.7000000000007</v>
      </c>
      <c r="K263" s="443">
        <f t="shared" si="663"/>
        <v>7120.0999999999995</v>
      </c>
      <c r="L263" s="267">
        <f t="shared" si="663"/>
        <v>7801.8</v>
      </c>
      <c r="M263" s="443">
        <f t="shared" si="663"/>
        <v>8633.5</v>
      </c>
      <c r="N263" s="267">
        <f t="shared" si="663"/>
        <v>9210.6</v>
      </c>
      <c r="O263" s="267">
        <f t="shared" si="663"/>
        <v>10556.1</v>
      </c>
      <c r="P263" s="443">
        <f t="shared" si="663"/>
        <v>10490.300000000001</v>
      </c>
      <c r="Q263" s="267">
        <f t="shared" si="663"/>
        <v>9897.5999999999985</v>
      </c>
      <c r="R263" s="443">
        <f t="shared" si="663"/>
        <v>2910</v>
      </c>
      <c r="S263" s="443">
        <f t="shared" si="663"/>
        <v>2787</v>
      </c>
      <c r="T263" s="443">
        <f t="shared" si="663"/>
        <v>2940</v>
      </c>
      <c r="U263" s="443">
        <f t="shared" si="663"/>
        <v>3391</v>
      </c>
      <c r="V263" s="267">
        <f>V188-Q188-V258</f>
        <v>12028</v>
      </c>
      <c r="W263" s="443">
        <f>W188-V188-W258</f>
        <v>3780</v>
      </c>
      <c r="X263" s="443">
        <f>X188-W188-X258</f>
        <v>3338</v>
      </c>
      <c r="Y263" s="443">
        <f>Y188-X188-Y258</f>
        <v>3477</v>
      </c>
      <c r="Z263" s="443">
        <f>Z188-Y188-Z258</f>
        <v>3569</v>
      </c>
      <c r="AA263" s="267">
        <f>AA188-V188-AA258</f>
        <v>14292</v>
      </c>
      <c r="AB263" s="267"/>
      <c r="AC263" s="443">
        <f>AC188-AB188-AC258</f>
        <v>3835</v>
      </c>
      <c r="AD263" s="443">
        <f>AD188-AC188-AD258</f>
        <v>3332</v>
      </c>
      <c r="AE263" s="443">
        <f>AE188-AD188-AE258</f>
        <v>3462</v>
      </c>
      <c r="AF263" s="443">
        <f>AF188-AE188-AF258</f>
        <v>3862</v>
      </c>
      <c r="AG263" s="267">
        <f>AG188-AB188-AG258</f>
        <v>14491</v>
      </c>
      <c r="AH263" s="443">
        <f>AH188-AG188-AH258</f>
        <v>3877</v>
      </c>
      <c r="AI263" s="443">
        <f>AI188-AH188-AI258</f>
        <v>3828</v>
      </c>
      <c r="AJ263" s="443">
        <f>AJ188-AI188-AJ258</f>
        <v>3999</v>
      </c>
      <c r="AK263" s="443">
        <f>AK188-AJ188-AK258</f>
        <v>4162</v>
      </c>
      <c r="AL263" s="267">
        <f>AL188-AG188-AL258</f>
        <v>15866</v>
      </c>
      <c r="AM263" s="443">
        <f>AM188-AL188-AM258</f>
        <v>4344</v>
      </c>
      <c r="AN263" s="443">
        <f>AN188-AM188-AN258</f>
        <v>4173</v>
      </c>
      <c r="AO263" s="443">
        <f>AO188-AN188-AO258</f>
        <v>4130</v>
      </c>
      <c r="AP263" s="443">
        <f>AP188-AO188-AP258</f>
        <v>4277</v>
      </c>
      <c r="AQ263" s="267">
        <f>AQ188-AL188-AQ258</f>
        <v>16924</v>
      </c>
      <c r="AR263" s="443">
        <f>AR188-AQ188-AR258</f>
        <v>4496</v>
      </c>
      <c r="AS263" s="443">
        <f>AS188-AR188-AS258</f>
        <v>4371</v>
      </c>
      <c r="AT263" s="443">
        <f>AT188-AS188-AT258</f>
        <v>4333</v>
      </c>
      <c r="AU263" s="443">
        <f>AU188-AT188-AU258</f>
        <v>4706</v>
      </c>
      <c r="AV263" s="267">
        <f>AV188-AQ188-AV258</f>
        <v>17906</v>
      </c>
      <c r="AW263" s="443">
        <f>AW188-AV188-AW258</f>
        <v>4996</v>
      </c>
      <c r="AX263" s="443">
        <f>AX188-AW188-AX258</f>
        <v>4701</v>
      </c>
      <c r="AY263" s="443">
        <f>AY188-AX188-AY258</f>
        <v>4581</v>
      </c>
      <c r="AZ263" s="443">
        <f>AZ188-AY188-AZ258</f>
        <v>4977</v>
      </c>
      <c r="BA263" s="267">
        <f>BA188-AV188-BA258</f>
        <v>19255</v>
      </c>
      <c r="BB263" s="443">
        <f>BB188-BA188-BB258</f>
        <v>5264</v>
      </c>
      <c r="BC263" s="443">
        <f>BC188-BB188-BC258</f>
        <v>4991</v>
      </c>
      <c r="BD263" s="443">
        <f>BD188-BC188-BD258</f>
        <v>5086</v>
      </c>
      <c r="BE263" s="443">
        <f>BE188-BD188-BE258</f>
        <v>5306</v>
      </c>
      <c r="BF263" s="267">
        <f>BF188-BA188-BF258</f>
        <v>20647</v>
      </c>
      <c r="BG263" s="443">
        <f>BG188-BF188-BG258</f>
        <v>5517</v>
      </c>
      <c r="BH263" s="443">
        <f>BH188-BG188-BH258</f>
        <v>5430</v>
      </c>
      <c r="BI263" s="443">
        <f>BI188-BH188-BI258</f>
        <v>5299</v>
      </c>
      <c r="BJ263" s="443">
        <f>BJ188-BI188-BJ258</f>
        <v>5758</v>
      </c>
      <c r="BK263" s="267">
        <f>BK188-BF188-BK258</f>
        <v>22004</v>
      </c>
      <c r="BL263" s="443">
        <f>BL188-BK188-BL258</f>
        <v>6002</v>
      </c>
      <c r="BM263" s="443">
        <f>BM188-BL188-BM258</f>
        <v>6146</v>
      </c>
      <c r="BN263" s="443">
        <f>BN188-BM188-BN258</f>
        <v>5239</v>
      </c>
      <c r="BO263" s="443">
        <f>BO188-BN188-BO258</f>
        <v>5520</v>
      </c>
      <c r="BP263" s="267">
        <f>BP188-BK188-BP258</f>
        <v>22907</v>
      </c>
      <c r="BQ263" s="443">
        <f>BQ188-BP188-BQ258</f>
        <v>5191</v>
      </c>
      <c r="BR263" s="443">
        <f>BR188-BQ188-BR258</f>
        <v>5781</v>
      </c>
      <c r="BS263" s="443">
        <f>BS188-BR188-BS258</f>
        <v>6241</v>
      </c>
      <c r="BT263" s="443">
        <f>BT188-BS188-BT258</f>
        <v>6850</v>
      </c>
      <c r="BU263" s="267">
        <f>BU188-BP188-BU258</f>
        <v>24063</v>
      </c>
      <c r="BV263" s="443">
        <f>BV188-BU188-BV258</f>
        <v>6397</v>
      </c>
      <c r="BW263" s="443">
        <f>BW188-BV188-BW258</f>
        <v>5951</v>
      </c>
      <c r="BX263" s="443">
        <f>BX188-BW188-BX258</f>
        <v>6998</v>
      </c>
      <c r="BY263" s="443">
        <f>BY188-BX188-BY258</f>
        <v>7451</v>
      </c>
      <c r="BZ263" s="267">
        <f>BZ188-BU188-BZ258</f>
        <v>26797</v>
      </c>
      <c r="CA263" s="443">
        <f>CA188-BZ188-CA258</f>
        <v>8314</v>
      </c>
      <c r="CB263" s="443">
        <f>CB188-CA188-CB258</f>
        <v>7268</v>
      </c>
      <c r="CC263" s="443">
        <f>CC188-CB188-CC258</f>
        <v>6598</v>
      </c>
      <c r="CD263" s="443">
        <f>CD188-CC188-CD258</f>
        <v>6779</v>
      </c>
      <c r="CE263" s="267">
        <f>CE188-BZ188-CE258</f>
        <v>28959</v>
      </c>
      <c r="CF263" s="443">
        <f>CF188-CE188-CF258</f>
        <v>7463</v>
      </c>
      <c r="CG263" s="443">
        <f>CG188-CF188-CG258</f>
        <v>6698</v>
      </c>
      <c r="CH263" s="443">
        <f>CH188-CG188-CH258</f>
        <v>6551</v>
      </c>
      <c r="CI263" s="443">
        <f>CI188-CH188-CI258</f>
        <v>6764</v>
      </c>
      <c r="CJ263" s="267">
        <f>CJ188-CE188-CJ258</f>
        <v>27476</v>
      </c>
      <c r="CK263" s="443">
        <f>CK188-CJ188-CK258</f>
        <v>7066</v>
      </c>
      <c r="CL263" s="443">
        <f>CL188-CK188-CL258</f>
        <v>6693</v>
      </c>
      <c r="CM263" s="443">
        <f>CM188-CL188-CM258</f>
        <v>6152</v>
      </c>
      <c r="CN263" s="443">
        <f>CN188-CM188-CN258</f>
        <v>6578</v>
      </c>
      <c r="CO263" s="267">
        <f>CO188-CJ188-CO258</f>
        <v>26489</v>
      </c>
      <c r="CP263" s="443">
        <f>CP188-CO188-CP258</f>
        <v>7402</v>
      </c>
      <c r="CQ263" s="443">
        <f>CQ188-CP188-CQ258</f>
        <v>6994</v>
      </c>
      <c r="CR263" s="443">
        <f>CR188-CQ188-CR258</f>
        <v>6510</v>
      </c>
      <c r="CS263" s="443">
        <f>CS188-CR188-CS258</f>
        <v>5593</v>
      </c>
      <c r="CT263" s="267">
        <f>CT188-CO188-CT258</f>
        <v>26499</v>
      </c>
      <c r="CU263" s="443">
        <f>CU188-CT188-CU258</f>
        <v>6760</v>
      </c>
      <c r="CV263" s="443">
        <f>CV188-CU188-CV258</f>
        <v>5832.9082525507356</v>
      </c>
      <c r="CW263" s="443">
        <f>CW188-CV188-CW258</f>
        <v>5812.7261463900395</v>
      </c>
      <c r="CX263" s="443">
        <f>CX188-CW188-CX258</f>
        <v>6288.7793422625728</v>
      </c>
      <c r="CY263" s="267">
        <f>CY188-CT188-CY258</f>
        <v>24694.413741203349</v>
      </c>
      <c r="CZ263" s="443">
        <f>CZ188-CY188-CZ258</f>
        <v>6249.8003922518792</v>
      </c>
      <c r="DA263" s="443">
        <f>DA188-CZ188-DA258</f>
        <v>5759.4899893979236</v>
      </c>
      <c r="DB263" s="443">
        <f>DB188-DA188-DB258</f>
        <v>5752.4113588200817</v>
      </c>
      <c r="DC263" s="443">
        <f>DC188-DB188-DC258</f>
        <v>5989.7091739874222</v>
      </c>
      <c r="DD263" s="267">
        <f>DD188-CY188-DD258</f>
        <v>23751.410914457309</v>
      </c>
      <c r="DE263" s="443">
        <f>DE188-DD188-DE258</f>
        <v>6327.494235531487</v>
      </c>
      <c r="DF263" s="443">
        <f>DF188-DE188-DF258</f>
        <v>5818.0483446430271</v>
      </c>
      <c r="DG263" s="443">
        <f>DG188-DF188-DG258</f>
        <v>5812.1219515686698</v>
      </c>
      <c r="DH263" s="443">
        <f>DH188-DG188-DH258</f>
        <v>6041.2719502200007</v>
      </c>
      <c r="DI263" s="267">
        <f>DI188-DD188-DI258</f>
        <v>23998.936481963188</v>
      </c>
    </row>
    <row r="264" spans="1:127" s="7" customFormat="1" ht="12" hidden="1" customHeight="1" outlineLevel="1">
      <c r="A264" s="239"/>
      <c r="B264" s="450" t="s">
        <v>66</v>
      </c>
      <c r="C264" s="39" t="s">
        <v>1</v>
      </c>
      <c r="D264" s="267">
        <f t="shared" ref="D264:U264" si="664">AVERAGE(C205:D205)</f>
        <v>571.07749999999999</v>
      </c>
      <c r="E264" s="443">
        <f t="shared" si="664"/>
        <v>635.8605</v>
      </c>
      <c r="F264" s="267">
        <f t="shared" si="664"/>
        <v>478.9</v>
      </c>
      <c r="G264" s="443">
        <f t="shared" si="664"/>
        <v>458.5</v>
      </c>
      <c r="H264" s="267">
        <f t="shared" si="664"/>
        <v>487.9</v>
      </c>
      <c r="I264" s="443">
        <f t="shared" si="664"/>
        <v>468.2</v>
      </c>
      <c r="J264" s="267">
        <f t="shared" si="664"/>
        <v>538.54999999999995</v>
      </c>
      <c r="K264" s="443">
        <f t="shared" si="664"/>
        <v>668.25</v>
      </c>
      <c r="L264" s="267">
        <f t="shared" si="664"/>
        <v>803.84999999999991</v>
      </c>
      <c r="M264" s="443">
        <f t="shared" si="664"/>
        <v>898.05</v>
      </c>
      <c r="N264" s="267">
        <f t="shared" si="664"/>
        <v>996.25</v>
      </c>
      <c r="O264" s="267">
        <f t="shared" si="664"/>
        <v>1163.9499999999998</v>
      </c>
      <c r="P264" s="443">
        <f t="shared" si="664"/>
        <v>1159.75</v>
      </c>
      <c r="Q264" s="267">
        <f t="shared" si="664"/>
        <v>1143.45</v>
      </c>
      <c r="R264" s="443">
        <f t="shared" si="664"/>
        <v>1178</v>
      </c>
      <c r="S264" s="443">
        <f t="shared" si="664"/>
        <v>1163</v>
      </c>
      <c r="T264" s="443">
        <f t="shared" si="664"/>
        <v>1186</v>
      </c>
      <c r="U264" s="443">
        <f t="shared" si="664"/>
        <v>1308</v>
      </c>
      <c r="V264" s="267">
        <f>AVERAGE(Q205,V205)</f>
        <v>1362</v>
      </c>
      <c r="W264" s="443">
        <f>AVERAGE(V205:W205)</f>
        <v>1445</v>
      </c>
      <c r="X264" s="443">
        <f>AVERAGE(W205:X205)</f>
        <v>1416</v>
      </c>
      <c r="Y264" s="443">
        <f>AVERAGE(X205:Y205)</f>
        <v>1354.5</v>
      </c>
      <c r="Z264" s="443">
        <f>AVERAGE(Y205:Z205)</f>
        <v>1423</v>
      </c>
      <c r="AA264" s="267">
        <f>AVERAGE(V205,AA205)</f>
        <v>1528.5</v>
      </c>
      <c r="AB264" s="267"/>
      <c r="AC264" s="443">
        <f>AVERAGE(AB205:AC205)</f>
        <v>1549.5</v>
      </c>
      <c r="AD264" s="443">
        <f>AVERAGE(AC205:AD205)</f>
        <v>1535</v>
      </c>
      <c r="AE264" s="443">
        <f>AVERAGE(AD205:AE205)</f>
        <v>1380</v>
      </c>
      <c r="AF264" s="443">
        <f>AVERAGE(AE205:AF205)</f>
        <v>1443.5</v>
      </c>
      <c r="AG264" s="267">
        <f>AVERAGE(AB205,AG205)</f>
        <v>1597</v>
      </c>
      <c r="AH264" s="443">
        <f>AVERAGE(AG205:AH205)</f>
        <v>1602.5</v>
      </c>
      <c r="AI264" s="443">
        <f>AVERAGE(AH205:AI205)</f>
        <v>1585.5</v>
      </c>
      <c r="AJ264" s="443">
        <f>AVERAGE(AI205:AJ205)</f>
        <v>1568.5</v>
      </c>
      <c r="AK264" s="443">
        <f>AVERAGE(AJ205:AK205)</f>
        <v>1727.5</v>
      </c>
      <c r="AL264" s="267">
        <f>AVERAGE(AG205,AL205)</f>
        <v>1788</v>
      </c>
      <c r="AM264" s="443">
        <f>AVERAGE(AL205:AM205)</f>
        <v>1950</v>
      </c>
      <c r="AN264" s="443">
        <f>AVERAGE(AM205:AN205)</f>
        <v>2022</v>
      </c>
      <c r="AO264" s="443">
        <f>AVERAGE(AN205:AO205)</f>
        <v>1947.5</v>
      </c>
      <c r="AP264" s="443">
        <f>AVERAGE(AO205:AP205)</f>
        <v>1976</v>
      </c>
      <c r="AQ264" s="267">
        <f>AVERAGE(AL205,AQ205)</f>
        <v>2030.5</v>
      </c>
      <c r="AR264" s="443">
        <f>AVERAGE(AQ205:AR205)</f>
        <v>2032</v>
      </c>
      <c r="AS264" s="443">
        <f>AVERAGE(AR205:AS205)</f>
        <v>1924</v>
      </c>
      <c r="AT264" s="443">
        <f>AVERAGE(AS205:AT205)</f>
        <v>1814.5</v>
      </c>
      <c r="AU264" s="443">
        <f>AVERAGE(AT205:AU205)</f>
        <v>1952.5</v>
      </c>
      <c r="AV264" s="267">
        <f>AVERAGE(AQ205,AV205)</f>
        <v>2161</v>
      </c>
      <c r="AW264" s="443">
        <f>AVERAGE(AV205:AW205)</f>
        <v>2139.5</v>
      </c>
      <c r="AX264" s="443">
        <f>AVERAGE(AW205:AX205)</f>
        <v>2060.5</v>
      </c>
      <c r="AY264" s="443">
        <f>AVERAGE(AX205:AY205)</f>
        <v>1985.5</v>
      </c>
      <c r="AZ264" s="443">
        <f>AVERAGE(AY205:AZ205)</f>
        <v>1993</v>
      </c>
      <c r="BA264" s="267">
        <f>AVERAGE(AV205,BA205)</f>
        <v>2119.5</v>
      </c>
      <c r="BB264" s="443">
        <f>AVERAGE(BA205:BB205)</f>
        <v>2082</v>
      </c>
      <c r="BC264" s="443">
        <f>AVERAGE(BB205:BC205)</f>
        <v>2128.5</v>
      </c>
      <c r="BD264" s="443">
        <f>AVERAGE(BC205:BD205)</f>
        <v>2051</v>
      </c>
      <c r="BE264" s="443">
        <f>AVERAGE(BD205:BE205)</f>
        <v>2120</v>
      </c>
      <c r="BF264" s="267">
        <f>AVERAGE(BA205,BF205)</f>
        <v>2163.5</v>
      </c>
      <c r="BG264" s="443">
        <f>AVERAGE(BF205:BG205)</f>
        <v>2306</v>
      </c>
      <c r="BH264" s="443">
        <f>AVERAGE(BG205:BH205)</f>
        <v>2453.5</v>
      </c>
      <c r="BI264" s="443">
        <f>AVERAGE(BH205:BI205)</f>
        <v>2440.5</v>
      </c>
      <c r="BJ264" s="443">
        <f>AVERAGE(BI205:BJ205)</f>
        <v>2459.5</v>
      </c>
      <c r="BK264" s="267">
        <f>AVERAGE(BF205,BK205)</f>
        <v>2445.5</v>
      </c>
      <c r="BL264" s="443">
        <f>AVERAGE(BK205:BL205)</f>
        <v>2664</v>
      </c>
      <c r="BM264" s="443">
        <f>AVERAGE(BL205:BM205)</f>
        <v>2671.5</v>
      </c>
      <c r="BN264" s="443">
        <f>AVERAGE(BM205:BN205)</f>
        <v>2424</v>
      </c>
      <c r="BO264" s="443">
        <f>AVERAGE(BN205:BO205)</f>
        <v>2234.5</v>
      </c>
      <c r="BP264" s="267">
        <f>AVERAGE(BK205,BP205)</f>
        <v>2430</v>
      </c>
      <c r="BQ264" s="443">
        <f>AVERAGE(BP205:BQ205)</f>
        <v>2115.5</v>
      </c>
      <c r="BR264" s="443">
        <f>AVERAGE(BQ205:BR205)</f>
        <v>2068.5</v>
      </c>
      <c r="BS264" s="443">
        <f>AVERAGE(BR205:BS205)</f>
        <v>2205.5</v>
      </c>
      <c r="BT264" s="443">
        <f>AVERAGE(BS205:BT205)</f>
        <v>2546.5</v>
      </c>
      <c r="BU264" s="267">
        <f>AVERAGE(BP205,BU205)</f>
        <v>2542</v>
      </c>
      <c r="BV264" s="443">
        <f>AVERAGE(BU205:BV205)</f>
        <v>2485.5</v>
      </c>
      <c r="BW264" s="443">
        <f>AVERAGE(BV205:BW205)</f>
        <v>2465</v>
      </c>
      <c r="BX264" s="443">
        <f>AVERAGE(BW205:BX205)</f>
        <v>2782.5</v>
      </c>
      <c r="BY264" s="443">
        <f>AVERAGE(BX205:BY205)</f>
        <v>3064</v>
      </c>
      <c r="BZ264" s="267">
        <f>AVERAGE(BU205,BZ205)</f>
        <v>3097</v>
      </c>
      <c r="CA264" s="443">
        <f>AVERAGE(BZ205:CA205)</f>
        <v>3364.5</v>
      </c>
      <c r="CB264" s="443">
        <f>AVERAGE(CA205:CB205)</f>
        <v>3090.5</v>
      </c>
      <c r="CC264" s="443">
        <f>AVERAGE(CB205:CC205)</f>
        <v>2742.5</v>
      </c>
      <c r="CD264" s="443">
        <f>AVERAGE(CC205:CD205)</f>
        <v>2768.5</v>
      </c>
      <c r="CE264" s="267">
        <f>AVERAGE(BZ205,CE205)</f>
        <v>3110</v>
      </c>
      <c r="CF264" s="443">
        <f>AVERAGE(CE205:CF205)</f>
        <v>2800</v>
      </c>
      <c r="CG264" s="443">
        <f>AVERAGE(CF205:CG205)</f>
        <v>2723.5</v>
      </c>
      <c r="CH264" s="443">
        <f>AVERAGE(CG205:CH205)</f>
        <v>2524.5</v>
      </c>
      <c r="CI264" s="443">
        <f>AVERAGE(CH205:CI205)</f>
        <v>2595.5</v>
      </c>
      <c r="CJ264" s="267">
        <f>AVERAGE(CE205,CJ205)</f>
        <v>2856.5</v>
      </c>
      <c r="CK264" s="443">
        <f>AVERAGE(CJ205:CK205)</f>
        <v>3104</v>
      </c>
      <c r="CL264" s="443">
        <f>AVERAGE(CK205:CL205)</f>
        <v>3306</v>
      </c>
      <c r="CM264" s="443">
        <f>AVERAGE(CL205:CM205)</f>
        <v>3180.5</v>
      </c>
      <c r="CN264" s="443">
        <f>AVERAGE(CM205:CN205)</f>
        <v>3292.5</v>
      </c>
      <c r="CO264" s="267">
        <f>AVERAGE(CJ205,CO205)</f>
        <v>3165</v>
      </c>
      <c r="CP264" s="443">
        <f>AVERAGE(CO205:CP205)</f>
        <v>3625.5</v>
      </c>
      <c r="CQ264" s="443">
        <f>AVERAGE(CP205:CQ205)</f>
        <v>3744.5</v>
      </c>
      <c r="CR264" s="443">
        <f>AVERAGE(CQ205:CR205)</f>
        <v>3302.5</v>
      </c>
      <c r="CS264" s="443">
        <f>AVERAGE(CR205:CS205)</f>
        <v>3244</v>
      </c>
      <c r="CT264" s="267">
        <f>AVERAGE(CO205,CT205)</f>
        <v>3539.5</v>
      </c>
      <c r="CU264" s="443">
        <f>AVERAGE(CT205:CU205)</f>
        <v>3510</v>
      </c>
      <c r="CV264" s="443">
        <f>AVERAGE(CU205:CV205)</f>
        <v>3419.6889940931787</v>
      </c>
      <c r="CW264" s="443">
        <f>AVERAGE(CV205:CW205)</f>
        <v>3002.7600061461444</v>
      </c>
      <c r="CX264" s="443">
        <f>AVERAGE(CW205:CX205)</f>
        <v>2991.5178441102371</v>
      </c>
      <c r="CY264" s="267">
        <f>AVERAGE(CT205,CY205)</f>
        <v>3498.446832057271</v>
      </c>
      <c r="CZ264" s="443">
        <f>AVERAGE(CY205:CZ205)</f>
        <v>3304.5775125808073</v>
      </c>
      <c r="DA264" s="443">
        <f>AVERAGE(CZ205:DA205)</f>
        <v>3252.5892060648466</v>
      </c>
      <c r="DB264" s="443">
        <f>AVERAGE(DA205:DB205)</f>
        <v>2909.6375335078474</v>
      </c>
      <c r="DC264" s="443">
        <f>AVERAGE(DB205:DC205)</f>
        <v>2889.8316983684872</v>
      </c>
      <c r="DD264" s="267">
        <f>AVERAGE(CY205,DD205)</f>
        <v>3325.0995224592211</v>
      </c>
      <c r="DE264" s="443">
        <f>AVERAGE(DD205:DE205)</f>
        <v>3191.2378776233913</v>
      </c>
      <c r="DF264" s="443">
        <f>AVERAGE(DE205:DF205)</f>
        <v>3185.3701187038778</v>
      </c>
      <c r="DG264" s="443">
        <f>AVERAGE(DF205:DG205)</f>
        <v>2873.330583743641</v>
      </c>
      <c r="DH264" s="443">
        <f>AVERAGE(DG205:DH205)</f>
        <v>2876.2177120654001</v>
      </c>
      <c r="DI264" s="267">
        <f>AVERAGE(DD205,DI205)</f>
        <v>3250.3247502061458</v>
      </c>
    </row>
    <row r="265" spans="1:127" ht="12" hidden="1" customHeight="1" outlineLevel="1">
      <c r="A265" s="219"/>
      <c r="B265" s="449" t="s">
        <v>67</v>
      </c>
      <c r="C265" s="412" t="s">
        <v>1</v>
      </c>
      <c r="D265" s="479">
        <f t="shared" ref="D265:AA265" si="665">D263/D264</f>
        <v>10.349702098226599</v>
      </c>
      <c r="E265" s="480">
        <f t="shared" si="665"/>
        <v>9.6300367769345634</v>
      </c>
      <c r="F265" s="479">
        <f t="shared" si="665"/>
        <v>11.059093756525371</v>
      </c>
      <c r="G265" s="480">
        <f t="shared" si="665"/>
        <v>12.323882224645583</v>
      </c>
      <c r="H265" s="479">
        <f t="shared" si="665"/>
        <v>11.811846689895471</v>
      </c>
      <c r="I265" s="480">
        <f t="shared" si="665"/>
        <v>12.717642033319095</v>
      </c>
      <c r="J265" s="479">
        <f t="shared" si="665"/>
        <v>11.985330981338782</v>
      </c>
      <c r="K265" s="480">
        <f t="shared" si="665"/>
        <v>10.654844743733632</v>
      </c>
      <c r="L265" s="479">
        <f t="shared" si="665"/>
        <v>9.7055420787460367</v>
      </c>
      <c r="M265" s="480">
        <f t="shared" si="665"/>
        <v>9.6136072601748239</v>
      </c>
      <c r="N265" s="479">
        <f t="shared" si="665"/>
        <v>9.2452697616060231</v>
      </c>
      <c r="O265" s="479">
        <f t="shared" si="665"/>
        <v>9.0692040036084034</v>
      </c>
      <c r="P265" s="480">
        <f t="shared" si="665"/>
        <v>9.0453114895451616</v>
      </c>
      <c r="Q265" s="479">
        <f t="shared" si="665"/>
        <v>8.6559097468188355</v>
      </c>
      <c r="R265" s="480">
        <f t="shared" si="665"/>
        <v>2.4702886247877758</v>
      </c>
      <c r="S265" s="480">
        <f t="shared" si="665"/>
        <v>2.3963886500429923</v>
      </c>
      <c r="T265" s="480">
        <f t="shared" si="665"/>
        <v>2.478920741989882</v>
      </c>
      <c r="U265" s="480">
        <f t="shared" si="665"/>
        <v>2.5925076452599387</v>
      </c>
      <c r="V265" s="479">
        <f t="shared" si="665"/>
        <v>8.8311306901615279</v>
      </c>
      <c r="W265" s="480">
        <f t="shared" si="665"/>
        <v>2.6159169550173011</v>
      </c>
      <c r="X265" s="480">
        <f t="shared" si="665"/>
        <v>2.3573446327683616</v>
      </c>
      <c r="Y265" s="480">
        <f t="shared" si="665"/>
        <v>2.5669988925802878</v>
      </c>
      <c r="Z265" s="480">
        <f t="shared" si="665"/>
        <v>2.5080815179198876</v>
      </c>
      <c r="AA265" s="479">
        <f t="shared" si="665"/>
        <v>9.350343473994112</v>
      </c>
      <c r="AB265" s="479"/>
      <c r="AC265" s="480">
        <f t="shared" ref="AC265:BH265" si="666">AC263/AC264</f>
        <v>2.4749919328815748</v>
      </c>
      <c r="AD265" s="480">
        <f t="shared" si="666"/>
        <v>2.170684039087948</v>
      </c>
      <c r="AE265" s="480">
        <f t="shared" si="666"/>
        <v>2.508695652173913</v>
      </c>
      <c r="AF265" s="480">
        <f t="shared" si="666"/>
        <v>2.6754416349151366</v>
      </c>
      <c r="AG265" s="479">
        <f t="shared" si="666"/>
        <v>9.0738885410144015</v>
      </c>
      <c r="AH265" s="480">
        <f t="shared" si="666"/>
        <v>2.4193447737909515</v>
      </c>
      <c r="AI265" s="480">
        <f t="shared" si="666"/>
        <v>2.4143803216650901</v>
      </c>
      <c r="AJ265" s="480">
        <f t="shared" si="666"/>
        <v>2.5495696525342684</v>
      </c>
      <c r="AK265" s="480">
        <f t="shared" si="666"/>
        <v>2.4092619392185237</v>
      </c>
      <c r="AL265" s="479">
        <f t="shared" si="666"/>
        <v>8.8736017897091717</v>
      </c>
      <c r="AM265" s="480">
        <f t="shared" si="666"/>
        <v>2.2276923076923079</v>
      </c>
      <c r="AN265" s="480">
        <f t="shared" si="666"/>
        <v>2.0637982195845699</v>
      </c>
      <c r="AO265" s="480">
        <f t="shared" si="666"/>
        <v>2.1206675224646983</v>
      </c>
      <c r="AP265" s="480">
        <f t="shared" si="666"/>
        <v>2.1644736842105261</v>
      </c>
      <c r="AQ265" s="479">
        <f t="shared" si="666"/>
        <v>8.3348928835262246</v>
      </c>
      <c r="AR265" s="480">
        <f t="shared" si="666"/>
        <v>2.2125984251968505</v>
      </c>
      <c r="AS265" s="480">
        <f t="shared" si="666"/>
        <v>2.2718295218295217</v>
      </c>
      <c r="AT265" s="480">
        <f t="shared" si="666"/>
        <v>2.3879856709837419</v>
      </c>
      <c r="AU265" s="480">
        <f t="shared" si="666"/>
        <v>2.4102432778489118</v>
      </c>
      <c r="AV265" s="479">
        <f t="shared" si="666"/>
        <v>8.2859787135585385</v>
      </c>
      <c r="AW265" s="480">
        <f t="shared" si="666"/>
        <v>2.3351250292124326</v>
      </c>
      <c r="AX265" s="480">
        <f t="shared" si="666"/>
        <v>2.2814850764377579</v>
      </c>
      <c r="AY265" s="480">
        <f t="shared" si="666"/>
        <v>2.307227398640141</v>
      </c>
      <c r="AZ265" s="480">
        <f t="shared" si="666"/>
        <v>2.4972403411941797</v>
      </c>
      <c r="BA265" s="479">
        <f t="shared" si="666"/>
        <v>9.0846897853267272</v>
      </c>
      <c r="BB265" s="480">
        <f t="shared" si="666"/>
        <v>2.5283381364073008</v>
      </c>
      <c r="BC265" s="480">
        <f t="shared" si="666"/>
        <v>2.344843786704252</v>
      </c>
      <c r="BD265" s="480">
        <f t="shared" si="666"/>
        <v>2.4797659678205752</v>
      </c>
      <c r="BE265" s="480">
        <f t="shared" si="666"/>
        <v>2.5028301886792454</v>
      </c>
      <c r="BF265" s="479">
        <f t="shared" si="666"/>
        <v>9.5433325629766586</v>
      </c>
      <c r="BG265" s="480">
        <f t="shared" si="666"/>
        <v>2.3924544666088465</v>
      </c>
      <c r="BH265" s="480">
        <f t="shared" si="666"/>
        <v>2.2131648665172201</v>
      </c>
      <c r="BI265" s="480">
        <f t="shared" ref="BI265:CN265" si="667">BI263/BI264</f>
        <v>2.1712763777914361</v>
      </c>
      <c r="BJ265" s="480">
        <f t="shared" si="667"/>
        <v>2.3411262451717829</v>
      </c>
      <c r="BK265" s="479">
        <f t="shared" si="667"/>
        <v>8.9977509711715395</v>
      </c>
      <c r="BL265" s="480">
        <f t="shared" si="667"/>
        <v>2.2530030030030028</v>
      </c>
      <c r="BM265" s="480">
        <f t="shared" si="667"/>
        <v>2.3005801983904175</v>
      </c>
      <c r="BN265" s="480">
        <f t="shared" si="667"/>
        <v>2.1613036303630362</v>
      </c>
      <c r="BO265" s="480">
        <f t="shared" si="667"/>
        <v>2.4703513090176772</v>
      </c>
      <c r="BP265" s="479">
        <f t="shared" si="667"/>
        <v>9.4267489711934154</v>
      </c>
      <c r="BQ265" s="480">
        <f t="shared" si="667"/>
        <v>2.4537934294493029</v>
      </c>
      <c r="BR265" s="480">
        <f t="shared" si="667"/>
        <v>2.794778825235678</v>
      </c>
      <c r="BS265" s="480">
        <f t="shared" si="667"/>
        <v>2.8297438222625253</v>
      </c>
      <c r="BT265" s="480">
        <f t="shared" si="667"/>
        <v>2.6899666208521502</v>
      </c>
      <c r="BU265" s="479">
        <f t="shared" si="667"/>
        <v>9.4661683713611335</v>
      </c>
      <c r="BV265" s="480">
        <f t="shared" si="667"/>
        <v>2.5737276201971433</v>
      </c>
      <c r="BW265" s="480">
        <f t="shared" si="667"/>
        <v>2.4141987829614604</v>
      </c>
      <c r="BX265" s="480">
        <f t="shared" si="667"/>
        <v>2.5150044923629831</v>
      </c>
      <c r="BY265" s="480">
        <f t="shared" si="667"/>
        <v>2.4317885117493474</v>
      </c>
      <c r="BZ265" s="479">
        <f t="shared" si="667"/>
        <v>8.6525670003228932</v>
      </c>
      <c r="CA265" s="480">
        <f t="shared" si="667"/>
        <v>2.4710952593253084</v>
      </c>
      <c r="CB265" s="480">
        <f t="shared" si="667"/>
        <v>2.3517230221646983</v>
      </c>
      <c r="CC265" s="480">
        <f t="shared" si="667"/>
        <v>2.4058340929808568</v>
      </c>
      <c r="CD265" s="480">
        <f t="shared" si="667"/>
        <v>2.4486183854072601</v>
      </c>
      <c r="CE265" s="479">
        <f t="shared" si="667"/>
        <v>9.3115755627009644</v>
      </c>
      <c r="CF265" s="480">
        <f t="shared" si="667"/>
        <v>2.6653571428571428</v>
      </c>
      <c r="CG265" s="480">
        <f t="shared" si="667"/>
        <v>2.459335413989352</v>
      </c>
      <c r="CH265" s="480">
        <f t="shared" si="667"/>
        <v>2.5949693008516537</v>
      </c>
      <c r="CI265" s="480">
        <f t="shared" si="667"/>
        <v>2.6060489308418417</v>
      </c>
      <c r="CJ265" s="479">
        <f t="shared" si="667"/>
        <v>9.6187642219499381</v>
      </c>
      <c r="CK265" s="480">
        <f t="shared" si="667"/>
        <v>2.276417525773196</v>
      </c>
      <c r="CL265" s="480">
        <f t="shared" si="667"/>
        <v>2.0245009074410163</v>
      </c>
      <c r="CM265" s="480">
        <f t="shared" si="667"/>
        <v>1.9342870617827386</v>
      </c>
      <c r="CN265" s="480">
        <f t="shared" si="667"/>
        <v>1.9978739559605163</v>
      </c>
      <c r="CO265" s="479">
        <f t="shared" ref="CO265:DD265" si="668">CO263/CO264</f>
        <v>8.3693522906793056</v>
      </c>
      <c r="CP265" s="480">
        <f t="shared" si="668"/>
        <v>2.0416494276651496</v>
      </c>
      <c r="CQ265" s="480">
        <f t="shared" si="668"/>
        <v>1.8678061156362664</v>
      </c>
      <c r="CR265" s="480">
        <f t="shared" si="668"/>
        <v>1.9712339137017412</v>
      </c>
      <c r="CS265" s="480">
        <f t="shared" si="668"/>
        <v>1.7241060419235512</v>
      </c>
      <c r="CT265" s="479">
        <f t="shared" si="668"/>
        <v>7.48665065687244</v>
      </c>
      <c r="CU265" s="480">
        <f t="shared" si="668"/>
        <v>1.9259259259259258</v>
      </c>
      <c r="CV265" s="480">
        <f t="shared" si="668"/>
        <v>1.7056838392689819</v>
      </c>
      <c r="CW265" s="480">
        <f t="shared" si="668"/>
        <v>1.9357944472726316</v>
      </c>
      <c r="CX265" s="480">
        <f t="shared" si="668"/>
        <v>2.1022035200772922</v>
      </c>
      <c r="CY265" s="479">
        <f t="shared" si="668"/>
        <v>7.0586791586830353</v>
      </c>
      <c r="CZ265" s="480">
        <f t="shared" si="668"/>
        <v>1.891255498912753</v>
      </c>
      <c r="DA265" s="480">
        <f t="shared" si="668"/>
        <v>1.7707400549256749</v>
      </c>
      <c r="DB265" s="480">
        <f t="shared" si="668"/>
        <v>1.9770199183143604</v>
      </c>
      <c r="DC265" s="480">
        <f t="shared" si="668"/>
        <v>2.0726844325809815</v>
      </c>
      <c r="DD265" s="479">
        <f t="shared" si="668"/>
        <v>7.1430676748258426</v>
      </c>
      <c r="DE265" s="480">
        <f t="shared" ref="DE265:DI265" si="669">DE263/DE264</f>
        <v>1.9827710995470378</v>
      </c>
      <c r="DF265" s="480">
        <f t="shared" si="669"/>
        <v>1.8264905263223798</v>
      </c>
      <c r="DG265" s="480">
        <f t="shared" si="669"/>
        <v>2.0227821972354114</v>
      </c>
      <c r="DH265" s="480">
        <f t="shared" si="669"/>
        <v>2.1004223445525576</v>
      </c>
      <c r="DI265" s="479">
        <f t="shared" si="669"/>
        <v>7.3835503607573676</v>
      </c>
    </row>
    <row r="266" spans="1:127" ht="12" customHeight="1" collapsed="1">
      <c r="A266" s="219"/>
      <c r="B266" s="449" t="s">
        <v>68</v>
      </c>
      <c r="C266" s="412" t="s">
        <v>1</v>
      </c>
      <c r="D266" s="481">
        <f t="shared" ref="D266:AA266" si="670">D251/D265</f>
        <v>35.266715557208357</v>
      </c>
      <c r="E266" s="414">
        <f t="shared" si="670"/>
        <v>37.902243621149175</v>
      </c>
      <c r="F266" s="481">
        <f t="shared" si="670"/>
        <v>33.004512669461121</v>
      </c>
      <c r="G266" s="414">
        <f t="shared" si="670"/>
        <v>29.69843376692328</v>
      </c>
      <c r="H266" s="481">
        <f t="shared" si="670"/>
        <v>30.901179941002948</v>
      </c>
      <c r="I266" s="414">
        <f t="shared" si="670"/>
        <v>28.700288862018002</v>
      </c>
      <c r="J266" s="481">
        <f t="shared" si="670"/>
        <v>30.453894061691475</v>
      </c>
      <c r="K266" s="414">
        <f t="shared" si="670"/>
        <v>34.350570918947767</v>
      </c>
      <c r="L266" s="481">
        <f t="shared" si="670"/>
        <v>37.60737906636929</v>
      </c>
      <c r="M266" s="414">
        <f t="shared" si="670"/>
        <v>37.967018011235304</v>
      </c>
      <c r="N266" s="481">
        <f t="shared" si="670"/>
        <v>39.479648448526696</v>
      </c>
      <c r="O266" s="481">
        <f t="shared" si="670"/>
        <v>40.35635319862449</v>
      </c>
      <c r="P266" s="414">
        <f t="shared" si="670"/>
        <v>40.352396976254248</v>
      </c>
      <c r="Q266" s="481">
        <f t="shared" si="670"/>
        <v>42.167722478176536</v>
      </c>
      <c r="R266" s="414">
        <f t="shared" si="670"/>
        <v>37.2426116838488</v>
      </c>
      <c r="S266" s="414">
        <f t="shared" si="670"/>
        <v>37.973806960889846</v>
      </c>
      <c r="T266" s="414">
        <f t="shared" si="670"/>
        <v>36.306122448979593</v>
      </c>
      <c r="U266" s="414">
        <f t="shared" si="670"/>
        <v>35.486877027425543</v>
      </c>
      <c r="V266" s="481">
        <f t="shared" si="670"/>
        <v>41.331060857998004</v>
      </c>
      <c r="W266" s="414">
        <f t="shared" si="670"/>
        <v>35.169312169312171</v>
      </c>
      <c r="X266" s="414">
        <f t="shared" si="670"/>
        <v>38.60275614140204</v>
      </c>
      <c r="Y266" s="414">
        <f t="shared" si="670"/>
        <v>35.449956859361521</v>
      </c>
      <c r="Z266" s="414">
        <f t="shared" si="670"/>
        <v>36.681423367890162</v>
      </c>
      <c r="AA266" s="481">
        <f t="shared" si="670"/>
        <v>39.142947103274558</v>
      </c>
      <c r="AB266" s="481"/>
      <c r="AC266" s="414">
        <f t="shared" ref="AC266:BH266" si="671">AC251/AC265</f>
        <v>37.171838331160366</v>
      </c>
      <c r="AD266" s="414">
        <f t="shared" si="671"/>
        <v>41.922268907563023</v>
      </c>
      <c r="AE266" s="414">
        <f t="shared" si="671"/>
        <v>35.875216637781627</v>
      </c>
      <c r="AF266" s="414">
        <f t="shared" si="671"/>
        <v>34.386846193682032</v>
      </c>
      <c r="AG266" s="481">
        <f t="shared" si="671"/>
        <v>40.225312262783802</v>
      </c>
      <c r="AH266" s="414">
        <f t="shared" si="671"/>
        <v>38.026824864586025</v>
      </c>
      <c r="AI266" s="414">
        <f t="shared" si="671"/>
        <v>37.690830721003131</v>
      </c>
      <c r="AJ266" s="414">
        <f t="shared" si="671"/>
        <v>35.30007501875469</v>
      </c>
      <c r="AK266" s="414">
        <f t="shared" si="671"/>
        <v>38.185968284478619</v>
      </c>
      <c r="AL266" s="481">
        <f t="shared" si="671"/>
        <v>41.133240892474475</v>
      </c>
      <c r="AM266" s="414">
        <f t="shared" si="671"/>
        <v>41.298342541436462</v>
      </c>
      <c r="AN266" s="414">
        <f t="shared" si="671"/>
        <v>44.09345794392523</v>
      </c>
      <c r="AO266" s="414">
        <f t="shared" si="671"/>
        <v>42.439467312348668</v>
      </c>
      <c r="AP266" s="414">
        <f t="shared" si="671"/>
        <v>42.504559270516722</v>
      </c>
      <c r="AQ266" s="481">
        <f t="shared" si="671"/>
        <v>43.791804537934297</v>
      </c>
      <c r="AR266" s="414">
        <f t="shared" si="671"/>
        <v>41.580071174377224</v>
      </c>
      <c r="AS266" s="414">
        <f t="shared" si="671"/>
        <v>40.055822466254867</v>
      </c>
      <c r="AT266" s="414">
        <f t="shared" si="671"/>
        <v>38.107431340872374</v>
      </c>
      <c r="AU266" s="414">
        <f t="shared" si="671"/>
        <v>38.170420739481514</v>
      </c>
      <c r="AV266" s="481">
        <f t="shared" si="671"/>
        <v>44.17100413269295</v>
      </c>
      <c r="AW266" s="414">
        <f t="shared" si="671"/>
        <v>39.398318654923941</v>
      </c>
      <c r="AX266" s="414">
        <f t="shared" si="671"/>
        <v>39.886300787066581</v>
      </c>
      <c r="AY266" s="414">
        <f t="shared" si="671"/>
        <v>39.007858546168961</v>
      </c>
      <c r="AZ266" s="414">
        <f t="shared" si="671"/>
        <v>36.840667068515167</v>
      </c>
      <c r="BA266" s="481">
        <f t="shared" si="671"/>
        <v>40.177486367177359</v>
      </c>
      <c r="BB266" s="414">
        <f t="shared" si="671"/>
        <v>36.387537993920972</v>
      </c>
      <c r="BC266" s="414">
        <f t="shared" si="671"/>
        <v>38.808555399719495</v>
      </c>
      <c r="BD266" s="414">
        <f t="shared" si="671"/>
        <v>36.293747542272911</v>
      </c>
      <c r="BE266" s="414">
        <f t="shared" si="671"/>
        <v>36.758386732001505</v>
      </c>
      <c r="BF266" s="481">
        <f t="shared" si="671"/>
        <v>38.246597568654039</v>
      </c>
      <c r="BG266" s="414">
        <f t="shared" si="671"/>
        <v>38.454232372666304</v>
      </c>
      <c r="BH266" s="414">
        <f t="shared" si="671"/>
        <v>41.117587476979743</v>
      </c>
      <c r="BI266" s="414">
        <f t="shared" ref="BI266:CN266" si="672">BI251/BI265</f>
        <v>41.450273636535194</v>
      </c>
      <c r="BJ266" s="414">
        <f t="shared" si="672"/>
        <v>39.297325460229246</v>
      </c>
      <c r="BK266" s="481">
        <f t="shared" si="672"/>
        <v>40.565692601345212</v>
      </c>
      <c r="BL266" s="414">
        <f t="shared" si="672"/>
        <v>40.834388537154283</v>
      </c>
      <c r="BM266" s="414">
        <f t="shared" si="672"/>
        <v>39.555239179954441</v>
      </c>
      <c r="BN266" s="414">
        <f t="shared" si="672"/>
        <v>42.104218362282879</v>
      </c>
      <c r="BO266" s="414">
        <f t="shared" si="672"/>
        <v>37.241666666666667</v>
      </c>
      <c r="BP266" s="481">
        <f t="shared" si="672"/>
        <v>38.825686471384294</v>
      </c>
      <c r="BQ266" s="414">
        <f t="shared" si="672"/>
        <v>37.492968599499129</v>
      </c>
      <c r="BR266" s="414">
        <f t="shared" si="672"/>
        <v>32.560716139076284</v>
      </c>
      <c r="BS266" s="414">
        <f t="shared" si="672"/>
        <v>31.804999198846343</v>
      </c>
      <c r="BT266" s="414">
        <f t="shared" si="672"/>
        <v>34.201167883211674</v>
      </c>
      <c r="BU266" s="481">
        <f t="shared" si="672"/>
        <v>38.558367618335204</v>
      </c>
      <c r="BV266" s="414">
        <f t="shared" si="672"/>
        <v>35.745818352352664</v>
      </c>
      <c r="BW266" s="414">
        <f t="shared" si="672"/>
        <v>37.693664930263822</v>
      </c>
      <c r="BX266" s="414">
        <f t="shared" si="672"/>
        <v>35.785224349814229</v>
      </c>
      <c r="BY266" s="414">
        <f t="shared" si="672"/>
        <v>37.832237283586096</v>
      </c>
      <c r="BZ266" s="481">
        <f t="shared" si="672"/>
        <v>42.184013135798786</v>
      </c>
      <c r="CA266" s="414">
        <f t="shared" si="672"/>
        <v>37.230454654799132</v>
      </c>
      <c r="CB266" s="414">
        <f t="shared" si="672"/>
        <v>38.695033021463949</v>
      </c>
      <c r="CC266" s="414">
        <f t="shared" si="672"/>
        <v>37.409063352531071</v>
      </c>
      <c r="CD266" s="414">
        <f t="shared" si="672"/>
        <v>37.572208290308311</v>
      </c>
      <c r="CE266" s="481">
        <f t="shared" si="672"/>
        <v>39.198522048413274</v>
      </c>
      <c r="CF266" s="414">
        <f t="shared" si="672"/>
        <v>34.516950288087905</v>
      </c>
      <c r="CG266" s="414">
        <f t="shared" si="672"/>
        <v>37.001866228724992</v>
      </c>
      <c r="CH266" s="414">
        <f t="shared" si="672"/>
        <v>34.682491222714091</v>
      </c>
      <c r="CI266" s="414">
        <f t="shared" si="672"/>
        <v>35.686206386753398</v>
      </c>
      <c r="CJ266" s="481">
        <f t="shared" si="672"/>
        <v>38.050626000873493</v>
      </c>
      <c r="CK266" s="414">
        <f t="shared" si="672"/>
        <v>40.414378714973111</v>
      </c>
      <c r="CL266" s="414">
        <f t="shared" si="672"/>
        <v>44.949350067234427</v>
      </c>
      <c r="CM266" s="414">
        <f t="shared" si="672"/>
        <v>46.528771131339404</v>
      </c>
      <c r="CN266" s="414">
        <f t="shared" si="672"/>
        <v>46.048951048951047</v>
      </c>
      <c r="CO266" s="481">
        <f t="shared" ref="CO266:DD266" si="673">CO251/CO265</f>
        <v>43.61149911283929</v>
      </c>
      <c r="CP266" s="414">
        <f t="shared" si="673"/>
        <v>45.061604971629293</v>
      </c>
      <c r="CQ266" s="414">
        <f t="shared" si="673"/>
        <v>48.720260223048328</v>
      </c>
      <c r="CR266" s="414">
        <f t="shared" si="673"/>
        <v>45.656682027649765</v>
      </c>
      <c r="CS266" s="414">
        <f t="shared" si="673"/>
        <v>53.360986947970673</v>
      </c>
      <c r="CT266" s="481">
        <f t="shared" si="673"/>
        <v>48.753443526170798</v>
      </c>
      <c r="CU266" s="414">
        <f t="shared" si="673"/>
        <v>47.769230769230774</v>
      </c>
      <c r="CV266" s="414">
        <f t="shared" si="673"/>
        <v>53.351036050737619</v>
      </c>
      <c r="CW266" s="414">
        <f t="shared" si="673"/>
        <v>46.492539601403593</v>
      </c>
      <c r="CX266" s="414">
        <f t="shared" si="673"/>
        <v>43.763602867821959</v>
      </c>
      <c r="CY266" s="481">
        <f t="shared" si="673"/>
        <v>51.709390920680327</v>
      </c>
      <c r="CZ266" s="414">
        <f t="shared" si="673"/>
        <v>48.64493457012501</v>
      </c>
      <c r="DA266" s="414">
        <f t="shared" si="673"/>
        <v>51.390942305091549</v>
      </c>
      <c r="DB266" s="414">
        <f t="shared" si="673"/>
        <v>45.523061839829857</v>
      </c>
      <c r="DC266" s="414">
        <f t="shared" si="673"/>
        <v>44.869348434384214</v>
      </c>
      <c r="DD266" s="481">
        <f t="shared" si="673"/>
        <v>51.238489772382501</v>
      </c>
      <c r="DE266" s="414">
        <f t="shared" ref="DE266:DI266" si="674">DE251/DE265</f>
        <v>45.89536332297201</v>
      </c>
      <c r="DF266" s="414">
        <f t="shared" si="674"/>
        <v>49.822322475018566</v>
      </c>
      <c r="DG266" s="414">
        <f t="shared" si="674"/>
        <v>44.987542467188035</v>
      </c>
      <c r="DH266" s="414">
        <f t="shared" si="674"/>
        <v>43.324620039397495</v>
      </c>
      <c r="DI266" s="481">
        <f t="shared" si="674"/>
        <v>0</v>
      </c>
      <c r="DL266" s="373"/>
      <c r="DM266" s="373"/>
      <c r="DN266" s="373"/>
      <c r="DO266" s="373"/>
      <c r="DP266" s="373"/>
      <c r="DQ266" s="373"/>
      <c r="DR266" s="373"/>
      <c r="DS266" s="373"/>
      <c r="DT266" s="373"/>
      <c r="DU266" s="373"/>
      <c r="DV266" s="373"/>
      <c r="DW266" s="373"/>
    </row>
    <row r="267" spans="1:127" ht="12" customHeight="1">
      <c r="A267" s="219"/>
      <c r="B267" s="449"/>
      <c r="C267" s="9"/>
      <c r="D267" s="476"/>
      <c r="E267" s="477"/>
      <c r="F267" s="476"/>
      <c r="G267" s="477"/>
      <c r="H267" s="476"/>
      <c r="I267" s="477"/>
      <c r="J267" s="476"/>
      <c r="K267" s="477"/>
      <c r="L267" s="476"/>
      <c r="M267" s="477"/>
      <c r="N267" s="476"/>
      <c r="O267" s="476"/>
      <c r="P267" s="477"/>
      <c r="Q267" s="476"/>
      <c r="R267" s="477"/>
      <c r="S267" s="477"/>
      <c r="T267" s="477"/>
      <c r="U267" s="477"/>
      <c r="V267" s="476"/>
      <c r="W267" s="477"/>
      <c r="X267" s="477"/>
      <c r="Y267" s="477"/>
      <c r="Z267" s="477"/>
      <c r="AA267" s="476"/>
      <c r="AB267" s="476"/>
      <c r="AC267" s="477"/>
      <c r="AD267" s="477"/>
      <c r="AE267" s="477"/>
      <c r="AF267" s="477"/>
      <c r="AG267" s="476"/>
      <c r="AH267" s="477"/>
      <c r="AI267" s="477"/>
      <c r="AJ267" s="477"/>
      <c r="AK267" s="477"/>
      <c r="AL267" s="476"/>
      <c r="AM267" s="477"/>
      <c r="AN267" s="477"/>
      <c r="AO267" s="477"/>
      <c r="AP267" s="477"/>
      <c r="AQ267" s="476"/>
      <c r="AR267" s="477"/>
      <c r="AS267" s="477"/>
      <c r="AT267" s="477"/>
      <c r="AU267" s="477"/>
      <c r="AV267" s="476"/>
      <c r="AW267" s="477"/>
      <c r="AX267" s="477"/>
      <c r="AY267" s="477"/>
      <c r="AZ267" s="477"/>
      <c r="BA267" s="476"/>
      <c r="BB267" s="477"/>
      <c r="BC267" s="477"/>
      <c r="BD267" s="477"/>
      <c r="BE267" s="477"/>
      <c r="BF267" s="476"/>
      <c r="BG267" s="477"/>
      <c r="BH267" s="477"/>
      <c r="BI267" s="477"/>
      <c r="BJ267" s="477"/>
      <c r="BK267" s="476"/>
      <c r="BL267" s="477"/>
      <c r="BM267" s="477"/>
      <c r="BN267" s="477"/>
      <c r="BO267" s="477"/>
      <c r="BP267" s="476"/>
      <c r="BQ267" s="477"/>
      <c r="BR267" s="477"/>
      <c r="BS267" s="477"/>
      <c r="BT267" s="477"/>
      <c r="BU267" s="476"/>
      <c r="BV267" s="477"/>
      <c r="BW267" s="477"/>
      <c r="BX267" s="477"/>
      <c r="BY267" s="477"/>
      <c r="BZ267" s="476"/>
      <c r="CA267" s="87"/>
      <c r="CB267" s="87"/>
      <c r="CC267" s="87"/>
      <c r="CD267" s="87"/>
      <c r="CE267" s="476"/>
      <c r="CF267" s="477"/>
      <c r="CG267" s="477"/>
      <c r="CH267" s="477"/>
      <c r="CI267" s="477"/>
      <c r="CJ267" s="476"/>
      <c r="CK267" s="477"/>
      <c r="CL267" s="477"/>
      <c r="CM267" s="477"/>
      <c r="CN267" s="477"/>
      <c r="CO267" s="476"/>
      <c r="CP267" s="477"/>
      <c r="CQ267" s="477"/>
      <c r="CR267" s="477"/>
      <c r="CS267" s="477"/>
      <c r="CT267" s="476"/>
      <c r="CU267" s="477"/>
      <c r="CV267" s="477"/>
      <c r="CW267" s="477"/>
      <c r="CX267" s="477"/>
      <c r="CY267" s="476"/>
      <c r="CZ267" s="477"/>
      <c r="DA267" s="477"/>
      <c r="DB267" s="477"/>
      <c r="DC267" s="477"/>
      <c r="DD267" s="476"/>
      <c r="DE267" s="477"/>
      <c r="DF267" s="477"/>
      <c r="DG267" s="477"/>
      <c r="DH267" s="477"/>
      <c r="DI267" s="476"/>
      <c r="DL267" s="180"/>
      <c r="DM267" s="180"/>
      <c r="DN267" s="180"/>
      <c r="DO267" s="180"/>
      <c r="DP267" s="180"/>
      <c r="DQ267" s="180"/>
      <c r="DR267" s="180"/>
      <c r="DS267" s="180"/>
      <c r="DT267" s="180"/>
      <c r="DU267" s="180"/>
      <c r="DV267" s="180"/>
      <c r="DW267" s="180"/>
    </row>
    <row r="268" spans="1:127" s="4" customFormat="1" ht="12" customHeight="1">
      <c r="A268" s="219"/>
      <c r="B268" s="465" t="s">
        <v>69</v>
      </c>
      <c r="C268" s="482" t="s">
        <v>1</v>
      </c>
      <c r="D268" s="483">
        <f t="shared" ref="D268:AA268" si="675">D256+D261-D266</f>
        <v>101.59799138585444</v>
      </c>
      <c r="E268" s="484">
        <f t="shared" si="675"/>
        <v>109.89547319145174</v>
      </c>
      <c r="F268" s="483">
        <f t="shared" si="675"/>
        <v>120.0738885630833</v>
      </c>
      <c r="G268" s="484">
        <f t="shared" si="675"/>
        <v>123.10098832172434</v>
      </c>
      <c r="H268" s="483">
        <f t="shared" si="675"/>
        <v>120.97071558206405</v>
      </c>
      <c r="I268" s="484">
        <f t="shared" si="675"/>
        <v>119.5827576015636</v>
      </c>
      <c r="J268" s="483">
        <f t="shared" si="675"/>
        <v>119.72369242983751</v>
      </c>
      <c r="K268" s="484">
        <f t="shared" si="675"/>
        <v>110.98885472129444</v>
      </c>
      <c r="L268" s="483">
        <f t="shared" si="675"/>
        <v>103.05578487625654</v>
      </c>
      <c r="M268" s="484">
        <f t="shared" si="675"/>
        <v>103.66733049336611</v>
      </c>
      <c r="N268" s="483">
        <f t="shared" si="675"/>
        <v>98.792062647533385</v>
      </c>
      <c r="O268" s="483">
        <f t="shared" si="675"/>
        <v>93.115711189371936</v>
      </c>
      <c r="P268" s="484">
        <f t="shared" si="675"/>
        <v>96.480189442739146</v>
      </c>
      <c r="Q268" s="483">
        <f t="shared" si="675"/>
        <v>89.532631608474759</v>
      </c>
      <c r="R268" s="484">
        <f t="shared" si="675"/>
        <v>82.462949141478532</v>
      </c>
      <c r="S268" s="484">
        <f t="shared" si="675"/>
        <v>92.778871331121877</v>
      </c>
      <c r="T268" s="484">
        <f t="shared" si="675"/>
        <v>94.74008440138924</v>
      </c>
      <c r="U268" s="484">
        <f t="shared" si="675"/>
        <v>88.562318691541975</v>
      </c>
      <c r="V268" s="483">
        <f t="shared" si="675"/>
        <v>85.748334212862545</v>
      </c>
      <c r="W268" s="484">
        <f t="shared" si="675"/>
        <v>92.419600554955082</v>
      </c>
      <c r="X268" s="484">
        <f t="shared" si="675"/>
        <v>99.030206117413655</v>
      </c>
      <c r="Y268" s="484">
        <f t="shared" si="675"/>
        <v>104.66155533776711</v>
      </c>
      <c r="Z268" s="484">
        <f t="shared" si="675"/>
        <v>90.734253381944242</v>
      </c>
      <c r="AA268" s="483">
        <f t="shared" si="675"/>
        <v>90.804001278876683</v>
      </c>
      <c r="AB268" s="483"/>
      <c r="AC268" s="484">
        <f t="shared" ref="AC268:BH268" si="676">AC256+AC261-AC266</f>
        <v>93.146220265520128</v>
      </c>
      <c r="AD268" s="484">
        <f t="shared" si="676"/>
        <v>98.043669548129628</v>
      </c>
      <c r="AE268" s="484">
        <f t="shared" si="676"/>
        <v>97.494342608086669</v>
      </c>
      <c r="AF268" s="484">
        <f t="shared" si="676"/>
        <v>92.027727305255524</v>
      </c>
      <c r="AG268" s="483">
        <f t="shared" si="676"/>
        <v>89.898699387563681</v>
      </c>
      <c r="AH268" s="484">
        <f t="shared" si="676"/>
        <v>86.453447722299359</v>
      </c>
      <c r="AI268" s="484">
        <f t="shared" si="676"/>
        <v>98.153249153029378</v>
      </c>
      <c r="AJ268" s="484">
        <f t="shared" si="676"/>
        <v>94.524540987640648</v>
      </c>
      <c r="AK268" s="484">
        <f t="shared" si="676"/>
        <v>92.366899002250037</v>
      </c>
      <c r="AL268" s="483">
        <f t="shared" si="676"/>
        <v>89.611384480658955</v>
      </c>
      <c r="AM268" s="484">
        <f t="shared" si="676"/>
        <v>85.279851083729653</v>
      </c>
      <c r="AN268" s="484">
        <f t="shared" si="676"/>
        <v>91.16574000038581</v>
      </c>
      <c r="AO268" s="484">
        <f t="shared" si="676"/>
        <v>91.942622391655235</v>
      </c>
      <c r="AP268" s="484">
        <f t="shared" si="676"/>
        <v>91.149769303595889</v>
      </c>
      <c r="AQ268" s="483">
        <f t="shared" si="676"/>
        <v>88.152358500258202</v>
      </c>
      <c r="AR268" s="484">
        <f t="shared" si="676"/>
        <v>85.848498963228423</v>
      </c>
      <c r="AS268" s="484">
        <f t="shared" si="676"/>
        <v>97.756870210557324</v>
      </c>
      <c r="AT268" s="484">
        <f t="shared" si="676"/>
        <v>96.722030242336587</v>
      </c>
      <c r="AU268" s="484">
        <f t="shared" si="676"/>
        <v>95.989667302035528</v>
      </c>
      <c r="AV268" s="483">
        <f t="shared" si="676"/>
        <v>89.596723922540264</v>
      </c>
      <c r="AW268" s="484">
        <f t="shared" si="676"/>
        <v>85.632923398340978</v>
      </c>
      <c r="AX268" s="484">
        <f t="shared" si="676"/>
        <v>98.057808367387651</v>
      </c>
      <c r="AY268" s="484">
        <f t="shared" si="676"/>
        <v>95.353670872890831</v>
      </c>
      <c r="AZ268" s="484">
        <f t="shared" si="676"/>
        <v>97.187226316565926</v>
      </c>
      <c r="BA268" s="483">
        <f t="shared" si="676"/>
        <v>91.412733491886399</v>
      </c>
      <c r="BB268" s="484">
        <f t="shared" si="676"/>
        <v>94.343662216052962</v>
      </c>
      <c r="BC268" s="484">
        <f t="shared" si="676"/>
        <v>99.325119307487313</v>
      </c>
      <c r="BD268" s="484">
        <f t="shared" si="676"/>
        <v>96.147964795051848</v>
      </c>
      <c r="BE268" s="484">
        <f t="shared" si="676"/>
        <v>87.84069790127495</v>
      </c>
      <c r="BF268" s="483">
        <f t="shared" si="676"/>
        <v>89.83256207898242</v>
      </c>
      <c r="BG268" s="484">
        <f t="shared" si="676"/>
        <v>84.654699919243683</v>
      </c>
      <c r="BH268" s="484">
        <f t="shared" si="676"/>
        <v>92.659351402067841</v>
      </c>
      <c r="BI268" s="484">
        <f t="shared" ref="BI268:CN268" si="677">BI256+BI261-BI266</f>
        <v>92.408053628679539</v>
      </c>
      <c r="BJ268" s="484">
        <f t="shared" si="677"/>
        <v>92.007512822166262</v>
      </c>
      <c r="BK268" s="483">
        <f t="shared" si="677"/>
        <v>87.45375588078457</v>
      </c>
      <c r="BL268" s="484">
        <f t="shared" si="677"/>
        <v>88.730211595658901</v>
      </c>
      <c r="BM268" s="484">
        <f t="shared" si="677"/>
        <v>96.774530193202196</v>
      </c>
      <c r="BN268" s="484">
        <f t="shared" si="677"/>
        <v>96.62934530335157</v>
      </c>
      <c r="BO268" s="484">
        <f t="shared" si="677"/>
        <v>168.41312183293411</v>
      </c>
      <c r="BP268" s="483">
        <f t="shared" si="677"/>
        <v>107.84901161412228</v>
      </c>
      <c r="BQ268" s="484">
        <f t="shared" si="677"/>
        <v>101.59467172932864</v>
      </c>
      <c r="BR268" s="484">
        <f t="shared" si="677"/>
        <v>88.918065509342341</v>
      </c>
      <c r="BS268" s="484">
        <f t="shared" si="677"/>
        <v>102.29716193186631</v>
      </c>
      <c r="BT268" s="484">
        <f t="shared" si="677"/>
        <v>89.264992062305907</v>
      </c>
      <c r="BU268" s="483">
        <f t="shared" si="677"/>
        <v>96.598050050876878</v>
      </c>
      <c r="BV268" s="484">
        <f t="shared" si="677"/>
        <v>92.471818336381347</v>
      </c>
      <c r="BW268" s="484">
        <f t="shared" si="677"/>
        <v>92.49653848772499</v>
      </c>
      <c r="BX268" s="484">
        <f t="shared" si="677"/>
        <v>105.7058625276139</v>
      </c>
      <c r="BY268" s="484">
        <f t="shared" si="677"/>
        <v>104.27022243525218</v>
      </c>
      <c r="BZ268" s="483">
        <f t="shared" si="677"/>
        <v>103.96705518898384</v>
      </c>
      <c r="CA268" s="484">
        <f t="shared" si="677"/>
        <v>115.28954287892887</v>
      </c>
      <c r="CB268" s="484">
        <f t="shared" si="677"/>
        <v>110.45194008180817</v>
      </c>
      <c r="CC268" s="484">
        <f t="shared" si="677"/>
        <v>115.61098565315982</v>
      </c>
      <c r="CD268" s="484">
        <f t="shared" si="677"/>
        <v>103.87614902529512</v>
      </c>
      <c r="CE268" s="483">
        <f t="shared" si="677"/>
        <v>98.616296021341924</v>
      </c>
      <c r="CF268" s="484">
        <f t="shared" si="677"/>
        <v>106.34653079994308</v>
      </c>
      <c r="CG268" s="484">
        <f t="shared" si="677"/>
        <v>97.695851420338954</v>
      </c>
      <c r="CH268" s="484">
        <f t="shared" si="677"/>
        <v>102.88677363022201</v>
      </c>
      <c r="CI268" s="484">
        <f t="shared" si="677"/>
        <v>99.030551831201436</v>
      </c>
      <c r="CJ268" s="483">
        <f t="shared" si="677"/>
        <v>95.325823403864277</v>
      </c>
      <c r="CK268" s="484">
        <f t="shared" si="677"/>
        <v>110.64593306803806</v>
      </c>
      <c r="CL268" s="484">
        <f t="shared" si="677"/>
        <v>98.175161839880872</v>
      </c>
      <c r="CM268" s="484">
        <f t="shared" si="677"/>
        <v>98.49165095471227</v>
      </c>
      <c r="CN268" s="484">
        <f t="shared" si="677"/>
        <v>96.41877348625394</v>
      </c>
      <c r="CO268" s="483">
        <f t="shared" ref="CO268:DD268" si="678">CO256+CO261-CO266</f>
        <v>95.707189895233853</v>
      </c>
      <c r="CP268" s="484">
        <f t="shared" si="678"/>
        <v>98.835568035243483</v>
      </c>
      <c r="CQ268" s="484">
        <f t="shared" si="678"/>
        <v>88.088610272599666</v>
      </c>
      <c r="CR268" s="484">
        <f t="shared" si="678"/>
        <v>100.09211433496674</v>
      </c>
      <c r="CS268" s="484">
        <f t="shared" si="678"/>
        <v>117.59328580954528</v>
      </c>
      <c r="CT268" s="483">
        <f t="shared" si="678"/>
        <v>96.412651535036673</v>
      </c>
      <c r="CU268" s="484">
        <f t="shared" si="678"/>
        <v>108.11530999353351</v>
      </c>
      <c r="CV268" s="484">
        <f t="shared" si="678"/>
        <v>97.901286026594519</v>
      </c>
      <c r="CW268" s="484">
        <f t="shared" si="678"/>
        <v>101.00196560848687</v>
      </c>
      <c r="CX268" s="484">
        <f t="shared" si="678"/>
        <v>113.83080150312304</v>
      </c>
      <c r="CY268" s="483">
        <f t="shared" si="678"/>
        <v>104.59034897411948</v>
      </c>
      <c r="CZ268" s="484">
        <f t="shared" si="678"/>
        <v>109.8921350533964</v>
      </c>
      <c r="DA268" s="484">
        <f t="shared" si="678"/>
        <v>99.129947689525636</v>
      </c>
      <c r="DB268" s="484">
        <f t="shared" si="678"/>
        <v>101.37335056944218</v>
      </c>
      <c r="DC268" s="484">
        <f t="shared" si="678"/>
        <v>114.09703624806392</v>
      </c>
      <c r="DD268" s="483">
        <f t="shared" si="678"/>
        <v>105.39212522497834</v>
      </c>
      <c r="DE268" s="484">
        <f t="shared" ref="DE268:DI268" si="679">DE256+DE261-DE266</f>
        <v>107.90960183866403</v>
      </c>
      <c r="DF268" s="484">
        <f t="shared" si="679"/>
        <v>99.765080347396221</v>
      </c>
      <c r="DG268" s="484">
        <f t="shared" si="679"/>
        <v>103.2993369972699</v>
      </c>
      <c r="DH268" s="484">
        <f t="shared" si="679"/>
        <v>113.10038832128706</v>
      </c>
      <c r="DI268" s="483">
        <f t="shared" si="679"/>
        <v>0</v>
      </c>
    </row>
    <row r="269" spans="1:127" s="4" customFormat="1" ht="12" customHeight="1">
      <c r="A269" s="219"/>
      <c r="B269" s="465"/>
      <c r="C269" s="482"/>
      <c r="D269" s="483"/>
      <c r="E269" s="484"/>
      <c r="F269" s="483"/>
      <c r="G269" s="484"/>
      <c r="H269" s="483"/>
      <c r="I269" s="484"/>
      <c r="J269" s="483"/>
      <c r="K269" s="484"/>
      <c r="L269" s="483"/>
      <c r="M269" s="484"/>
      <c r="N269" s="483"/>
      <c r="O269" s="483"/>
      <c r="P269" s="484"/>
      <c r="Q269" s="483"/>
      <c r="R269" s="484"/>
      <c r="S269" s="484"/>
      <c r="T269" s="484"/>
      <c r="U269" s="484"/>
      <c r="V269" s="483"/>
      <c r="W269" s="484"/>
      <c r="X269" s="484"/>
      <c r="Y269" s="484"/>
      <c r="Z269" s="484"/>
      <c r="AA269" s="483"/>
      <c r="AB269" s="483"/>
      <c r="AC269" s="484"/>
      <c r="AD269" s="484"/>
      <c r="AE269" s="484"/>
      <c r="AF269" s="484"/>
      <c r="AG269" s="483"/>
      <c r="AH269" s="484"/>
      <c r="AI269" s="484"/>
      <c r="AJ269" s="484"/>
      <c r="AK269" s="484"/>
      <c r="AL269" s="483"/>
      <c r="AM269" s="484"/>
      <c r="AN269" s="484"/>
      <c r="AO269" s="484"/>
      <c r="AP269" s="484"/>
      <c r="AQ269" s="483"/>
      <c r="AR269" s="484"/>
      <c r="AS269" s="484"/>
      <c r="AT269" s="484"/>
      <c r="AU269" s="484"/>
      <c r="AV269" s="483"/>
      <c r="AW269" s="484"/>
      <c r="AX269" s="484"/>
      <c r="AY269" s="484"/>
      <c r="AZ269" s="484"/>
      <c r="BA269" s="483"/>
      <c r="BB269" s="484"/>
      <c r="BC269" s="484"/>
      <c r="BD269" s="484"/>
      <c r="BE269" s="484"/>
      <c r="BF269" s="483"/>
      <c r="BG269" s="484"/>
      <c r="BH269" s="484"/>
      <c r="BI269" s="484"/>
      <c r="BJ269" s="484"/>
      <c r="BK269" s="483"/>
      <c r="BL269" s="484"/>
      <c r="BM269" s="484"/>
      <c r="BN269" s="484"/>
      <c r="BO269" s="484"/>
      <c r="BP269" s="483"/>
      <c r="BQ269" s="484"/>
      <c r="BR269" s="484"/>
      <c r="BS269" s="484"/>
      <c r="BT269" s="484"/>
      <c r="BU269" s="483"/>
      <c r="BV269" s="484"/>
      <c r="BW269" s="484"/>
      <c r="BX269" s="484"/>
      <c r="BY269" s="484"/>
      <c r="BZ269" s="483"/>
      <c r="CA269" s="87"/>
      <c r="CB269" s="87"/>
      <c r="CC269" s="87"/>
      <c r="CD269" s="87"/>
      <c r="CE269" s="483"/>
      <c r="CF269" s="484"/>
      <c r="CG269" s="484"/>
      <c r="CH269" s="484"/>
      <c r="CI269" s="484"/>
      <c r="CJ269" s="483"/>
      <c r="CK269" s="484"/>
      <c r="CL269" s="484"/>
      <c r="CM269" s="484"/>
      <c r="CN269" s="484"/>
      <c r="CO269" s="483"/>
      <c r="CP269" s="484"/>
      <c r="CQ269" s="484"/>
      <c r="CR269" s="484"/>
      <c r="CS269" s="484"/>
      <c r="CT269" s="483"/>
      <c r="CU269" s="484"/>
      <c r="CV269" s="484"/>
      <c r="CW269" s="484"/>
      <c r="CX269" s="484"/>
      <c r="CY269" s="483"/>
      <c r="CZ269" s="484"/>
      <c r="DA269" s="484"/>
      <c r="DB269" s="484"/>
      <c r="DC269" s="484"/>
      <c r="DD269" s="483"/>
      <c r="DE269" s="484"/>
      <c r="DF269" s="484"/>
      <c r="DG269" s="484"/>
      <c r="DH269" s="484"/>
      <c r="DI269" s="483"/>
      <c r="DK269" s="5"/>
      <c r="DL269" s="180"/>
      <c r="DM269" s="180"/>
      <c r="DN269" s="180"/>
      <c r="DO269" s="180"/>
      <c r="DP269" s="180"/>
      <c r="DQ269" s="180"/>
      <c r="DR269" s="180"/>
      <c r="DS269" s="180"/>
      <c r="DT269" s="180"/>
      <c r="DU269" s="180"/>
      <c r="DV269" s="180"/>
      <c r="DW269" s="180"/>
    </row>
    <row r="270" spans="1:127" ht="12" customHeight="1">
      <c r="A270" s="219"/>
      <c r="B270" s="449" t="s">
        <v>286</v>
      </c>
      <c r="C270" s="58">
        <f t="shared" ref="C270:Q270" si="680">+C188/C222</f>
        <v>0.14390433690717666</v>
      </c>
      <c r="D270" s="60">
        <f t="shared" si="680"/>
        <v>0.14571755478314521</v>
      </c>
      <c r="E270" s="88">
        <f t="shared" si="680"/>
        <v>0.14619338225288128</v>
      </c>
      <c r="F270" s="60">
        <f t="shared" si="680"/>
        <v>0.13664277820187079</v>
      </c>
      <c r="G270" s="88">
        <f t="shared" si="680"/>
        <v>0.16075418839145755</v>
      </c>
      <c r="H270" s="60">
        <f t="shared" si="680"/>
        <v>0.15008220217519602</v>
      </c>
      <c r="I270" s="88">
        <f t="shared" si="680"/>
        <v>0.13886586475285556</v>
      </c>
      <c r="J270" s="60">
        <f t="shared" si="680"/>
        <v>0.14161914555482846</v>
      </c>
      <c r="K270" s="88">
        <f t="shared" si="680"/>
        <v>0.13332136357329979</v>
      </c>
      <c r="L270" s="60">
        <f t="shared" si="680"/>
        <v>0.13181510513329986</v>
      </c>
      <c r="M270" s="88">
        <f t="shared" si="680"/>
        <v>0.13886418498284842</v>
      </c>
      <c r="N270" s="60">
        <f t="shared" si="680"/>
        <v>0.12997139514513747</v>
      </c>
      <c r="O270" s="60">
        <f t="shared" si="680"/>
        <v>0.13090674826864229</v>
      </c>
      <c r="P270" s="88">
        <f t="shared" si="680"/>
        <v>0.12291341826544501</v>
      </c>
      <c r="Q270" s="60">
        <f t="shared" si="680"/>
        <v>0.10734195855685284</v>
      </c>
      <c r="R270" s="88" t="s">
        <v>126</v>
      </c>
      <c r="S270" s="88" t="s">
        <v>126</v>
      </c>
      <c r="T270" s="88" t="s">
        <v>126</v>
      </c>
      <c r="U270" s="88">
        <f t="shared" ref="U270:AA270" si="681">+U188/U222</f>
        <v>0.13014092608570607</v>
      </c>
      <c r="V270" s="60">
        <f t="shared" si="681"/>
        <v>0.13014092608570607</v>
      </c>
      <c r="W270" s="88">
        <f t="shared" si="681"/>
        <v>0.14273245130466741</v>
      </c>
      <c r="X270" s="88">
        <f t="shared" si="681"/>
        <v>0.13964779096967825</v>
      </c>
      <c r="Y270" s="88">
        <f t="shared" si="681"/>
        <v>0.14327185792349728</v>
      </c>
      <c r="Z270" s="88">
        <f t="shared" si="681"/>
        <v>0.13353779840848806</v>
      </c>
      <c r="AA270" s="60">
        <f t="shared" si="681"/>
        <v>0.13884283819628648</v>
      </c>
      <c r="AB270" s="60"/>
      <c r="AC270" s="88">
        <f t="shared" ref="AC270:BH270" si="682">+AC188/AC222</f>
        <v>0.13910525671873089</v>
      </c>
      <c r="AD270" s="88">
        <f t="shared" si="682"/>
        <v>0.13408769448373409</v>
      </c>
      <c r="AE270" s="88">
        <f t="shared" si="682"/>
        <v>0.13270349996013714</v>
      </c>
      <c r="AF270" s="88">
        <f t="shared" si="682"/>
        <v>0.1356615177971793</v>
      </c>
      <c r="AG270" s="60">
        <f t="shared" si="682"/>
        <v>0.1356615177971793</v>
      </c>
      <c r="AH270" s="88">
        <f t="shared" si="682"/>
        <v>0.13452150329329718</v>
      </c>
      <c r="AI270" s="88">
        <f t="shared" si="682"/>
        <v>0.14056912424864948</v>
      </c>
      <c r="AJ270" s="88">
        <f t="shared" si="682"/>
        <v>0.14129511285139079</v>
      </c>
      <c r="AK270" s="88">
        <f t="shared" si="682"/>
        <v>0.14198352458721536</v>
      </c>
      <c r="AL270" s="60">
        <f t="shared" si="682"/>
        <v>0.14198352458721536</v>
      </c>
      <c r="AM270" s="88">
        <f t="shared" si="682"/>
        <v>0.13988198542172856</v>
      </c>
      <c r="AN270" s="88">
        <f t="shared" si="682"/>
        <v>0.13945361067240164</v>
      </c>
      <c r="AO270" s="88">
        <f t="shared" si="682"/>
        <v>0.14037755810493602</v>
      </c>
      <c r="AP270" s="88">
        <f t="shared" si="682"/>
        <v>0.14172739452959054</v>
      </c>
      <c r="AQ270" s="60">
        <f t="shared" si="682"/>
        <v>0.14172739452959054</v>
      </c>
      <c r="AR270" s="88">
        <f t="shared" si="682"/>
        <v>0.14223568459381949</v>
      </c>
      <c r="AS270" s="88">
        <f t="shared" si="682"/>
        <v>0.14678196496378315</v>
      </c>
      <c r="AT270" s="88">
        <f t="shared" si="682"/>
        <v>0.14383754818087807</v>
      </c>
      <c r="AU270" s="88">
        <f t="shared" si="682"/>
        <v>0.14943167778601432</v>
      </c>
      <c r="AV270" s="60">
        <f t="shared" si="682"/>
        <v>0.14943167778601432</v>
      </c>
      <c r="AW270" s="88">
        <f t="shared" si="682"/>
        <v>0.14826030342488569</v>
      </c>
      <c r="AX270" s="88">
        <f t="shared" si="682"/>
        <v>0.15016260405167528</v>
      </c>
      <c r="AY270" s="88">
        <f t="shared" si="682"/>
        <v>0.14541380428693576</v>
      </c>
      <c r="AZ270" s="88">
        <f t="shared" si="682"/>
        <v>0.14716157205240174</v>
      </c>
      <c r="BA270" s="60">
        <f t="shared" si="682"/>
        <v>0.14716157205240174</v>
      </c>
      <c r="BB270" s="88">
        <f t="shared" si="682"/>
        <v>0.15166331965423907</v>
      </c>
      <c r="BC270" s="88">
        <f t="shared" si="682"/>
        <v>0.15334120289062275</v>
      </c>
      <c r="BD270" s="88">
        <f t="shared" si="682"/>
        <v>0.15207595295451326</v>
      </c>
      <c r="BE270" s="88">
        <f t="shared" si="682"/>
        <v>0.14454488007253344</v>
      </c>
      <c r="BF270" s="60">
        <f t="shared" si="682"/>
        <v>0.14454488007253344</v>
      </c>
      <c r="BG270" s="88">
        <f t="shared" si="682"/>
        <v>0.1402280348759222</v>
      </c>
      <c r="BH270" s="88">
        <f t="shared" si="682"/>
        <v>0.14143588397427484</v>
      </c>
      <c r="BI270" s="88">
        <f t="shared" ref="BI270:CN270" si="683">+BI188/BI222</f>
        <v>0.13984298331697742</v>
      </c>
      <c r="BJ270" s="88">
        <f t="shared" si="683"/>
        <v>0.14372267811948769</v>
      </c>
      <c r="BK270" s="60">
        <f t="shared" si="683"/>
        <v>0.14372267811948769</v>
      </c>
      <c r="BL270" s="88">
        <f t="shared" si="683"/>
        <v>0.14650129302769338</v>
      </c>
      <c r="BM270" s="88">
        <f t="shared" si="683"/>
        <v>0.15200706211225815</v>
      </c>
      <c r="BN270" s="88">
        <f t="shared" si="683"/>
        <v>0.14069389930706983</v>
      </c>
      <c r="BO270" s="88">
        <f t="shared" si="683"/>
        <v>0.19696281046974842</v>
      </c>
      <c r="BP270" s="60">
        <f t="shared" si="683"/>
        <v>0.19696281046974842</v>
      </c>
      <c r="BQ270" s="88">
        <f t="shared" si="683"/>
        <v>0.17958057690762513</v>
      </c>
      <c r="BR270" s="88">
        <f t="shared" si="683"/>
        <v>0.1591990380090971</v>
      </c>
      <c r="BS270" s="88">
        <f t="shared" si="683"/>
        <v>0.17381255356169009</v>
      </c>
      <c r="BT270" s="88">
        <f t="shared" si="683"/>
        <v>0.15389105932013111</v>
      </c>
      <c r="BU270" s="60">
        <f t="shared" si="683"/>
        <v>0.15389105932013111</v>
      </c>
      <c r="BV270" s="88">
        <f t="shared" si="683"/>
        <v>0.14502511257360581</v>
      </c>
      <c r="BW270" s="88">
        <f t="shared" si="683"/>
        <v>0.14050015116831513</v>
      </c>
      <c r="BX270" s="88">
        <f t="shared" si="683"/>
        <v>0.1644596326356258</v>
      </c>
      <c r="BY270" s="88">
        <f t="shared" si="683"/>
        <v>0.18026118604153285</v>
      </c>
      <c r="BZ270" s="60">
        <f t="shared" si="683"/>
        <v>0.18026118604153285</v>
      </c>
      <c r="CA270" s="88">
        <f t="shared" si="683"/>
        <v>0.20492481282741945</v>
      </c>
      <c r="CB270" s="88">
        <f t="shared" si="683"/>
        <v>0.18991182519803693</v>
      </c>
      <c r="CC270" s="88">
        <f t="shared" si="683"/>
        <v>0.17589776004424604</v>
      </c>
      <c r="CD270" s="88">
        <f t="shared" si="683"/>
        <v>0.16506238163109904</v>
      </c>
      <c r="CE270" s="60">
        <f t="shared" si="683"/>
        <v>0.16506238163109904</v>
      </c>
      <c r="CF270" s="88">
        <f t="shared" si="683"/>
        <v>0.16899492898638016</v>
      </c>
      <c r="CG270" s="88">
        <f t="shared" si="683"/>
        <v>0.15480578945326143</v>
      </c>
      <c r="CH270" s="88">
        <f t="shared" si="683"/>
        <v>0.14978383513309165</v>
      </c>
      <c r="CI270" s="88">
        <f t="shared" si="683"/>
        <v>0.14639227444414157</v>
      </c>
      <c r="CJ270" s="60">
        <f t="shared" si="683"/>
        <v>0.14639227444414157</v>
      </c>
      <c r="CK270" s="88">
        <f t="shared" si="683"/>
        <v>0.16502039510517474</v>
      </c>
      <c r="CL270" s="88">
        <f t="shared" si="683"/>
        <v>0.16295071256482502</v>
      </c>
      <c r="CM270" s="88">
        <f t="shared" si="683"/>
        <v>0.15766029528629386</v>
      </c>
      <c r="CN270" s="88">
        <f t="shared" si="683"/>
        <v>0.16171802457405687</v>
      </c>
      <c r="CO270" s="60">
        <f t="shared" ref="CO270:DD270" si="684">+CO188/CO222</f>
        <v>0.16171802457405687</v>
      </c>
      <c r="CP270" s="88">
        <f t="shared" si="684"/>
        <v>0.17472006890611541</v>
      </c>
      <c r="CQ270" s="88">
        <f t="shared" si="684"/>
        <v>0.16610409992905209</v>
      </c>
      <c r="CR270" s="88">
        <f t="shared" si="684"/>
        <v>0.16093115233325453</v>
      </c>
      <c r="CS270" s="88">
        <f t="shared" si="684"/>
        <v>0.16166645114013536</v>
      </c>
      <c r="CT270" s="60">
        <f t="shared" si="684"/>
        <v>0.16166645114013536</v>
      </c>
      <c r="CU270" s="88">
        <f t="shared" si="684"/>
        <v>0.1709703427687346</v>
      </c>
      <c r="CV270" s="88">
        <f t="shared" si="684"/>
        <v>0.16312530707480224</v>
      </c>
      <c r="CW270" s="88">
        <f t="shared" si="684"/>
        <v>0.15743329429321176</v>
      </c>
      <c r="CX270" s="88">
        <f t="shared" si="684"/>
        <v>0.17036511386731795</v>
      </c>
      <c r="CY270" s="60">
        <f t="shared" si="684"/>
        <v>0.17036511386731795</v>
      </c>
      <c r="CZ270" s="88">
        <f t="shared" si="684"/>
        <v>0.18099648587745717</v>
      </c>
      <c r="DA270" s="88">
        <f t="shared" si="684"/>
        <v>0.17338203482406386</v>
      </c>
      <c r="DB270" s="88">
        <f t="shared" si="684"/>
        <v>0.16726938288190948</v>
      </c>
      <c r="DC270" s="88">
        <f t="shared" si="684"/>
        <v>0.17396319634905746</v>
      </c>
      <c r="DD270" s="60">
        <f t="shared" si="684"/>
        <v>0.17396319634905746</v>
      </c>
      <c r="DE270" s="88">
        <f t="shared" ref="DE270:DI270" si="685">+DE188/DE222</f>
        <v>0.18384801025966455</v>
      </c>
      <c r="DF270" s="88">
        <f t="shared" si="685"/>
        <v>0.17578514213056737</v>
      </c>
      <c r="DG270" s="88">
        <f t="shared" si="685"/>
        <v>0.16946643359631855</v>
      </c>
      <c r="DH270" s="88">
        <f t="shared" si="685"/>
        <v>0.17589344095544976</v>
      </c>
      <c r="DI270" s="60">
        <f t="shared" si="685"/>
        <v>0.17589344095544976</v>
      </c>
      <c r="DL270" s="180"/>
      <c r="DM270" s="180"/>
      <c r="DN270" s="180"/>
      <c r="DO270" s="180"/>
      <c r="DP270" s="180"/>
      <c r="DQ270" s="180"/>
      <c r="DR270" s="180"/>
      <c r="DS270" s="180"/>
      <c r="DT270" s="180"/>
      <c r="DU270" s="180"/>
      <c r="DV270" s="180"/>
      <c r="DW270" s="180"/>
    </row>
    <row r="271" spans="1:127" s="4" customFormat="1" ht="12" customHeight="1">
      <c r="A271" s="219"/>
      <c r="B271" s="449" t="s">
        <v>215</v>
      </c>
      <c r="C271" s="217" t="s">
        <v>126</v>
      </c>
      <c r="D271" s="220">
        <f t="shared" ref="D271:Q271" si="686">+(D270-C270)*100*100</f>
        <v>18.132178759685537</v>
      </c>
      <c r="E271" s="202">
        <f t="shared" si="686"/>
        <v>4.758274697360676</v>
      </c>
      <c r="F271" s="220">
        <f t="shared" si="686"/>
        <v>-95.506040510104924</v>
      </c>
      <c r="G271" s="184">
        <f t="shared" si="686"/>
        <v>241.11410189586761</v>
      </c>
      <c r="H271" s="220">
        <f t="shared" si="686"/>
        <v>-106.71986216261531</v>
      </c>
      <c r="I271" s="184">
        <f t="shared" si="686"/>
        <v>-112.16337422340462</v>
      </c>
      <c r="J271" s="220">
        <f t="shared" si="686"/>
        <v>27.532808019729018</v>
      </c>
      <c r="K271" s="184">
        <f t="shared" si="686"/>
        <v>-82.977819815286679</v>
      </c>
      <c r="L271" s="220">
        <f t="shared" si="686"/>
        <v>-15.062584399999357</v>
      </c>
      <c r="M271" s="185">
        <f t="shared" si="686"/>
        <v>70.490798495485564</v>
      </c>
      <c r="N271" s="220">
        <f t="shared" si="686"/>
        <v>-88.9278983771094</v>
      </c>
      <c r="O271" s="202">
        <f t="shared" si="686"/>
        <v>9.3535312350481732</v>
      </c>
      <c r="P271" s="220">
        <f t="shared" si="686"/>
        <v>-79.933300031972834</v>
      </c>
      <c r="Q271" s="220">
        <f t="shared" si="686"/>
        <v>-155.71459708592167</v>
      </c>
      <c r="R271" s="217" t="s">
        <v>126</v>
      </c>
      <c r="S271" s="217" t="s">
        <v>126</v>
      </c>
      <c r="T271" s="217" t="s">
        <v>126</v>
      </c>
      <c r="U271" s="217" t="s">
        <v>126</v>
      </c>
      <c r="V271" s="220">
        <f>+(V270-Q270)*100*100</f>
        <v>227.98967528853228</v>
      </c>
      <c r="W271" s="485" t="s">
        <v>126</v>
      </c>
      <c r="X271" s="485" t="s">
        <v>126</v>
      </c>
      <c r="Y271" s="485" t="s">
        <v>126</v>
      </c>
      <c r="Z271" s="185">
        <f>+(Z270-U270)*100*100</f>
        <v>33.968723227819908</v>
      </c>
      <c r="AA271" s="185">
        <f>+(AA270-V270)*100*100</f>
        <v>87.019121105804118</v>
      </c>
      <c r="AB271" s="112"/>
      <c r="AC271" s="202">
        <f>+(AC270-W270)*100*100</f>
        <v>-36.271945859365218</v>
      </c>
      <c r="AD271" s="184">
        <f>+(AD270-X270)*100*100</f>
        <v>-55.600964859441603</v>
      </c>
      <c r="AE271" s="184">
        <f>+(AE270-Y270)*100*100</f>
        <v>-105.68357963360143</v>
      </c>
      <c r="AF271" s="184">
        <f>+(AF270-Z270)*100*100</f>
        <v>21.237193886912419</v>
      </c>
      <c r="AG271" s="220">
        <f>+(AG270-AA270)*100*100</f>
        <v>-31.813203991071791</v>
      </c>
      <c r="AH271" s="184">
        <f t="shared" ref="AH271:BM271" si="687">+(AH270-AC270)*100*100</f>
        <v>-45.837534254337122</v>
      </c>
      <c r="AI271" s="184">
        <f t="shared" si="687"/>
        <v>64.814297649153914</v>
      </c>
      <c r="AJ271" s="184">
        <f t="shared" si="687"/>
        <v>85.916128912536522</v>
      </c>
      <c r="AK271" s="185">
        <f t="shared" si="687"/>
        <v>63.220067900360554</v>
      </c>
      <c r="AL271" s="185">
        <f t="shared" si="687"/>
        <v>63.220067900360554</v>
      </c>
      <c r="AM271" s="202">
        <f t="shared" si="687"/>
        <v>53.604821284313765</v>
      </c>
      <c r="AN271" s="184">
        <f t="shared" si="687"/>
        <v>-11.155135762478396</v>
      </c>
      <c r="AO271" s="184">
        <f t="shared" si="687"/>
        <v>-9.1755474645477406</v>
      </c>
      <c r="AP271" s="184">
        <f t="shared" si="687"/>
        <v>-2.5613005762481489</v>
      </c>
      <c r="AQ271" s="220">
        <f t="shared" si="687"/>
        <v>-2.5613005762481489</v>
      </c>
      <c r="AR271" s="184">
        <f t="shared" si="687"/>
        <v>23.536991720909395</v>
      </c>
      <c r="AS271" s="184">
        <f t="shared" si="687"/>
        <v>73.283542913815111</v>
      </c>
      <c r="AT271" s="184">
        <f t="shared" si="687"/>
        <v>34.599900759420542</v>
      </c>
      <c r="AU271" s="184">
        <f t="shared" si="687"/>
        <v>77.04283256423777</v>
      </c>
      <c r="AV271" s="220">
        <f t="shared" si="687"/>
        <v>77.04283256423777</v>
      </c>
      <c r="AW271" s="184">
        <f t="shared" si="687"/>
        <v>60.246188310661978</v>
      </c>
      <c r="AX271" s="184">
        <f t="shared" si="687"/>
        <v>33.806390878921292</v>
      </c>
      <c r="AY271" s="184">
        <f t="shared" si="687"/>
        <v>15.762561060576886</v>
      </c>
      <c r="AZ271" s="184">
        <f t="shared" si="687"/>
        <v>-22.701057336125817</v>
      </c>
      <c r="BA271" s="220">
        <f t="shared" si="687"/>
        <v>-22.701057336125817</v>
      </c>
      <c r="BB271" s="184">
        <f t="shared" si="687"/>
        <v>34.030162293533785</v>
      </c>
      <c r="BC271" s="184">
        <f t="shared" si="687"/>
        <v>31.785988389474717</v>
      </c>
      <c r="BD271" s="184">
        <f t="shared" si="687"/>
        <v>66.621486675775003</v>
      </c>
      <c r="BE271" s="184">
        <f t="shared" si="687"/>
        <v>-26.166919798683018</v>
      </c>
      <c r="BF271" s="220">
        <f t="shared" si="687"/>
        <v>-26.166919798683018</v>
      </c>
      <c r="BG271" s="184">
        <f t="shared" si="687"/>
        <v>-114.35284778316874</v>
      </c>
      <c r="BH271" s="184">
        <f t="shared" si="687"/>
        <v>-119.05318916347913</v>
      </c>
      <c r="BI271" s="184">
        <f t="shared" si="687"/>
        <v>-122.3296963753584</v>
      </c>
      <c r="BJ271" s="184">
        <f t="shared" si="687"/>
        <v>-8.2220195304574801</v>
      </c>
      <c r="BK271" s="220">
        <f t="shared" si="687"/>
        <v>-8.2220195304574801</v>
      </c>
      <c r="BL271" s="184">
        <f t="shared" si="687"/>
        <v>62.732581517711829</v>
      </c>
      <c r="BM271" s="184">
        <f t="shared" si="687"/>
        <v>105.71178137983306</v>
      </c>
      <c r="BN271" s="184">
        <f t="shared" ref="BN271:CS271" si="688">+(BN270-BI270)*100*100</f>
        <v>8.5091599009240468</v>
      </c>
      <c r="BO271" s="185">
        <f t="shared" si="688"/>
        <v>532.40132350260728</v>
      </c>
      <c r="BP271" s="185">
        <f t="shared" si="688"/>
        <v>532.40132350260728</v>
      </c>
      <c r="BQ271" s="184">
        <f t="shared" si="688"/>
        <v>330.79283879931751</v>
      </c>
      <c r="BR271" s="184">
        <f t="shared" si="688"/>
        <v>71.91975896838953</v>
      </c>
      <c r="BS271" s="184">
        <f t="shared" si="688"/>
        <v>331.18654254620265</v>
      </c>
      <c r="BT271" s="185">
        <f t="shared" si="688"/>
        <v>-430.71751149617307</v>
      </c>
      <c r="BU271" s="185">
        <f t="shared" si="688"/>
        <v>-430.71751149617307</v>
      </c>
      <c r="BV271" s="184">
        <f t="shared" si="688"/>
        <v>-345.55464334019319</v>
      </c>
      <c r="BW271" s="184">
        <f t="shared" si="688"/>
        <v>-186.98886840781969</v>
      </c>
      <c r="BX271" s="184">
        <f t="shared" si="688"/>
        <v>-93.529209260642958</v>
      </c>
      <c r="BY271" s="185">
        <f t="shared" si="688"/>
        <v>263.70126721401738</v>
      </c>
      <c r="BZ271" s="185">
        <f t="shared" si="688"/>
        <v>263.70126721401738</v>
      </c>
      <c r="CA271" s="184">
        <f t="shared" si="688"/>
        <v>598.99700253813637</v>
      </c>
      <c r="CB271" s="184">
        <f t="shared" si="688"/>
        <v>494.11674029721803</v>
      </c>
      <c r="CC271" s="184">
        <f t="shared" si="688"/>
        <v>114.38127408620242</v>
      </c>
      <c r="CD271" s="185">
        <f t="shared" si="688"/>
        <v>-151.98804410433809</v>
      </c>
      <c r="CE271" s="185">
        <f t="shared" si="688"/>
        <v>-151.98804410433809</v>
      </c>
      <c r="CF271" s="184">
        <f t="shared" si="688"/>
        <v>-359.29883841039293</v>
      </c>
      <c r="CG271" s="184">
        <f t="shared" si="688"/>
        <v>-351.060357447755</v>
      </c>
      <c r="CH271" s="184">
        <f t="shared" si="688"/>
        <v>-261.13924911154385</v>
      </c>
      <c r="CI271" s="185">
        <f t="shared" si="688"/>
        <v>-186.70107186957469</v>
      </c>
      <c r="CJ271" s="185">
        <f t="shared" si="688"/>
        <v>-186.70107186957469</v>
      </c>
      <c r="CK271" s="184">
        <f t="shared" si="688"/>
        <v>-39.745338812054165</v>
      </c>
      <c r="CL271" s="184">
        <f>+(CL270-CG270)*100*100</f>
        <v>81.449231115635897</v>
      </c>
      <c r="CM271" s="184">
        <f t="shared" si="688"/>
        <v>78.764601532022027</v>
      </c>
      <c r="CN271" s="185">
        <f t="shared" si="688"/>
        <v>153.25750129915301</v>
      </c>
      <c r="CO271" s="185">
        <f t="shared" si="688"/>
        <v>153.25750129915301</v>
      </c>
      <c r="CP271" s="184">
        <f t="shared" si="688"/>
        <v>96.99673800940667</v>
      </c>
      <c r="CQ271" s="184">
        <f>+(CQ270-CL270)*100*100</f>
        <v>31.533873642270727</v>
      </c>
      <c r="CR271" s="184">
        <f t="shared" si="688"/>
        <v>32.708570469606734</v>
      </c>
      <c r="CS271" s="185">
        <f t="shared" si="688"/>
        <v>-0.51573433921509038</v>
      </c>
      <c r="CT271" s="185">
        <f t="shared" ref="CT271:DD271" si="689">+(CT270-CO270)*100*100</f>
        <v>-0.51573433921509038</v>
      </c>
      <c r="CU271" s="184">
        <f t="shared" si="689"/>
        <v>-37.497261373808101</v>
      </c>
      <c r="CV271" s="184">
        <f t="shared" si="689"/>
        <v>-29.787928542498456</v>
      </c>
      <c r="CW271" s="184">
        <f t="shared" si="689"/>
        <v>-34.978580400427674</v>
      </c>
      <c r="CX271" s="185">
        <f t="shared" si="689"/>
        <v>86.986627271825881</v>
      </c>
      <c r="CY271" s="185">
        <f t="shared" si="689"/>
        <v>86.986627271825881</v>
      </c>
      <c r="CZ271" s="184">
        <f t="shared" si="689"/>
        <v>100.26143108722574</v>
      </c>
      <c r="DA271" s="184">
        <f t="shared" si="689"/>
        <v>102.56727749261618</v>
      </c>
      <c r="DB271" s="184">
        <f t="shared" si="689"/>
        <v>98.360885886977229</v>
      </c>
      <c r="DC271" s="185">
        <f t="shared" si="689"/>
        <v>35.980824817395117</v>
      </c>
      <c r="DD271" s="185">
        <f t="shared" si="689"/>
        <v>35.980824817395117</v>
      </c>
      <c r="DE271" s="184">
        <f t="shared" ref="DE271" si="690">+(DE270-CZ270)*100*100</f>
        <v>28.51524382207371</v>
      </c>
      <c r="DF271" s="184">
        <f t="shared" ref="DF271" si="691">+(DF270-DA270)*100*100</f>
        <v>24.031073065035045</v>
      </c>
      <c r="DG271" s="184">
        <f t="shared" ref="DG271" si="692">+(DG270-DB270)*100*100</f>
        <v>21.970507144090657</v>
      </c>
      <c r="DH271" s="185">
        <f t="shared" ref="DH271" si="693">+(DH270-DC270)*100*100</f>
        <v>19.30244606392295</v>
      </c>
      <c r="DI271" s="185">
        <f t="shared" ref="DI271" si="694">+(DI270-DD270)*100*100</f>
        <v>19.30244606392295</v>
      </c>
      <c r="DL271" s="5"/>
      <c r="DM271" s="5"/>
      <c r="DN271" s="5"/>
      <c r="DO271" s="5"/>
    </row>
    <row r="272" spans="1:127" s="4" customFormat="1" ht="12" customHeight="1">
      <c r="A272" s="219"/>
      <c r="B272" s="449" t="s">
        <v>284</v>
      </c>
      <c r="C272" s="52" t="s">
        <v>126</v>
      </c>
      <c r="D272" s="232" t="s">
        <v>126</v>
      </c>
      <c r="E272" s="52">
        <f t="shared" ref="E272:Q272" si="695">+E188/D188-1</f>
        <v>4.3297675252494949E-2</v>
      </c>
      <c r="F272" s="112">
        <f t="shared" si="695"/>
        <v>-0.14127165974509526</v>
      </c>
      <c r="G272" s="52">
        <f t="shared" si="695"/>
        <v>0.20570332694071536</v>
      </c>
      <c r="H272" s="112">
        <f t="shared" si="695"/>
        <v>-1.5145228215767692E-2</v>
      </c>
      <c r="I272" s="52">
        <f t="shared" si="695"/>
        <v>-3.5320553331928961E-2</v>
      </c>
      <c r="J272" s="112">
        <f t="shared" si="695"/>
        <v>0.10270781773183879</v>
      </c>
      <c r="K272" s="52">
        <f t="shared" si="695"/>
        <v>7.8355006931150495E-2</v>
      </c>
      <c r="L272" s="112">
        <f t="shared" si="695"/>
        <v>0.10865572967678738</v>
      </c>
      <c r="M272" s="52">
        <f t="shared" si="695"/>
        <v>0.14665120644911922</v>
      </c>
      <c r="N272" s="112">
        <f t="shared" si="695"/>
        <v>2.1765300717484504E-2</v>
      </c>
      <c r="O272" s="112">
        <f t="shared" si="695"/>
        <v>0.14915877279796419</v>
      </c>
      <c r="P272" s="52">
        <f t="shared" si="695"/>
        <v>-3.33825459317586E-2</v>
      </c>
      <c r="Q272" s="112">
        <f t="shared" si="695"/>
        <v>-0.13406873143826903</v>
      </c>
      <c r="R272" s="378" t="s">
        <v>126</v>
      </c>
      <c r="S272" s="378" t="s">
        <v>126</v>
      </c>
      <c r="T272" s="378" t="s">
        <v>126</v>
      </c>
      <c r="U272" s="378" t="s">
        <v>126</v>
      </c>
      <c r="V272" s="112">
        <f t="shared" ref="V272:AA272" si="696">+V188/Q188-1</f>
        <v>0.33023027927486526</v>
      </c>
      <c r="W272" s="52">
        <f t="shared" si="696"/>
        <v>0.40588235294117636</v>
      </c>
      <c r="X272" s="52">
        <f t="shared" si="696"/>
        <v>0.34752981260647364</v>
      </c>
      <c r="Y272" s="52">
        <f t="shared" si="696"/>
        <v>0.32334384858044163</v>
      </c>
      <c r="Z272" s="52">
        <f t="shared" si="696"/>
        <v>0.18674033149171265</v>
      </c>
      <c r="AA272" s="112">
        <f t="shared" si="696"/>
        <v>0.2338858195211786</v>
      </c>
      <c r="AB272" s="379"/>
      <c r="AC272" s="52">
        <f>+AC188/W188-1</f>
        <v>9.784357901512708E-2</v>
      </c>
      <c r="AD272" s="52">
        <f>+AD188/X188-1</f>
        <v>4.8672566371681381E-2</v>
      </c>
      <c r="AE272" s="52">
        <f>+AE188/Y188-1</f>
        <v>-8.0452920143027074E-3</v>
      </c>
      <c r="AF272" s="52">
        <f>+AF188/Z188-1</f>
        <v>6.5797641216635672E-2</v>
      </c>
      <c r="AG272" s="112">
        <f>+AG188/AA188-1</f>
        <v>2.5074626865671634E-2</v>
      </c>
      <c r="AH272" s="52">
        <f t="shared" ref="AH272:BM272" si="697">+AH188/AC188-1</f>
        <v>1.788331867487547E-2</v>
      </c>
      <c r="AI272" s="52">
        <f t="shared" si="697"/>
        <v>0.11362266425557555</v>
      </c>
      <c r="AJ272" s="52">
        <f t="shared" si="697"/>
        <v>0.14899369179933908</v>
      </c>
      <c r="AK272" s="52">
        <f t="shared" si="697"/>
        <v>0.14938846825859065</v>
      </c>
      <c r="AL272" s="112">
        <f t="shared" si="697"/>
        <v>0.14938846825859065</v>
      </c>
      <c r="AM272" s="52">
        <f t="shared" si="697"/>
        <v>0.16071428571428581</v>
      </c>
      <c r="AN272" s="52">
        <f t="shared" si="697"/>
        <v>0.12313937753721249</v>
      </c>
      <c r="AO272" s="52">
        <f t="shared" si="697"/>
        <v>0.11006535947712415</v>
      </c>
      <c r="AP272" s="52">
        <f t="shared" si="697"/>
        <v>9.8809222194071511E-2</v>
      </c>
      <c r="AQ272" s="112">
        <f t="shared" si="697"/>
        <v>9.8809222194071511E-2</v>
      </c>
      <c r="AR272" s="52">
        <f t="shared" si="697"/>
        <v>9.5285359801488889E-2</v>
      </c>
      <c r="AS272" s="52">
        <f t="shared" si="697"/>
        <v>0.10843373493975905</v>
      </c>
      <c r="AT272" s="52">
        <f t="shared" si="697"/>
        <v>8.10174281676872E-2</v>
      </c>
      <c r="AU272" s="52">
        <f t="shared" si="697"/>
        <v>0.11551763892091316</v>
      </c>
      <c r="AV272" s="112">
        <f t="shared" si="697"/>
        <v>0.11551763892091316</v>
      </c>
      <c r="AW272" s="52">
        <f t="shared" si="697"/>
        <v>0.10919800634345256</v>
      </c>
      <c r="AX272" s="52">
        <f t="shared" si="697"/>
        <v>9.413043478260863E-2</v>
      </c>
      <c r="AY272" s="52">
        <f t="shared" si="697"/>
        <v>7.4509803921568585E-2</v>
      </c>
      <c r="AZ272" s="52">
        <f t="shared" si="697"/>
        <v>4.4853245142620901E-2</v>
      </c>
      <c r="BA272" s="112">
        <f t="shared" si="697"/>
        <v>4.4853245142620901E-2</v>
      </c>
      <c r="BB272" s="52">
        <f t="shared" si="697"/>
        <v>6.4338235294117752E-2</v>
      </c>
      <c r="BC272" s="52">
        <f t="shared" si="697"/>
        <v>5.821577587919724E-2</v>
      </c>
      <c r="BD272" s="52">
        <f t="shared" si="697"/>
        <v>8.799675587996747E-2</v>
      </c>
      <c r="BE272" s="52">
        <f t="shared" si="697"/>
        <v>4.0751730959446064E-2</v>
      </c>
      <c r="BF272" s="112">
        <f t="shared" si="697"/>
        <v>4.0751730959446064E-2</v>
      </c>
      <c r="BG272" s="52">
        <f t="shared" si="697"/>
        <v>3.0704279408941826E-3</v>
      </c>
      <c r="BH272" s="52">
        <f t="shared" si="697"/>
        <v>1.1641006383777741E-2</v>
      </c>
      <c r="BI272" s="52">
        <f t="shared" si="697"/>
        <v>9.1315691390234655E-3</v>
      </c>
      <c r="BJ272" s="52">
        <f t="shared" si="697"/>
        <v>6.8618133434708239E-2</v>
      </c>
      <c r="BK272" s="112">
        <f t="shared" si="697"/>
        <v>6.8618133434708239E-2</v>
      </c>
      <c r="BL272" s="52">
        <f t="shared" si="697"/>
        <v>0.11631911230151148</v>
      </c>
      <c r="BM272" s="52">
        <f t="shared" si="697"/>
        <v>0.15051967334818106</v>
      </c>
      <c r="BN272" s="52">
        <f t="shared" ref="BN272:CS272" si="698">+BN188/BI188-1</f>
        <v>7.2391505078485796E-2</v>
      </c>
      <c r="BO272" s="52">
        <f t="shared" si="698"/>
        <v>0.31038776236214871</v>
      </c>
      <c r="BP272" s="112">
        <f t="shared" si="698"/>
        <v>0.31038776236214871</v>
      </c>
      <c r="BQ272" s="52">
        <f t="shared" si="698"/>
        <v>0.14910025706940866</v>
      </c>
      <c r="BR272" s="52">
        <f t="shared" si="698"/>
        <v>-1.7583481206646212E-2</v>
      </c>
      <c r="BS272" s="52">
        <f t="shared" si="698"/>
        <v>0.15257447907697608</v>
      </c>
      <c r="BT272" s="52">
        <f t="shared" si="698"/>
        <v>-6.963485815121484E-2</v>
      </c>
      <c r="BU272" s="112">
        <f t="shared" si="698"/>
        <v>-6.963485815121484E-2</v>
      </c>
      <c r="BV272" s="52">
        <f t="shared" si="698"/>
        <v>-8.9485458612970081E-4</v>
      </c>
      <c r="BW272" s="52">
        <f t="shared" si="698"/>
        <v>6.8308702791461506E-2</v>
      </c>
      <c r="BX272" s="52">
        <f t="shared" si="698"/>
        <v>0.15045569998505903</v>
      </c>
      <c r="BY272" s="52">
        <f t="shared" si="698"/>
        <v>0.22847971987160776</v>
      </c>
      <c r="BZ272" s="112">
        <f t="shared" si="698"/>
        <v>0.22847971987160776</v>
      </c>
      <c r="CA272" s="52">
        <f t="shared" si="698"/>
        <v>0.44230482161516638</v>
      </c>
      <c r="CB272" s="52">
        <f t="shared" si="698"/>
        <v>0.43344604980018442</v>
      </c>
      <c r="CC272" s="52">
        <f t="shared" si="698"/>
        <v>0.15649350649350646</v>
      </c>
      <c r="CD272" s="52">
        <f t="shared" si="698"/>
        <v>4.0380047505939043E-3</v>
      </c>
      <c r="CE272" s="112">
        <f t="shared" si="698"/>
        <v>4.0380047505939043E-3</v>
      </c>
      <c r="CF272" s="52">
        <f t="shared" si="698"/>
        <v>-9.9772303870834245E-2</v>
      </c>
      <c r="CG272" s="52">
        <f t="shared" si="698"/>
        <v>-0.14443491314604329</v>
      </c>
      <c r="CH272" s="52">
        <f t="shared" si="698"/>
        <v>-0.13239752947782146</v>
      </c>
      <c r="CI272" s="52">
        <f t="shared" si="698"/>
        <v>-0.11059853323870361</v>
      </c>
      <c r="CJ272" s="112">
        <f t="shared" si="698"/>
        <v>-0.11059853323870361</v>
      </c>
      <c r="CK272" s="52">
        <f t="shared" si="698"/>
        <v>-5.1161186479650511E-2</v>
      </c>
      <c r="CL272" s="52">
        <f>+CL188/CG188-1</f>
        <v>2.5065797719014959E-4</v>
      </c>
      <c r="CM272" s="52">
        <f t="shared" si="698"/>
        <v>-2.4203986538959388E-2</v>
      </c>
      <c r="CN272" s="52">
        <f t="shared" si="698"/>
        <v>-3.9898922729085795E-3</v>
      </c>
      <c r="CO272" s="112">
        <f t="shared" si="698"/>
        <v>-3.9898922729085795E-3</v>
      </c>
      <c r="CP272" s="52">
        <f t="shared" si="698"/>
        <v>-1.6842360353810704E-2</v>
      </c>
      <c r="CQ272" s="52">
        <f>+CQ188/CL188-1</f>
        <v>-3.1950883347951375E-2</v>
      </c>
      <c r="CR272" s="52">
        <f t="shared" si="698"/>
        <v>-6.8974665074943431E-3</v>
      </c>
      <c r="CS272" s="52">
        <f t="shared" si="698"/>
        <v>1.6023501134998508E-3</v>
      </c>
      <c r="CT272" s="112">
        <f t="shared" ref="CT272:DD272" si="699">+CT188/CO188-1</f>
        <v>1.6023501134998508E-3</v>
      </c>
      <c r="CU272" s="52">
        <f t="shared" si="699"/>
        <v>-3.3029332018733037E-2</v>
      </c>
      <c r="CV272" s="52">
        <f t="shared" si="699"/>
        <v>-6.3769305875814641E-2</v>
      </c>
      <c r="CW272" s="52">
        <f t="shared" si="699"/>
        <v>-8.8054318697190825E-2</v>
      </c>
      <c r="CX272" s="52">
        <f t="shared" si="699"/>
        <v>-3.9758884484654478E-2</v>
      </c>
      <c r="CY272" s="112">
        <f t="shared" si="699"/>
        <v>-3.9758884484654478E-2</v>
      </c>
      <c r="CZ272" s="52">
        <f t="shared" si="699"/>
        <v>-4.5104956111949313E-2</v>
      </c>
      <c r="DA272" s="52">
        <f t="shared" si="699"/>
        <v>-2.0216045056893672E-2</v>
      </c>
      <c r="DB272" s="52">
        <f t="shared" si="699"/>
        <v>-5.4773400815189E-3</v>
      </c>
      <c r="DC272" s="52">
        <f t="shared" si="699"/>
        <v>-2.5654499662182362E-2</v>
      </c>
      <c r="DD272" s="112">
        <f t="shared" si="699"/>
        <v>-2.5654499662182362E-2</v>
      </c>
      <c r="DE272" s="52">
        <f t="shared" ref="DE272" si="700">+DE188/CZ188-1</f>
        <v>-9.9144408709183063E-3</v>
      </c>
      <c r="DF272" s="52">
        <f t="shared" ref="DF272" si="701">+DF188/DA188-1</f>
        <v>1.2534538841044718E-3</v>
      </c>
      <c r="DG272" s="52">
        <f t="shared" ref="DG272" si="702">+DG188/DB188-1</f>
        <v>9.169633465471394E-3</v>
      </c>
      <c r="DH272" s="52">
        <f t="shared" ref="DH272" si="703">+DH188/DC188-1</f>
        <v>1.5189847109912558E-2</v>
      </c>
      <c r="DI272" s="112">
        <f t="shared" ref="DI272" si="704">+DI188/DD188-1</f>
        <v>1.5189847109912558E-2</v>
      </c>
    </row>
    <row r="273" spans="1:113" s="4" customFormat="1" ht="12" customHeight="1">
      <c r="A273" s="219"/>
      <c r="B273" s="449" t="s">
        <v>287</v>
      </c>
      <c r="C273" s="52" t="s">
        <v>126</v>
      </c>
      <c r="D273" s="232" t="s">
        <v>126</v>
      </c>
      <c r="E273" s="52">
        <f t="shared" ref="E273:Q273" si="705">+E187/D187-1</f>
        <v>-4.5456540737696005E-2</v>
      </c>
      <c r="F273" s="112">
        <f t="shared" si="705"/>
        <v>-8.0207835642618353E-2</v>
      </c>
      <c r="G273" s="52">
        <f t="shared" si="705"/>
        <v>1.759625998311809E-2</v>
      </c>
      <c r="H273" s="112">
        <f t="shared" si="705"/>
        <v>3.4583971413986836E-2</v>
      </c>
      <c r="I273" s="52">
        <f t="shared" si="705"/>
        <v>0.11453065252251138</v>
      </c>
      <c r="J273" s="112">
        <f t="shared" si="705"/>
        <v>0.16269160533451377</v>
      </c>
      <c r="K273" s="52">
        <f t="shared" si="705"/>
        <v>9.0904764171149122E-3</v>
      </c>
      <c r="L273" s="112">
        <f t="shared" si="705"/>
        <v>6.6927648335062706E-2</v>
      </c>
      <c r="M273" s="52">
        <f t="shared" si="705"/>
        <v>5.9148578754254943E-2</v>
      </c>
      <c r="N273" s="112">
        <f t="shared" si="705"/>
        <v>4.1237113402061709E-2</v>
      </c>
      <c r="O273" s="112">
        <f t="shared" si="705"/>
        <v>0.12049545035475218</v>
      </c>
      <c r="P273" s="52">
        <f t="shared" si="705"/>
        <v>3.1696061245662266E-2</v>
      </c>
      <c r="Q273" s="112">
        <f t="shared" si="705"/>
        <v>-8.1105447484309479E-2</v>
      </c>
      <c r="R273" s="378" t="s">
        <v>126</v>
      </c>
      <c r="S273" s="378" t="s">
        <v>126</v>
      </c>
      <c r="T273" s="378" t="s">
        <v>126</v>
      </c>
      <c r="U273" s="378" t="s">
        <v>126</v>
      </c>
      <c r="V273" s="112">
        <f t="shared" ref="V273:AA273" si="706">+V187/Q187-1</f>
        <v>0.18415094339622651</v>
      </c>
      <c r="W273" s="52">
        <f t="shared" si="706"/>
        <v>0.17484772482981015</v>
      </c>
      <c r="X273" s="52">
        <f t="shared" si="706"/>
        <v>0.11138968481375366</v>
      </c>
      <c r="Y273" s="52">
        <f t="shared" si="706"/>
        <v>0.10418760469011734</v>
      </c>
      <c r="Z273" s="52">
        <f t="shared" si="706"/>
        <v>-1.9120458891013214E-3</v>
      </c>
      <c r="AA273" s="112">
        <f t="shared" si="706"/>
        <v>4.5251752708731718E-2</v>
      </c>
      <c r="AB273" s="379"/>
      <c r="AC273" s="52">
        <f>+AC187/W187-1</f>
        <v>4.6355596218359274E-2</v>
      </c>
      <c r="AD273" s="52">
        <f>+AD187/X187-1</f>
        <v>2.7392845633258167E-2</v>
      </c>
      <c r="AE273" s="52">
        <f>+AE187/Y187-1</f>
        <v>-1.9417475728155331E-2</v>
      </c>
      <c r="AF273" s="52">
        <f>+AF187/Z187-1</f>
        <v>-4.7892720306513814E-3</v>
      </c>
      <c r="AG273" s="112">
        <f>+AG187/AA187-1</f>
        <v>-4.9695121951219501E-2</v>
      </c>
      <c r="AH273" s="52">
        <f t="shared" ref="AH273:BM273" si="707">+AH187/AC187-1</f>
        <v>-6.528708831244534E-2</v>
      </c>
      <c r="AI273" s="52">
        <f t="shared" si="707"/>
        <v>6.273525721455453E-3</v>
      </c>
      <c r="AJ273" s="52">
        <f t="shared" si="707"/>
        <v>3.8056930693069368E-2</v>
      </c>
      <c r="AK273" s="52">
        <f t="shared" si="707"/>
        <v>0.10170035290343282</v>
      </c>
      <c r="AL273" s="112">
        <f t="shared" si="707"/>
        <v>0.10170035290343282</v>
      </c>
      <c r="AM273" s="52">
        <f t="shared" si="707"/>
        <v>0.11849080137199874</v>
      </c>
      <c r="AN273" s="52">
        <f t="shared" si="707"/>
        <v>7.7618453865336612E-2</v>
      </c>
      <c r="AO273" s="52">
        <f t="shared" si="707"/>
        <v>-1.8181818181818188E-2</v>
      </c>
      <c r="AP273" s="52">
        <f t="shared" si="707"/>
        <v>-2.2131624927198557E-2</v>
      </c>
      <c r="AQ273" s="112">
        <f t="shared" si="707"/>
        <v>-2.2131624927198557E-2</v>
      </c>
      <c r="AR273" s="52">
        <f t="shared" si="707"/>
        <v>-8.3356565374965164E-2</v>
      </c>
      <c r="AS273" s="52">
        <f t="shared" si="707"/>
        <v>-5.7853630315302107E-3</v>
      </c>
      <c r="AT273" s="52">
        <f t="shared" si="707"/>
        <v>2.2465088038858605E-2</v>
      </c>
      <c r="AU273" s="52">
        <f t="shared" si="707"/>
        <v>-3.4842167957117365E-2</v>
      </c>
      <c r="AV273" s="112">
        <f t="shared" si="707"/>
        <v>-3.4842167957117365E-2</v>
      </c>
      <c r="AW273" s="52">
        <f t="shared" si="707"/>
        <v>7.2384428223844388E-2</v>
      </c>
      <c r="AX273" s="52">
        <f t="shared" si="707"/>
        <v>1.1929007855688178E-2</v>
      </c>
      <c r="AY273" s="52">
        <f t="shared" si="707"/>
        <v>0.11401425178147262</v>
      </c>
      <c r="AZ273" s="52">
        <f t="shared" si="707"/>
        <v>0.13452638074668322</v>
      </c>
      <c r="BA273" s="112">
        <f t="shared" si="707"/>
        <v>0.13452638074668322</v>
      </c>
      <c r="BB273" s="52">
        <f t="shared" si="707"/>
        <v>9.7844583096993842E-2</v>
      </c>
      <c r="BC273" s="52">
        <f t="shared" si="707"/>
        <v>3.8815411155836754E-2</v>
      </c>
      <c r="BD273" s="52">
        <f t="shared" si="707"/>
        <v>1.0660980810234477E-2</v>
      </c>
      <c r="BE273" s="52">
        <f t="shared" si="707"/>
        <v>-4.868098993744896E-2</v>
      </c>
      <c r="BF273" s="112">
        <f t="shared" si="707"/>
        <v>-4.868098993744896E-2</v>
      </c>
      <c r="BG273" s="52">
        <f t="shared" si="707"/>
        <v>0.11857401188323435</v>
      </c>
      <c r="BH273" s="52">
        <f t="shared" si="707"/>
        <v>0.20287849432604488</v>
      </c>
      <c r="BI273" s="52">
        <f t="shared" si="707"/>
        <v>0.1996308016877637</v>
      </c>
      <c r="BJ273" s="52">
        <f t="shared" si="707"/>
        <v>0.22126929674099483</v>
      </c>
      <c r="BK273" s="112">
        <f t="shared" si="707"/>
        <v>0.22126929674099483</v>
      </c>
      <c r="BL273" s="52">
        <f t="shared" si="707"/>
        <v>7.52886836027713E-2</v>
      </c>
      <c r="BM273" s="52">
        <f t="shared" si="707"/>
        <v>0.10262310170271505</v>
      </c>
      <c r="BN273" s="52">
        <f t="shared" ref="BN273:CS273" si="708">+BN187/BI187-1</f>
        <v>-1.6706968564519697E-2</v>
      </c>
      <c r="BO273" s="52">
        <f t="shared" si="708"/>
        <v>-0.35650749063670417</v>
      </c>
      <c r="BP273" s="112">
        <f t="shared" si="708"/>
        <v>-0.35650749063670417</v>
      </c>
      <c r="BQ273" s="52">
        <f t="shared" si="708"/>
        <v>-0.18105670103092786</v>
      </c>
      <c r="BR273" s="52">
        <f t="shared" si="708"/>
        <v>-0.22516694490818034</v>
      </c>
      <c r="BS273" s="52">
        <f t="shared" si="708"/>
        <v>-0.17974513749161636</v>
      </c>
      <c r="BT273" s="52">
        <f t="shared" si="708"/>
        <v>0.62349945434703535</v>
      </c>
      <c r="BU273" s="112">
        <f t="shared" si="708"/>
        <v>0.62349945434703535</v>
      </c>
      <c r="BV273" s="52">
        <f t="shared" si="708"/>
        <v>0.1384736428009441</v>
      </c>
      <c r="BW273" s="52">
        <f t="shared" si="708"/>
        <v>8.8876918933475935E-3</v>
      </c>
      <c r="BX273" s="52">
        <f t="shared" si="708"/>
        <v>4.3063505042245875E-2</v>
      </c>
      <c r="BY273" s="52">
        <f t="shared" si="708"/>
        <v>4.5709164239300826E-2</v>
      </c>
      <c r="BZ273" s="112">
        <f t="shared" si="708"/>
        <v>4.5709164239300826E-2</v>
      </c>
      <c r="CA273" s="52">
        <f t="shared" si="708"/>
        <v>0.14259387237963606</v>
      </c>
      <c r="CB273" s="52">
        <f t="shared" si="708"/>
        <v>0.45141484249866526</v>
      </c>
      <c r="CC273" s="52">
        <f t="shared" si="708"/>
        <v>0.17925267833812386</v>
      </c>
      <c r="CD273" s="52">
        <f t="shared" si="708"/>
        <v>-0.11484893936147422</v>
      </c>
      <c r="CE273" s="112">
        <f t="shared" si="708"/>
        <v>-0.11484893936147422</v>
      </c>
      <c r="CF273" s="52">
        <f t="shared" si="708"/>
        <v>-4.2540322580645107E-2</v>
      </c>
      <c r="CG273" s="52">
        <f t="shared" si="708"/>
        <v>-0.12047084789405926</v>
      </c>
      <c r="CH273" s="52">
        <f t="shared" si="708"/>
        <v>2.8805672501661661E-3</v>
      </c>
      <c r="CI273" s="52">
        <f t="shared" si="708"/>
        <v>7.1653352699104333E-2</v>
      </c>
      <c r="CJ273" s="112">
        <f t="shared" si="708"/>
        <v>7.1653352699104333E-2</v>
      </c>
      <c r="CK273" s="52">
        <f t="shared" si="708"/>
        <v>3.1585596967782514E-3</v>
      </c>
      <c r="CL273" s="52">
        <f>+CL187/CG187-1</f>
        <v>0.108741112505228</v>
      </c>
      <c r="CM273" s="52">
        <f t="shared" si="708"/>
        <v>-7.7330976579761401E-3</v>
      </c>
      <c r="CN273" s="52">
        <f t="shared" si="708"/>
        <v>6.5507115428055096E-2</v>
      </c>
      <c r="CO273" s="112">
        <f t="shared" si="708"/>
        <v>6.5507115428055096E-2</v>
      </c>
      <c r="CP273" s="52">
        <f t="shared" si="708"/>
        <v>4.1561712846347687E-2</v>
      </c>
      <c r="CQ273" s="52">
        <f>+CQ187/CL187-1</f>
        <v>8.2233119577517888E-2</v>
      </c>
      <c r="CR273" s="52">
        <f t="shared" si="708"/>
        <v>0.19550211534179462</v>
      </c>
      <c r="CS273" s="52">
        <f t="shared" si="708"/>
        <v>0.25736697053211777</v>
      </c>
      <c r="CT273" s="112">
        <f t="shared" ref="CT273:DD273" si="709">+CT187/CO187-1</f>
        <v>0.25736697053211777</v>
      </c>
      <c r="CU273" s="52">
        <f t="shared" si="709"/>
        <v>5.6428859330915015E-2</v>
      </c>
      <c r="CV273" s="52">
        <f t="shared" si="709"/>
        <v>-4.6673017435985509E-2</v>
      </c>
      <c r="CW273" s="52">
        <f t="shared" si="709"/>
        <v>-6.7792679964748692E-2</v>
      </c>
      <c r="CX273" s="52">
        <f t="shared" si="709"/>
        <v>-8.878778136988652E-2</v>
      </c>
      <c r="CY273" s="112">
        <f t="shared" si="709"/>
        <v>-8.878778136988652E-2</v>
      </c>
      <c r="CZ273" s="52">
        <f t="shared" si="709"/>
        <v>-9.8000537578174507E-2</v>
      </c>
      <c r="DA273" s="52">
        <f t="shared" si="709"/>
        <v>-7.8176936386515461E-2</v>
      </c>
      <c r="DB273" s="52">
        <f t="shared" si="709"/>
        <v>-6.395913045992685E-2</v>
      </c>
      <c r="DC273" s="52">
        <f t="shared" si="709"/>
        <v>-4.5806897120394763E-2</v>
      </c>
      <c r="DD273" s="112">
        <f t="shared" si="709"/>
        <v>-4.5806897120394763E-2</v>
      </c>
      <c r="DE273" s="52">
        <f t="shared" ref="DE273" si="710">+DE187/CZ187-1</f>
        <v>-2.5270892694032931E-2</v>
      </c>
      <c r="DF273" s="52">
        <f t="shared" ref="DF273" si="711">+DF187/DA187-1</f>
        <v>-1.2434389476989161E-2</v>
      </c>
      <c r="DG273" s="52">
        <f t="shared" ref="DG273" si="712">+DG187/DB187-1</f>
        <v>-3.9137649227118931E-3</v>
      </c>
      <c r="DH273" s="52">
        <f t="shared" ref="DH273" si="713">+DH187/DC187-1</f>
        <v>4.0492115284842534E-3</v>
      </c>
      <c r="DI273" s="112">
        <f t="shared" ref="DI273" si="714">+DI187/DD187-1</f>
        <v>4.0492115284842534E-3</v>
      </c>
    </row>
    <row r="274" spans="1:113" s="4" customFormat="1" ht="12" customHeight="1">
      <c r="A274" s="219"/>
      <c r="B274" s="449" t="s">
        <v>285</v>
      </c>
      <c r="C274" s="52" t="s">
        <v>126</v>
      </c>
      <c r="D274" s="232" t="s">
        <v>126</v>
      </c>
      <c r="E274" s="52">
        <f>+'2. Consolidated'!E57/'2. Consolidated'!D57-1</f>
        <v>3.9901969610099952E-2</v>
      </c>
      <c r="F274" s="112">
        <f>+'2. Consolidated'!F57/'2. Consolidated'!E57-1</f>
        <v>-8.1251112204415055E-2</v>
      </c>
      <c r="G274" s="52">
        <f>+'2. Consolidated'!G57/'2. Consolidated'!F57-1</f>
        <v>2.4860713919493183E-2</v>
      </c>
      <c r="H274" s="112">
        <f>+'2. Consolidated'!H57/'2. Consolidated'!G57-1</f>
        <v>5.4885437627152367E-2</v>
      </c>
      <c r="I274" s="52">
        <f>+'2. Consolidated'!I57/'2. Consolidated'!H57-1</f>
        <v>4.2597588736194236E-2</v>
      </c>
      <c r="J274" s="112">
        <f>+'2. Consolidated'!J57/'2. Consolidated'!I57-1</f>
        <v>8.1269584554735763E-2</v>
      </c>
      <c r="K274" s="52">
        <f>+'2. Consolidated'!K57/'2. Consolidated'!J57-1</f>
        <v>0.14547069271758439</v>
      </c>
      <c r="L274" s="112">
        <f>+'2. Consolidated'!L57/'2. Consolidated'!K57-1</f>
        <v>0.12132439953970819</v>
      </c>
      <c r="M274" s="52">
        <f>+'2. Consolidated'!M57/'2. Consolidated'!L57-1</f>
        <v>8.8444434740205358E-2</v>
      </c>
      <c r="N274" s="112">
        <f>+'2. Consolidated'!N57/'2. Consolidated'!M57-1</f>
        <v>9.1675638085176203E-2</v>
      </c>
      <c r="O274" s="112">
        <f>+'2. Consolidated'!O57/'2. Consolidated'!N57-1</f>
        <v>0.14094781910951304</v>
      </c>
      <c r="P274" s="52">
        <f>+'2. Consolidated'!P57/'2. Consolidated'!O57-1</f>
        <v>2.947871369517352E-2</v>
      </c>
      <c r="Q274" s="112">
        <f>+'2. Consolidated'!Q57/'2. Consolidated'!P57-1</f>
        <v>-8.4532308446451099E-3</v>
      </c>
      <c r="R274" s="378" t="s">
        <v>126</v>
      </c>
      <c r="S274" s="378" t="s">
        <v>126</v>
      </c>
      <c r="T274" s="378" t="s">
        <v>126</v>
      </c>
      <c r="U274" s="378" t="s">
        <v>126</v>
      </c>
      <c r="V274" s="112">
        <f>+'2. Consolidated'!V57/'2. Consolidated'!Q57-1</f>
        <v>9.7191543073524844E-2</v>
      </c>
      <c r="W274" s="52">
        <f>+'2. Consolidated'!W57/'2. Consolidated'!R57-1</f>
        <v>0.17507246376811603</v>
      </c>
      <c r="X274" s="52">
        <f>+'2. Consolidated'!X57/'2. Consolidated'!S57-1</f>
        <v>0.18360181743081361</v>
      </c>
      <c r="Y274" s="52">
        <f>+'2. Consolidated'!Y57/'2. Consolidated'!T57-1</f>
        <v>0.15101397912975001</v>
      </c>
      <c r="Z274" s="52">
        <f>+'2. Consolidated'!Z57/'2. Consolidated'!U57-1</f>
        <v>0.12209503988900461</v>
      </c>
      <c r="AA274" s="112">
        <f>+'2. Consolidated'!AA57/'2. Consolidated'!V57-1</f>
        <v>0.15655258364490465</v>
      </c>
      <c r="AB274" s="379"/>
      <c r="AC274" s="52">
        <f>+'2. Consolidated'!AC57/'2. Consolidated'!W57-1</f>
        <v>6.4627528367044995E-2</v>
      </c>
      <c r="AD274" s="52">
        <f>+'2. Consolidated'!AD57/'2. Consolidated'!X57-1</f>
        <v>3.9085674402373094E-2</v>
      </c>
      <c r="AE274" s="52">
        <f>+'2. Consolidated'!AE57/'2. Consolidated'!Y57-1</f>
        <v>5.8330482381115267E-2</v>
      </c>
      <c r="AF274" s="52">
        <f>+'2. Consolidated'!AF57/'2. Consolidated'!Z57-1</f>
        <v>3.5085007727975182E-2</v>
      </c>
      <c r="AG274" s="112">
        <f>+'2. Consolidated'!AG57/'2. Consolidated'!AA57-1</f>
        <v>4.9113063660477518E-2</v>
      </c>
      <c r="AH274" s="52">
        <f>+'2. Consolidated'!AH57/'2. Consolidated'!AC57-1</f>
        <v>7.6768612913191259E-2</v>
      </c>
      <c r="AI274" s="52">
        <f>+'2. Consolidated'!AI57/'2. Consolidated'!AD57-1</f>
        <v>7.9932829554995699E-2</v>
      </c>
      <c r="AJ274" s="52">
        <f>+'2. Consolidated'!AJ57/'2. Consolidated'!AE57-1</f>
        <v>0.12687893971230002</v>
      </c>
      <c r="AK274" s="52">
        <f>+'2. Consolidated'!AK57/'2. Consolidated'!AF57-1</f>
        <v>0.10870539047334637</v>
      </c>
      <c r="AL274" s="112">
        <f>+'2. Consolidated'!AL57/'2. Consolidated'!AG57-1</f>
        <v>9.8210405720380756E-2</v>
      </c>
      <c r="AM274" s="52">
        <f>+'2. Consolidated'!AM57/'2. Consolidated'!AH57-1</f>
        <v>0.14502940754554583</v>
      </c>
      <c r="AN274" s="52">
        <f>+'2. Consolidated'!AN57/'2. Consolidated'!AI57-1</f>
        <v>0.14756647488726471</v>
      </c>
      <c r="AO274" s="52">
        <f>+'2. Consolidated'!AO57/'2. Consolidated'!AJ57-1</f>
        <v>6.9994262765347148E-2</v>
      </c>
      <c r="AP274" s="52">
        <f>+'2. Consolidated'!AP57/'2. Consolidated'!AK57-1</f>
        <v>4.7676767676767762E-2</v>
      </c>
      <c r="AQ274" s="112">
        <f>+'2. Consolidated'!AQ57/'2. Consolidated'!AL57-1</f>
        <v>0.10079499262563396</v>
      </c>
      <c r="AR274" s="52">
        <f>+'2. Consolidated'!AR57/'2. Consolidated'!AM57-1</f>
        <v>5.4121773991480771E-2</v>
      </c>
      <c r="AS274" s="52">
        <f>+'2. Consolidated'!AS57/'2. Consolidated'!AN57-1</f>
        <v>4.1463414634146378E-2</v>
      </c>
      <c r="AT274" s="52">
        <f>+'2. Consolidated'!AT57/'2. Consolidated'!AO57-1</f>
        <v>7.6675603217158272E-2</v>
      </c>
      <c r="AU274" s="52">
        <f>+'2. Consolidated'!AU57/'2. Consolidated'!AP57-1</f>
        <v>5.9776320863864196E-2</v>
      </c>
      <c r="AV274" s="112">
        <f>+'2. Consolidated'!AV57/'2. Consolidated'!AQ57-1</f>
        <v>5.8004640371229765E-2</v>
      </c>
      <c r="AW274" s="52">
        <f>+'2. Consolidated'!AW57/'2. Consolidated'!AR57-1</f>
        <v>7.6895650106964641E-2</v>
      </c>
      <c r="AX274" s="52">
        <f>+'2. Consolidated'!AX57/'2. Consolidated'!AS57-1</f>
        <v>6.4272703616965909E-2</v>
      </c>
      <c r="AY274" s="52">
        <f>+'2. Consolidated'!AY57/'2. Consolidated'!AT57-1</f>
        <v>4.980079681274896E-2</v>
      </c>
      <c r="AZ274" s="52">
        <f>+'2. Consolidated'!AZ57/'2. Consolidated'!AU57-1</f>
        <v>5.2523047064531703E-2</v>
      </c>
      <c r="BA274" s="112">
        <f>+'2. Consolidated'!BA57/'2. Consolidated'!AV57-1</f>
        <v>6.0971089696071123E-2</v>
      </c>
      <c r="BB274" s="52">
        <f>+'2. Consolidated'!BB57/'2. Consolidated'!AW57-1</f>
        <v>9.9326785123055039E-4</v>
      </c>
      <c r="BC274" s="52">
        <f>+'2. Consolidated'!BC57/'2. Consolidated'!AX57-1</f>
        <v>4.5721271393643015E-2</v>
      </c>
      <c r="BD274" s="52">
        <f>+'2. Consolidated'!BD57/'2. Consolidated'!AY57-1</f>
        <v>6.5464895635673592E-2</v>
      </c>
      <c r="BE274" s="52">
        <f>+'2. Consolidated'!BE57/'2. Consolidated'!AZ57-1</f>
        <v>0.12815489224386312</v>
      </c>
      <c r="BF274" s="112">
        <f>+'2. Consolidated'!BF57/'2. Consolidated'!BA57-1</f>
        <v>5.95924308588065E-2</v>
      </c>
      <c r="BG274" s="52">
        <f>+'2. Consolidated'!BG57/'2. Consolidated'!BB57-1</f>
        <v>9.6802646085997868E-2</v>
      </c>
      <c r="BH274" s="52">
        <f>+'2. Consolidated'!BH57/'2. Consolidated'!BC57-1</f>
        <v>9.586158522328736E-2</v>
      </c>
      <c r="BI274" s="52">
        <f>+'2. Consolidated'!BI57/'2. Consolidated'!BD57-1</f>
        <v>6.9790739091718512E-2</v>
      </c>
      <c r="BJ274" s="52">
        <f>+'2. Consolidated'!BJ57/'2. Consolidated'!BE57-1</f>
        <v>4.0351414853406986E-2</v>
      </c>
      <c r="BK274" s="112">
        <f>+'2. Consolidated'!BK57/'2. Consolidated'!BF57-1</f>
        <v>7.4731433909388079E-2</v>
      </c>
      <c r="BL274" s="52">
        <f>+'2. Consolidated'!BL57/'2. Consolidated'!BG57-1</f>
        <v>7.1572175311620523E-2</v>
      </c>
      <c r="BM274" s="52">
        <f>+'2. Consolidated'!BM57/'2. Consolidated'!BH57-1</f>
        <v>0.10155749946660975</v>
      </c>
      <c r="BN274" s="52">
        <f>+'2. Consolidated'!BN57/'2. Consolidated'!BI57-1</f>
        <v>5.1295390698158361E-2</v>
      </c>
      <c r="BO274" s="52">
        <f>+'2. Consolidated'!BO57/'2. Consolidated'!BJ57-1</f>
        <v>-0.38010604870384912</v>
      </c>
      <c r="BP274" s="112">
        <f>+'2. Consolidated'!BP57/'2. Consolidated'!BK57-1</f>
        <v>-4.3817266150267153E-2</v>
      </c>
      <c r="BQ274" s="52">
        <f>+'2. Consolidated'!BQ57/'2. Consolidated'!BL57-1</f>
        <v>-6.1913696060037493E-3</v>
      </c>
      <c r="BR274" s="52">
        <f>+'2. Consolidated'!BR57/'2. Consolidated'!BM57-1</f>
        <v>8.8804958357544095E-2</v>
      </c>
      <c r="BS274" s="52">
        <f>+'2. Consolidated'!BS57/'2. Consolidated'!BN57-1</f>
        <v>2.5039588281868586E-2</v>
      </c>
      <c r="BT274" s="52">
        <f>+'2. Consolidated'!BT57/'2. Consolidated'!BO57-1</f>
        <v>0.95533027086963407</v>
      </c>
      <c r="BU274" s="112">
        <f>+'2. Consolidated'!BU57/'2. Consolidated'!BP57-1</f>
        <v>0.19076009945726269</v>
      </c>
      <c r="BV274" s="52">
        <f>+'2. Consolidated'!BV57/'2. Consolidated'!BQ57-1</f>
        <v>0.15612610911836899</v>
      </c>
      <c r="BW274" s="52">
        <f>+'2. Consolidated'!BW57/'2. Consolidated'!BR57-1</f>
        <v>1.0139642444187524E-2</v>
      </c>
      <c r="BX274" s="52">
        <f>+'2. Consolidated'!BX57/'2. Consolidated'!BS57-1</f>
        <v>4.9628270734768831E-2</v>
      </c>
      <c r="BY274" s="52">
        <f>+'2. Consolidated'!BY57/'2. Consolidated'!BT57-1</f>
        <v>-8.9112119248218047E-3</v>
      </c>
      <c r="BZ274" s="112">
        <f>+'2. Consolidated'!BZ57/'2. Consolidated'!BU57-1</f>
        <v>4.8767344739323759E-2</v>
      </c>
      <c r="CA274" s="52">
        <f>+'2. Consolidated'!CA57/'2. Consolidated'!BV57-1</f>
        <v>3.5842586544742039E-2</v>
      </c>
      <c r="CB274" s="52">
        <f>+'2. Consolidated'!CB57/'2. Consolidated'!BW57-1</f>
        <v>0.17240468433565193</v>
      </c>
      <c r="CC274" s="52">
        <f>+'2. Consolidated'!CC57/'2. Consolidated'!BX57-1</f>
        <v>0.13972955569864776</v>
      </c>
      <c r="CD274" s="52">
        <f>+'2. Consolidated'!CD57/'2. Consolidated'!BY57-1</f>
        <v>4.8307994114762165E-2</v>
      </c>
      <c r="CE274" s="112">
        <f>+'2. Consolidated'!CE57/'2. Consolidated'!BZ57-1</f>
        <v>9.6488974523656568E-2</v>
      </c>
      <c r="CF274" s="52">
        <f>+'2. Consolidated'!CF57/'2. Consolidated'!CA57-1</f>
        <v>1.986285173799951E-2</v>
      </c>
      <c r="CG274" s="52">
        <f>+'2. Consolidated'!CG57/'2. Consolidated'!CB57-1</f>
        <v>5.482538490424238E-3</v>
      </c>
      <c r="CH274" s="52">
        <f>+'2. Consolidated'!CH57/'2. Consolidated'!CC57-1</f>
        <v>3.1476997578692156E-3</v>
      </c>
      <c r="CI274" s="52">
        <f>+'2. Consolidated'!CI57/'2. Consolidated'!CD57-1</f>
        <v>-1.7076023391812911E-2</v>
      </c>
      <c r="CJ274" s="112">
        <f>+'2. Consolidated'!CJ57/'2. Consolidated'!CE57-1</f>
        <v>2.8310912392370824E-3</v>
      </c>
      <c r="CK274" s="52">
        <f>+'2. Consolidated'!CK57/'2. Consolidated'!CF57-1</f>
        <v>-0.10433572919081846</v>
      </c>
      <c r="CL274" s="52">
        <f>+'2. Consolidated'!CL57/'2. Consolidated'!CG57-1</f>
        <v>-7.7233343292500756E-2</v>
      </c>
      <c r="CM274" s="52">
        <f>+'2. Consolidated'!CM57/'2. Consolidated'!CH57-1</f>
        <v>-9.3330115053503859E-2</v>
      </c>
      <c r="CN274" s="52">
        <f>+'2. Consolidated'!CN57/'2. Consolidated'!CI57-1</f>
        <v>-0.11970490242741549</v>
      </c>
      <c r="CO274" s="112">
        <f>+'2. Consolidated'!CO57/'2. Consolidated'!CJ57-1</f>
        <v>-9.8380125384525563E-2</v>
      </c>
      <c r="CP274" s="52">
        <f>+'2. Consolidated'!CP57/'2. Consolidated'!CK57-1</f>
        <v>1.1303822590387425E-2</v>
      </c>
      <c r="CQ274" s="52">
        <f>+'2. Consolidated'!CQ57/'2. Consolidated'!CL57-1</f>
        <v>5.9090173223248499E-3</v>
      </c>
      <c r="CR274" s="52">
        <f>+'2. Consolidated'!CR57/'2. Consolidated'!CM57-1</f>
        <v>8.8739018546446502E-4</v>
      </c>
      <c r="CS274" s="52">
        <f>+'2. Consolidated'!CS57/'2. Consolidated'!CN57-1</f>
        <v>-1.1264305668198582E-2</v>
      </c>
      <c r="CT274" s="112">
        <f>+'2. Consolidated'!CT57/'2. Consolidated'!CO57-1</f>
        <v>1.9218726381480256E-3</v>
      </c>
      <c r="CU274" s="52">
        <f>+'2. Consolidated'!CU57/'2. Consolidated'!CP57-1</f>
        <v>-4.3259385665529004E-2</v>
      </c>
      <c r="CV274" s="52">
        <f>+'2. Consolidated'!CV57/'2. Consolidated'!CQ57-1</f>
        <v>-0.12464006276655659</v>
      </c>
      <c r="CW274" s="52">
        <f>+'2. Consolidated'!CW57/'2. Consolidated'!CR57-1</f>
        <v>-8.6268001595886323E-2</v>
      </c>
      <c r="CX274" s="52">
        <f>+'2. Consolidated'!CX57/'2. Consolidated'!CS57-1</f>
        <v>-9.9403630149471511E-2</v>
      </c>
      <c r="CY274" s="112">
        <f>+'2. Consolidated'!CY57/'2. Consolidated'!CT57-1</f>
        <v>-8.8787781369886742E-2</v>
      </c>
      <c r="CZ274" s="52">
        <f>+'2. Consolidated'!CZ57/'2. Consolidated'!CU57-1</f>
        <v>-7.8905483813430877E-2</v>
      </c>
      <c r="DA274" s="52">
        <f>+'2. Consolidated'!DA57/'2. Consolidated'!CV57-1</f>
        <v>-4.7626778390635005E-2</v>
      </c>
      <c r="DB274" s="52">
        <f>+'2. Consolidated'!DB57/'2. Consolidated'!CW57-1</f>
        <v>-2.7201299826297709E-2</v>
      </c>
      <c r="DC274" s="52">
        <f>+'2. Consolidated'!DC57/'2. Consolidated'!CX57-1</f>
        <v>-2.5649483446702814E-2</v>
      </c>
      <c r="DD274" s="112">
        <f>+'2. Consolidated'!DD57/'2. Consolidated'!CY57-1</f>
        <v>-4.5806897120394319E-2</v>
      </c>
      <c r="DE274" s="52">
        <f>+'2. Consolidated'!DE57/'2. Consolidated'!CZ57-1</f>
        <v>5.6365691082826963E-4</v>
      </c>
      <c r="DF274" s="52">
        <f>+'2. Consolidated'!DF57/'2. Consolidated'!DA57-1</f>
        <v>1.9018489910072045E-3</v>
      </c>
      <c r="DG274" s="52">
        <f>+'2. Consolidated'!DG57/'2. Consolidated'!DB57-1</f>
        <v>6.8869772883577429E-3</v>
      </c>
      <c r="DH274" s="52">
        <f>+'2. Consolidated'!DH57/'2. Consolidated'!DC57-1</f>
        <v>7.143957204337692E-3</v>
      </c>
      <c r="DI274" s="112">
        <f>+'2. Consolidated'!DI57/'2. Consolidated'!DD57-1</f>
        <v>4.0492115284842534E-3</v>
      </c>
    </row>
    <row r="275" spans="1:113" s="4" customFormat="1" ht="12" customHeight="1">
      <c r="A275" s="219"/>
      <c r="B275" s="465"/>
      <c r="C275" s="482"/>
      <c r="D275" s="483"/>
      <c r="E275" s="484"/>
      <c r="F275" s="483"/>
      <c r="G275" s="484"/>
      <c r="H275" s="483"/>
      <c r="I275" s="484"/>
      <c r="J275" s="483"/>
      <c r="K275" s="484"/>
      <c r="L275" s="483"/>
      <c r="M275" s="484"/>
      <c r="N275" s="483"/>
      <c r="O275" s="483"/>
      <c r="P275" s="484"/>
      <c r="Q275" s="483"/>
      <c r="R275" s="484"/>
      <c r="S275" s="484"/>
      <c r="T275" s="484"/>
      <c r="U275" s="484"/>
      <c r="V275" s="483"/>
      <c r="W275" s="484"/>
      <c r="X275" s="484"/>
      <c r="Y275" s="484"/>
      <c r="Z275" s="484"/>
      <c r="AA275" s="483"/>
      <c r="AB275" s="483"/>
      <c r="AC275" s="484"/>
      <c r="AD275" s="484"/>
      <c r="AE275" s="484"/>
      <c r="AF275" s="484"/>
      <c r="AG275" s="483"/>
      <c r="AH275" s="484"/>
      <c r="AI275" s="484"/>
      <c r="AJ275" s="484"/>
      <c r="AK275" s="484"/>
      <c r="AL275" s="483"/>
      <c r="AM275" s="484"/>
      <c r="AN275" s="484"/>
      <c r="AO275" s="484"/>
      <c r="AP275" s="484"/>
      <c r="AQ275" s="483"/>
      <c r="AR275" s="484"/>
      <c r="AS275" s="484"/>
      <c r="AT275" s="484"/>
      <c r="AU275" s="484"/>
      <c r="AV275" s="483"/>
      <c r="AW275" s="484"/>
      <c r="AX275" s="484"/>
      <c r="AY275" s="484"/>
      <c r="AZ275" s="484"/>
      <c r="BA275" s="483"/>
      <c r="BB275" s="484"/>
      <c r="BC275" s="484"/>
      <c r="BD275" s="484"/>
      <c r="BE275" s="484"/>
      <c r="BF275" s="483"/>
      <c r="BG275" s="484"/>
      <c r="BH275" s="484"/>
      <c r="BI275" s="484"/>
      <c r="BJ275" s="484"/>
      <c r="BK275" s="483"/>
      <c r="BL275" s="484"/>
      <c r="BM275" s="484"/>
      <c r="BN275" s="484"/>
      <c r="BO275" s="484"/>
      <c r="BP275" s="483"/>
      <c r="BQ275" s="484"/>
      <c r="BR275" s="484"/>
      <c r="BS275" s="484"/>
      <c r="BT275" s="484"/>
      <c r="BU275" s="483"/>
      <c r="BV275" s="484"/>
      <c r="BW275" s="484"/>
      <c r="BX275" s="484"/>
      <c r="BY275" s="484"/>
      <c r="BZ275" s="483"/>
      <c r="CA275" s="87"/>
      <c r="CB275" s="87"/>
      <c r="CC275" s="87"/>
      <c r="CD275" s="87"/>
      <c r="CE275" s="483"/>
      <c r="CF275" s="87"/>
      <c r="CG275" s="87"/>
      <c r="CH275" s="87"/>
      <c r="CI275" s="87"/>
      <c r="CJ275" s="483"/>
      <c r="CK275" s="484"/>
      <c r="CL275" s="484"/>
      <c r="CM275" s="484"/>
      <c r="CN275" s="484"/>
      <c r="CO275" s="483"/>
      <c r="CP275" s="484"/>
      <c r="CQ275" s="484"/>
      <c r="CR275" s="484"/>
      <c r="CS275" s="484"/>
      <c r="CT275" s="483"/>
      <c r="CU275" s="484"/>
      <c r="CV275" s="484"/>
      <c r="CW275" s="484"/>
      <c r="CX275" s="484"/>
      <c r="CY275" s="483"/>
      <c r="CZ275" s="484"/>
      <c r="DA275" s="484"/>
      <c r="DB275" s="484"/>
      <c r="DC275" s="484"/>
      <c r="DD275" s="483"/>
      <c r="DE275" s="484"/>
      <c r="DF275" s="484"/>
      <c r="DG275" s="484"/>
      <c r="DH275" s="484"/>
      <c r="DI275" s="483"/>
    </row>
    <row r="276" spans="1:113" s="117" customFormat="1" ht="12" customHeight="1">
      <c r="A276" s="239"/>
      <c r="B276" s="451" t="s">
        <v>244</v>
      </c>
      <c r="C276" s="39">
        <f t="shared" ref="C276:AA276" si="715">+(C192-C185)-(C211-C207)</f>
        <v>1450.1289999999999</v>
      </c>
      <c r="D276" s="486">
        <f t="shared" si="715"/>
        <v>2073.9500000000003</v>
      </c>
      <c r="E276" s="487">
        <f t="shared" si="715"/>
        <v>2202</v>
      </c>
      <c r="F276" s="486">
        <f t="shared" si="715"/>
        <v>2040</v>
      </c>
      <c r="G276" s="487">
        <f t="shared" si="715"/>
        <v>2176.4</v>
      </c>
      <c r="H276" s="486">
        <f t="shared" si="715"/>
        <v>2395.3000000000002</v>
      </c>
      <c r="I276" s="487">
        <f t="shared" si="715"/>
        <v>2226.5</v>
      </c>
      <c r="J276" s="486">
        <f t="shared" si="715"/>
        <v>2369.9</v>
      </c>
      <c r="K276" s="487">
        <f t="shared" si="715"/>
        <v>2827.6000000000004</v>
      </c>
      <c r="L276" s="486">
        <f t="shared" si="715"/>
        <v>3039.8</v>
      </c>
      <c r="M276" s="487">
        <f t="shared" si="715"/>
        <v>4080.2</v>
      </c>
      <c r="N276" s="486">
        <f t="shared" si="715"/>
        <v>3767.1000000000004</v>
      </c>
      <c r="O276" s="486">
        <f t="shared" si="715"/>
        <v>3567.9000000000015</v>
      </c>
      <c r="P276" s="487">
        <f t="shared" si="715"/>
        <v>4540.7999999999993</v>
      </c>
      <c r="Q276" s="486">
        <f t="shared" si="715"/>
        <v>4662</v>
      </c>
      <c r="R276" s="487">
        <f t="shared" si="715"/>
        <v>5620</v>
      </c>
      <c r="S276" s="487">
        <f t="shared" si="715"/>
        <v>6160</v>
      </c>
      <c r="T276" s="487">
        <f t="shared" si="715"/>
        <v>5648</v>
      </c>
      <c r="U276" s="487">
        <f t="shared" si="715"/>
        <v>5771</v>
      </c>
      <c r="V276" s="486">
        <f t="shared" si="715"/>
        <v>5771</v>
      </c>
      <c r="W276" s="487">
        <f t="shared" si="715"/>
        <v>5951</v>
      </c>
      <c r="X276" s="487">
        <f t="shared" si="715"/>
        <v>5470</v>
      </c>
      <c r="Y276" s="487">
        <f t="shared" si="715"/>
        <v>5641</v>
      </c>
      <c r="Z276" s="487">
        <f t="shared" si="715"/>
        <v>5787</v>
      </c>
      <c r="AA276" s="486">
        <f t="shared" si="715"/>
        <v>5506</v>
      </c>
      <c r="AB276" s="486"/>
      <c r="AC276" s="487">
        <f t="shared" ref="AC276:BH276" si="716">+(AC192-AC185)-(AC211-AC207)</f>
        <v>5333</v>
      </c>
      <c r="AD276" s="487">
        <f t="shared" si="716"/>
        <v>5503</v>
      </c>
      <c r="AE276" s="487">
        <f t="shared" si="716"/>
        <v>5892</v>
      </c>
      <c r="AF276" s="487">
        <f t="shared" si="716"/>
        <v>6541</v>
      </c>
      <c r="AG276" s="486">
        <f t="shared" si="716"/>
        <v>6541</v>
      </c>
      <c r="AH276" s="487">
        <f t="shared" si="716"/>
        <v>6987</v>
      </c>
      <c r="AI276" s="487">
        <f t="shared" si="716"/>
        <v>7850</v>
      </c>
      <c r="AJ276" s="487">
        <f t="shared" si="716"/>
        <v>7718</v>
      </c>
      <c r="AK276" s="487">
        <f t="shared" si="716"/>
        <v>6623</v>
      </c>
      <c r="AL276" s="486">
        <f t="shared" si="716"/>
        <v>6623</v>
      </c>
      <c r="AM276" s="487">
        <f t="shared" si="716"/>
        <v>6576</v>
      </c>
      <c r="AN276" s="487">
        <f t="shared" si="716"/>
        <v>7026</v>
      </c>
      <c r="AO276" s="487">
        <f t="shared" si="716"/>
        <v>6775</v>
      </c>
      <c r="AP276" s="487">
        <f t="shared" si="716"/>
        <v>5971</v>
      </c>
      <c r="AQ276" s="486">
        <f t="shared" si="716"/>
        <v>5971</v>
      </c>
      <c r="AR276" s="487">
        <f t="shared" si="716"/>
        <v>6845</v>
      </c>
      <c r="AS276" s="487">
        <f t="shared" si="716"/>
        <v>7497</v>
      </c>
      <c r="AT276" s="487">
        <f t="shared" si="716"/>
        <v>7239</v>
      </c>
      <c r="AU276" s="487">
        <f t="shared" si="716"/>
        <v>6574</v>
      </c>
      <c r="AV276" s="486">
        <f t="shared" si="716"/>
        <v>6574</v>
      </c>
      <c r="AW276" s="487">
        <f t="shared" si="716"/>
        <v>6633</v>
      </c>
      <c r="AX276" s="487">
        <f t="shared" si="716"/>
        <v>6511</v>
      </c>
      <c r="AY276" s="487">
        <f t="shared" si="716"/>
        <v>6942</v>
      </c>
      <c r="AZ276" s="487">
        <f t="shared" si="716"/>
        <v>7110</v>
      </c>
      <c r="BA276" s="486">
        <f t="shared" si="716"/>
        <v>7110</v>
      </c>
      <c r="BB276" s="487">
        <f t="shared" si="716"/>
        <v>7065</v>
      </c>
      <c r="BC276" s="487">
        <f t="shared" si="716"/>
        <v>6767</v>
      </c>
      <c r="BD276" s="487">
        <f t="shared" si="716"/>
        <v>5927</v>
      </c>
      <c r="BE276" s="487">
        <f t="shared" si="716"/>
        <v>5187</v>
      </c>
      <c r="BF276" s="486">
        <f t="shared" si="716"/>
        <v>5187</v>
      </c>
      <c r="BG276" s="487">
        <f t="shared" si="716"/>
        <v>5530</v>
      </c>
      <c r="BH276" s="487">
        <f t="shared" si="716"/>
        <v>4880</v>
      </c>
      <c r="BI276" s="487">
        <f t="shared" ref="BI276:CN276" si="717">+(BI192-BI185)-(BI211-BI207)</f>
        <v>4842</v>
      </c>
      <c r="BJ276" s="487">
        <f t="shared" si="717"/>
        <v>4208</v>
      </c>
      <c r="BK276" s="486">
        <f t="shared" si="717"/>
        <v>4208</v>
      </c>
      <c r="BL276" s="487">
        <f t="shared" si="717"/>
        <v>4968</v>
      </c>
      <c r="BM276" s="487">
        <f t="shared" si="717"/>
        <v>5341</v>
      </c>
      <c r="BN276" s="487">
        <f t="shared" si="717"/>
        <v>4614</v>
      </c>
      <c r="BO276" s="487">
        <f t="shared" si="717"/>
        <v>4175</v>
      </c>
      <c r="BP276" s="486">
        <f t="shared" si="717"/>
        <v>4175</v>
      </c>
      <c r="BQ276" s="487">
        <f t="shared" si="717"/>
        <v>5308</v>
      </c>
      <c r="BR276" s="487">
        <f t="shared" si="717"/>
        <v>6142</v>
      </c>
      <c r="BS276" s="487">
        <f t="shared" si="717"/>
        <v>7294</v>
      </c>
      <c r="BT276" s="487">
        <f t="shared" si="717"/>
        <v>6730</v>
      </c>
      <c r="BU276" s="486">
        <f t="shared" si="717"/>
        <v>6730</v>
      </c>
      <c r="BV276" s="487">
        <f t="shared" si="717"/>
        <v>7416</v>
      </c>
      <c r="BW276" s="487">
        <f t="shared" si="717"/>
        <v>7578</v>
      </c>
      <c r="BX276" s="487">
        <f t="shared" si="717"/>
        <v>9440</v>
      </c>
      <c r="BY276" s="487">
        <f t="shared" si="717"/>
        <v>9419</v>
      </c>
      <c r="BZ276" s="486">
        <f t="shared" si="717"/>
        <v>9419</v>
      </c>
      <c r="CA276" s="487">
        <f t="shared" si="717"/>
        <v>11241</v>
      </c>
      <c r="CB276" s="487">
        <f t="shared" si="717"/>
        <v>11265</v>
      </c>
      <c r="CC276" s="487">
        <f t="shared" si="717"/>
        <v>10046</v>
      </c>
      <c r="CD276" s="487">
        <f t="shared" si="717"/>
        <v>8511</v>
      </c>
      <c r="CE276" s="486">
        <f t="shared" si="717"/>
        <v>8511</v>
      </c>
      <c r="CF276" s="487">
        <f t="shared" si="717"/>
        <v>9617</v>
      </c>
      <c r="CG276" s="487">
        <f t="shared" si="717"/>
        <v>7719</v>
      </c>
      <c r="CH276" s="487">
        <f t="shared" si="717"/>
        <v>6770</v>
      </c>
      <c r="CI276" s="487">
        <f t="shared" si="717"/>
        <v>5935</v>
      </c>
      <c r="CJ276" s="486">
        <f t="shared" si="717"/>
        <v>5935</v>
      </c>
      <c r="CK276" s="487">
        <f t="shared" si="717"/>
        <v>6939</v>
      </c>
      <c r="CL276" s="487">
        <f t="shared" si="717"/>
        <v>6804</v>
      </c>
      <c r="CM276" s="487">
        <f t="shared" si="717"/>
        <v>5789</v>
      </c>
      <c r="CN276" s="487">
        <f t="shared" si="717"/>
        <v>5337</v>
      </c>
      <c r="CO276" s="486">
        <f t="shared" ref="CO276:DD276" si="718">+(CO192-CO185)-(CO211-CO207)</f>
        <v>5337</v>
      </c>
      <c r="CP276" s="487">
        <f t="shared" si="718"/>
        <v>5967</v>
      </c>
      <c r="CQ276" s="487">
        <f t="shared" si="718"/>
        <v>6400</v>
      </c>
      <c r="CR276" s="487">
        <f t="shared" si="718"/>
        <v>6685</v>
      </c>
      <c r="CS276" s="487">
        <f t="shared" si="718"/>
        <v>6493</v>
      </c>
      <c r="CT276" s="486">
        <f t="shared" si="718"/>
        <v>6493</v>
      </c>
      <c r="CU276" s="487">
        <f t="shared" si="718"/>
        <v>7361</v>
      </c>
      <c r="CV276" s="487">
        <f t="shared" si="718"/>
        <v>6977.1305805694155</v>
      </c>
      <c r="CW276" s="487">
        <f t="shared" si="718"/>
        <v>6939.6163930774637</v>
      </c>
      <c r="CX276" s="487">
        <f t="shared" si="718"/>
        <v>6903.2746120612683</v>
      </c>
      <c r="CY276" s="486">
        <f t="shared" si="718"/>
        <v>6903.2746120612683</v>
      </c>
      <c r="CZ276" s="487">
        <f t="shared" si="718"/>
        <v>6701.126335313782</v>
      </c>
      <c r="DA276" s="487">
        <f t="shared" si="718"/>
        <v>6529.7197148277683</v>
      </c>
      <c r="DB276" s="487">
        <f t="shared" si="718"/>
        <v>6641.8857644130148</v>
      </c>
      <c r="DC276" s="487">
        <f t="shared" si="718"/>
        <v>6614.5206909431035</v>
      </c>
      <c r="DD276" s="486">
        <f t="shared" si="718"/>
        <v>6614.5206909431035</v>
      </c>
      <c r="DE276" s="487">
        <f t="shared" ref="DE276:DI276" si="719">+(DE192-DE185)-(DE211-DE207)</f>
        <v>6590.4493885049505</v>
      </c>
      <c r="DF276" s="487">
        <f t="shared" si="719"/>
        <v>6527.2492427686866</v>
      </c>
      <c r="DG276" s="487">
        <f t="shared" si="719"/>
        <v>6707.0817858005848</v>
      </c>
      <c r="DH276" s="487">
        <f t="shared" si="719"/>
        <v>6747.965213661646</v>
      </c>
      <c r="DI276" s="486">
        <f t="shared" si="719"/>
        <v>6747.965213661646</v>
      </c>
    </row>
    <row r="277" spans="1:113" s="7" customFormat="1" ht="12" customHeight="1">
      <c r="A277" s="239"/>
      <c r="B277" s="450" t="s">
        <v>245</v>
      </c>
      <c r="C277" s="39"/>
      <c r="D277" s="267">
        <f t="shared" ref="D277:U277" si="720">+D276-C276</f>
        <v>623.82100000000037</v>
      </c>
      <c r="E277" s="443">
        <f t="shared" si="720"/>
        <v>128.04999999999973</v>
      </c>
      <c r="F277" s="267">
        <f t="shared" si="720"/>
        <v>-162</v>
      </c>
      <c r="G277" s="443">
        <f t="shared" si="720"/>
        <v>136.40000000000009</v>
      </c>
      <c r="H277" s="267">
        <f t="shared" si="720"/>
        <v>218.90000000000009</v>
      </c>
      <c r="I277" s="443">
        <f t="shared" si="720"/>
        <v>-168.80000000000018</v>
      </c>
      <c r="J277" s="267">
        <f t="shared" si="720"/>
        <v>143.40000000000009</v>
      </c>
      <c r="K277" s="443">
        <f t="shared" si="720"/>
        <v>457.70000000000027</v>
      </c>
      <c r="L277" s="267">
        <f t="shared" si="720"/>
        <v>212.19999999999982</v>
      </c>
      <c r="M277" s="443">
        <f t="shared" si="720"/>
        <v>1040.3999999999996</v>
      </c>
      <c r="N277" s="267">
        <f t="shared" si="720"/>
        <v>-313.09999999999945</v>
      </c>
      <c r="O277" s="267">
        <f t="shared" si="720"/>
        <v>-199.19999999999891</v>
      </c>
      <c r="P277" s="443">
        <f t="shared" si="720"/>
        <v>972.89999999999782</v>
      </c>
      <c r="Q277" s="267">
        <f t="shared" si="720"/>
        <v>121.20000000000073</v>
      </c>
      <c r="R277" s="443">
        <f t="shared" si="720"/>
        <v>958</v>
      </c>
      <c r="S277" s="443">
        <f t="shared" si="720"/>
        <v>540</v>
      </c>
      <c r="T277" s="443">
        <f t="shared" si="720"/>
        <v>-512</v>
      </c>
      <c r="U277" s="443">
        <f t="shared" si="720"/>
        <v>123</v>
      </c>
      <c r="V277" s="267">
        <f>+V276-Q276</f>
        <v>1109</v>
      </c>
      <c r="W277" s="443">
        <f>+W276-V276</f>
        <v>180</v>
      </c>
      <c r="X277" s="443">
        <f>+X276-W276</f>
        <v>-481</v>
      </c>
      <c r="Y277" s="443">
        <f>+Y276-X276</f>
        <v>171</v>
      </c>
      <c r="Z277" s="443">
        <f>+Z276-Y276</f>
        <v>146</v>
      </c>
      <c r="AA277" s="267">
        <f>+AA276-V276</f>
        <v>-265</v>
      </c>
      <c r="AB277" s="267"/>
      <c r="AC277" s="443">
        <f>+AC276-Z276</f>
        <v>-454</v>
      </c>
      <c r="AD277" s="443">
        <f>+AD276-AC276</f>
        <v>170</v>
      </c>
      <c r="AE277" s="443">
        <f>+AE276-AD276</f>
        <v>389</v>
      </c>
      <c r="AF277" s="443">
        <f>+AF276-AE276</f>
        <v>649</v>
      </c>
      <c r="AG277" s="267">
        <f>+AG276-Z276</f>
        <v>754</v>
      </c>
      <c r="AH277" s="443">
        <f>+AH276-AG276</f>
        <v>446</v>
      </c>
      <c r="AI277" s="443">
        <f>+AI276-AH276</f>
        <v>863</v>
      </c>
      <c r="AJ277" s="443">
        <f>+AJ276-AI276</f>
        <v>-132</v>
      </c>
      <c r="AK277" s="443">
        <f>+AK276-AJ276</f>
        <v>-1095</v>
      </c>
      <c r="AL277" s="267">
        <f>+AL276-AG276</f>
        <v>82</v>
      </c>
      <c r="AM277" s="443">
        <f>+AM276-AL276</f>
        <v>-47</v>
      </c>
      <c r="AN277" s="443">
        <f>+AN276-AM276</f>
        <v>450</v>
      </c>
      <c r="AO277" s="443">
        <f>+AO276-AN276</f>
        <v>-251</v>
      </c>
      <c r="AP277" s="443">
        <f>+AP276-AO276</f>
        <v>-804</v>
      </c>
      <c r="AQ277" s="267">
        <f>+AQ276-AL276</f>
        <v>-652</v>
      </c>
      <c r="AR277" s="443">
        <f>+AR276-AQ276</f>
        <v>874</v>
      </c>
      <c r="AS277" s="443">
        <f>+AS276-AR276</f>
        <v>652</v>
      </c>
      <c r="AT277" s="443">
        <f>+AT276-AS276</f>
        <v>-258</v>
      </c>
      <c r="AU277" s="443">
        <f>+AU276-AT276</f>
        <v>-665</v>
      </c>
      <c r="AV277" s="267">
        <f>+AV276-AQ276</f>
        <v>603</v>
      </c>
      <c r="AW277" s="443">
        <f>+AW276-AV276</f>
        <v>59</v>
      </c>
      <c r="AX277" s="443">
        <f>+AX276-AW276</f>
        <v>-122</v>
      </c>
      <c r="AY277" s="443">
        <f>+AY276-AX276</f>
        <v>431</v>
      </c>
      <c r="AZ277" s="443">
        <f>+AZ276-AY276</f>
        <v>168</v>
      </c>
      <c r="BA277" s="267">
        <f>+BA276-AV276</f>
        <v>536</v>
      </c>
      <c r="BB277" s="443">
        <f>+BB276-BA276</f>
        <v>-45</v>
      </c>
      <c r="BC277" s="443">
        <f>+BC276-BB276</f>
        <v>-298</v>
      </c>
      <c r="BD277" s="443">
        <f>+BD276-BC276</f>
        <v>-840</v>
      </c>
      <c r="BE277" s="443">
        <f>+BE276-BD276</f>
        <v>-740</v>
      </c>
      <c r="BF277" s="267">
        <f>+BF276-BA276</f>
        <v>-1923</v>
      </c>
      <c r="BG277" s="443">
        <f>+BG276-BF276</f>
        <v>343</v>
      </c>
      <c r="BH277" s="443">
        <f>+BH276-BG276</f>
        <v>-650</v>
      </c>
      <c r="BI277" s="443">
        <f>+BI276-BH276</f>
        <v>-38</v>
      </c>
      <c r="BJ277" s="443">
        <f>+BJ276-BI276</f>
        <v>-634</v>
      </c>
      <c r="BK277" s="267">
        <f>+BK276-BF276</f>
        <v>-979</v>
      </c>
      <c r="BL277" s="443">
        <f>+BL276-BK276</f>
        <v>760</v>
      </c>
      <c r="BM277" s="443">
        <f>+BM276-BL276</f>
        <v>373</v>
      </c>
      <c r="BN277" s="443">
        <f>+BN276-BM276</f>
        <v>-727</v>
      </c>
      <c r="BO277" s="443">
        <f>+BO276-BN276</f>
        <v>-439</v>
      </c>
      <c r="BP277" s="267">
        <f>+BP276-BK276</f>
        <v>-33</v>
      </c>
      <c r="BQ277" s="443">
        <f>+BQ276-BP276</f>
        <v>1133</v>
      </c>
      <c r="BR277" s="443">
        <f>+BR276-BQ276</f>
        <v>834</v>
      </c>
      <c r="BS277" s="443">
        <f>+BS276-BR276</f>
        <v>1152</v>
      </c>
      <c r="BT277" s="443">
        <f>+BT276-BS276</f>
        <v>-564</v>
      </c>
      <c r="BU277" s="267">
        <f>+BU276-BP276</f>
        <v>2555</v>
      </c>
      <c r="BV277" s="443">
        <f>+BV276-BU276</f>
        <v>686</v>
      </c>
      <c r="BW277" s="443">
        <f>+BW276-BV276</f>
        <v>162</v>
      </c>
      <c r="BX277" s="443">
        <f>+BX276-BW276</f>
        <v>1862</v>
      </c>
      <c r="BY277" s="443">
        <f>+BY276-BX276</f>
        <v>-21</v>
      </c>
      <c r="BZ277" s="267">
        <f>+BZ276-BU276</f>
        <v>2689</v>
      </c>
      <c r="CA277" s="443">
        <f>+CA276-BZ276</f>
        <v>1822</v>
      </c>
      <c r="CB277" s="443">
        <f>+CB276-CA276</f>
        <v>24</v>
      </c>
      <c r="CC277" s="443">
        <f>+CC276-CB276</f>
        <v>-1219</v>
      </c>
      <c r="CD277" s="443">
        <f>+CD276-CC276</f>
        <v>-1535</v>
      </c>
      <c r="CE277" s="267">
        <f>+CE276-BZ276</f>
        <v>-908</v>
      </c>
      <c r="CF277" s="443">
        <f>+CF276-CE276</f>
        <v>1106</v>
      </c>
      <c r="CG277" s="443">
        <f>+CG276-CF276</f>
        <v>-1898</v>
      </c>
      <c r="CH277" s="443">
        <f>+CH276-CG276</f>
        <v>-949</v>
      </c>
      <c r="CI277" s="443">
        <f>+CI276-CH276</f>
        <v>-835</v>
      </c>
      <c r="CJ277" s="267">
        <f>+CJ276-CE276</f>
        <v>-2576</v>
      </c>
      <c r="CK277" s="443">
        <f>+CK276-CJ276</f>
        <v>1004</v>
      </c>
      <c r="CL277" s="443">
        <f>+CL276-CK276</f>
        <v>-135</v>
      </c>
      <c r="CM277" s="443">
        <f>+CM276-CL276</f>
        <v>-1015</v>
      </c>
      <c r="CN277" s="443">
        <f>+CN276-CM276</f>
        <v>-452</v>
      </c>
      <c r="CO277" s="267">
        <f>+CO276-CJ276</f>
        <v>-598</v>
      </c>
      <c r="CP277" s="443">
        <f>+CP276-CO276</f>
        <v>630</v>
      </c>
      <c r="CQ277" s="443">
        <f>+CQ276-CP276</f>
        <v>433</v>
      </c>
      <c r="CR277" s="443">
        <f>+CR276-CQ276</f>
        <v>285</v>
      </c>
      <c r="CS277" s="443">
        <f>+CS276-CR276</f>
        <v>-192</v>
      </c>
      <c r="CT277" s="267">
        <f>+CT276-CO276</f>
        <v>1156</v>
      </c>
      <c r="CU277" s="443">
        <f>+CU276-CT276</f>
        <v>868</v>
      </c>
      <c r="CV277" s="443">
        <f>+CV276-CU276</f>
        <v>-383.86941943058446</v>
      </c>
      <c r="CW277" s="443">
        <f>+CW276-CV276</f>
        <v>-37.514187491951816</v>
      </c>
      <c r="CX277" s="443">
        <f>+CX276-CW276</f>
        <v>-36.341781016195455</v>
      </c>
      <c r="CY277" s="267">
        <f>+CY276-CT276</f>
        <v>410.27461206126827</v>
      </c>
      <c r="CZ277" s="443">
        <f>+CZ276-CY276</f>
        <v>-202.14827674748631</v>
      </c>
      <c r="DA277" s="443">
        <f>+DA276-CZ276</f>
        <v>-171.40662048601371</v>
      </c>
      <c r="DB277" s="443">
        <f>+DB276-DA276</f>
        <v>112.16604958524658</v>
      </c>
      <c r="DC277" s="443">
        <f>+DC276-DB276</f>
        <v>-27.365073469911295</v>
      </c>
      <c r="DD277" s="267">
        <f>+DD276-CY276</f>
        <v>-288.75392111816473</v>
      </c>
      <c r="DE277" s="443">
        <f>+DE276-DD276</f>
        <v>-24.071302438152998</v>
      </c>
      <c r="DF277" s="443">
        <f>+DF276-DE276</f>
        <v>-63.200145736263948</v>
      </c>
      <c r="DG277" s="443">
        <f>+DG276-DF276</f>
        <v>179.83254303189824</v>
      </c>
      <c r="DH277" s="443">
        <f>+DH276-DG276</f>
        <v>40.883427861061136</v>
      </c>
      <c r="DI277" s="267">
        <f>+DI276-DD276</f>
        <v>133.44452271854243</v>
      </c>
    </row>
    <row r="278" spans="1:113" ht="12" customHeight="1">
      <c r="A278" s="219"/>
      <c r="B278" s="449"/>
      <c r="C278" s="9"/>
      <c r="D278" s="476"/>
      <c r="E278" s="477"/>
      <c r="F278" s="476"/>
      <c r="G278" s="477"/>
      <c r="H278" s="476"/>
      <c r="I278" s="477"/>
      <c r="J278" s="476"/>
      <c r="K278" s="477"/>
      <c r="L278" s="476"/>
      <c r="M278" s="477"/>
      <c r="N278" s="476"/>
      <c r="O278" s="476"/>
      <c r="P278" s="477"/>
      <c r="Q278" s="476"/>
      <c r="R278" s="477"/>
      <c r="S278" s="477"/>
      <c r="T278" s="477"/>
      <c r="U278" s="477"/>
      <c r="V278" s="476"/>
      <c r="W278" s="477"/>
      <c r="X278" s="477"/>
      <c r="Y278" s="477"/>
      <c r="Z278" s="477"/>
      <c r="AA278" s="476"/>
      <c r="AB278" s="476"/>
      <c r="AC278" s="477"/>
      <c r="AD278" s="477"/>
      <c r="AE278" s="477"/>
      <c r="AF278" s="477"/>
      <c r="AG278" s="476"/>
      <c r="AH278" s="477"/>
      <c r="AI278" s="477"/>
      <c r="AJ278" s="477"/>
      <c r="AK278" s="477"/>
      <c r="AL278" s="476"/>
      <c r="AM278" s="477"/>
      <c r="AN278" s="477"/>
      <c r="AO278" s="477"/>
      <c r="AP278" s="477"/>
      <c r="AQ278" s="476"/>
      <c r="AR278" s="477"/>
      <c r="AS278" s="477"/>
      <c r="AT278" s="477"/>
      <c r="AU278" s="477"/>
      <c r="AV278" s="476"/>
      <c r="AW278" s="477"/>
      <c r="AX278" s="477"/>
      <c r="AY278" s="477"/>
      <c r="AZ278" s="477"/>
      <c r="BA278" s="476"/>
      <c r="BB278" s="477"/>
      <c r="BC278" s="477"/>
      <c r="BD278" s="477"/>
      <c r="BE278" s="477"/>
      <c r="BF278" s="476"/>
      <c r="BG278" s="477"/>
      <c r="BH278" s="477"/>
      <c r="BI278" s="477"/>
      <c r="BJ278" s="477"/>
      <c r="BK278" s="476"/>
      <c r="BL278" s="477"/>
      <c r="BM278" s="477"/>
      <c r="BN278" s="477"/>
      <c r="BO278" s="477"/>
      <c r="BP278" s="476"/>
      <c r="BQ278" s="477"/>
      <c r="BR278" s="477"/>
      <c r="BS278" s="477"/>
      <c r="BT278" s="477"/>
      <c r="BU278" s="476"/>
      <c r="BV278" s="477"/>
      <c r="BW278" s="477"/>
      <c r="BX278" s="477"/>
      <c r="BY278" s="477"/>
      <c r="BZ278" s="476"/>
      <c r="CA278" s="477"/>
      <c r="CB278" s="477"/>
      <c r="CC278" s="477"/>
      <c r="CD278" s="477"/>
      <c r="CE278" s="476"/>
      <c r="CF278" s="477"/>
      <c r="CG278" s="477"/>
      <c r="CH278" s="477"/>
      <c r="CI278" s="477"/>
      <c r="CJ278" s="476"/>
      <c r="CK278" s="477"/>
      <c r="CL278" s="477"/>
      <c r="CM278" s="477"/>
      <c r="CN278" s="477"/>
      <c r="CO278" s="476"/>
      <c r="CP278" s="477"/>
      <c r="CQ278" s="477"/>
      <c r="CR278" s="477"/>
      <c r="CS278" s="477"/>
      <c r="CT278" s="476"/>
      <c r="CU278" s="477"/>
      <c r="CV278" s="477"/>
      <c r="CW278" s="477"/>
      <c r="CX278" s="477"/>
      <c r="CY278" s="476"/>
      <c r="CZ278" s="477"/>
      <c r="DA278" s="477"/>
      <c r="DB278" s="477"/>
      <c r="DC278" s="477"/>
      <c r="DD278" s="476"/>
      <c r="DE278" s="477"/>
      <c r="DF278" s="477"/>
      <c r="DG278" s="477"/>
      <c r="DH278" s="477"/>
      <c r="DI278" s="476"/>
    </row>
    <row r="279" spans="1:113" ht="12" customHeight="1">
      <c r="A279" s="5" t="str">
        <f>IF(ISBLANK(B279),"Scrap", " ")</f>
        <v xml:space="preserve"> </v>
      </c>
      <c r="B279" s="77" t="s">
        <v>256</v>
      </c>
      <c r="C279" s="344"/>
      <c r="D279" s="344"/>
      <c r="E279" s="344"/>
      <c r="F279" s="344"/>
      <c r="G279" s="344"/>
      <c r="H279" s="344"/>
      <c r="I279" s="344"/>
      <c r="J279" s="344"/>
      <c r="K279" s="344"/>
      <c r="L279" s="344"/>
      <c r="M279" s="344"/>
      <c r="N279" s="344"/>
      <c r="O279" s="344"/>
      <c r="P279" s="344"/>
      <c r="Q279" s="344"/>
      <c r="R279" s="345"/>
      <c r="S279" s="345"/>
      <c r="T279" s="345"/>
      <c r="U279" s="345"/>
      <c r="V279" s="344"/>
      <c r="W279" s="345"/>
      <c r="X279" s="345"/>
      <c r="Y279" s="345"/>
      <c r="Z279" s="345"/>
      <c r="AA279" s="345"/>
      <c r="AB279" s="345"/>
      <c r="AC279" s="345"/>
      <c r="AD279" s="345"/>
      <c r="AE279" s="345"/>
      <c r="AF279" s="345"/>
      <c r="AG279" s="345"/>
      <c r="AH279" s="345"/>
      <c r="AI279" s="345"/>
      <c r="AJ279" s="345"/>
      <c r="AK279" s="345"/>
      <c r="AL279" s="345"/>
      <c r="AM279" s="345"/>
      <c r="AN279" s="345"/>
      <c r="AO279" s="345"/>
      <c r="AP279" s="345"/>
      <c r="AQ279" s="345"/>
      <c r="AR279" s="345"/>
      <c r="AS279" s="345"/>
      <c r="AT279" s="345"/>
      <c r="AU279" s="345"/>
      <c r="AV279" s="345"/>
      <c r="AW279" s="345"/>
      <c r="AX279" s="345"/>
      <c r="AY279" s="345"/>
      <c r="AZ279" s="345"/>
      <c r="BA279" s="345"/>
      <c r="BB279" s="345"/>
      <c r="BC279" s="345"/>
      <c r="BD279" s="345"/>
      <c r="BE279" s="345"/>
      <c r="BF279" s="345"/>
      <c r="BG279" s="345"/>
      <c r="BH279" s="345"/>
      <c r="BI279" s="345"/>
      <c r="BJ279" s="345"/>
      <c r="BK279" s="345"/>
      <c r="BL279" s="345"/>
      <c r="BM279" s="345"/>
      <c r="BN279" s="345"/>
      <c r="BO279" s="345"/>
      <c r="BP279" s="345"/>
      <c r="BQ279" s="345"/>
      <c r="BR279" s="345"/>
      <c r="BS279" s="345"/>
      <c r="BT279" s="345"/>
      <c r="BU279" s="345"/>
      <c r="BV279" s="345"/>
      <c r="BW279" s="345"/>
      <c r="BX279" s="345"/>
      <c r="BY279" s="345"/>
      <c r="BZ279" s="345"/>
      <c r="CA279" s="345"/>
      <c r="CB279" s="345"/>
      <c r="CC279" s="345"/>
      <c r="CD279" s="345"/>
      <c r="CE279" s="345"/>
      <c r="CF279" s="345"/>
      <c r="CG279" s="345"/>
      <c r="CH279" s="345"/>
      <c r="CI279" s="345"/>
      <c r="CJ279" s="345"/>
      <c r="CK279" s="345"/>
      <c r="CL279" s="345"/>
      <c r="CM279" s="345"/>
      <c r="CN279" s="345"/>
      <c r="CO279" s="345"/>
      <c r="CP279" s="345"/>
      <c r="CQ279" s="345"/>
      <c r="CR279" s="345"/>
      <c r="CS279" s="345"/>
      <c r="CT279" s="345"/>
      <c r="CU279" s="345"/>
      <c r="CV279" s="345"/>
      <c r="CW279" s="56"/>
      <c r="CX279" s="56"/>
      <c r="CY279" s="56"/>
      <c r="CZ279" s="345"/>
      <c r="DA279" s="345"/>
      <c r="DB279" s="345"/>
      <c r="DC279" s="56"/>
      <c r="DD279" s="56"/>
      <c r="DE279" s="56"/>
      <c r="DF279" s="345"/>
      <c r="DG279" s="345"/>
      <c r="DH279" s="345"/>
      <c r="DI279" s="346"/>
    </row>
    <row r="280" spans="1:113" ht="12" customHeight="1">
      <c r="A280" s="219"/>
      <c r="B280" s="74"/>
      <c r="C280" s="9"/>
      <c r="D280" s="41"/>
      <c r="E280" s="9"/>
      <c r="F280" s="41"/>
      <c r="G280" s="9"/>
      <c r="H280" s="41"/>
      <c r="I280" s="9"/>
      <c r="J280" s="41"/>
      <c r="K280" s="9"/>
      <c r="L280" s="41"/>
      <c r="M280" s="9"/>
      <c r="N280" s="41"/>
      <c r="O280" s="41"/>
      <c r="P280" s="9"/>
      <c r="Q280" s="41"/>
      <c r="R280" s="9"/>
      <c r="S280" s="9"/>
      <c r="T280" s="9"/>
      <c r="U280" s="9"/>
      <c r="V280" s="41"/>
      <c r="W280" s="9"/>
      <c r="X280" s="9"/>
      <c r="Y280" s="9"/>
      <c r="Z280" s="9"/>
      <c r="AA280" s="41"/>
      <c r="AB280" s="41"/>
      <c r="AC280" s="9"/>
      <c r="AD280" s="9"/>
      <c r="AE280" s="9"/>
      <c r="AF280" s="9"/>
      <c r="AG280" s="41"/>
      <c r="AH280" s="9"/>
      <c r="AI280" s="9"/>
      <c r="AJ280" s="9"/>
      <c r="AK280" s="9"/>
      <c r="AL280" s="41"/>
      <c r="AM280" s="9"/>
      <c r="AN280" s="9"/>
      <c r="AO280" s="9"/>
      <c r="AP280" s="9"/>
      <c r="AQ280" s="41"/>
      <c r="AR280" s="9"/>
      <c r="AS280" s="9"/>
      <c r="AT280" s="9"/>
      <c r="AU280" s="9"/>
      <c r="AV280" s="41"/>
      <c r="AW280" s="9"/>
      <c r="AX280" s="9"/>
      <c r="AY280" s="9"/>
      <c r="AZ280" s="9"/>
      <c r="BA280" s="41"/>
      <c r="BB280" s="9"/>
      <c r="BC280" s="9"/>
      <c r="BD280" s="9"/>
      <c r="BE280" s="9"/>
      <c r="BF280" s="41"/>
      <c r="BG280" s="9"/>
      <c r="BH280" s="9"/>
      <c r="BI280" s="9"/>
      <c r="BJ280" s="9"/>
      <c r="BK280" s="41"/>
      <c r="BL280" s="9"/>
      <c r="BM280" s="9"/>
      <c r="BN280" s="9"/>
      <c r="BO280" s="9"/>
      <c r="BP280" s="41"/>
      <c r="BQ280" s="9"/>
      <c r="BR280" s="9"/>
      <c r="BS280" s="9"/>
      <c r="BT280" s="9"/>
      <c r="BU280" s="41"/>
      <c r="BV280" s="9"/>
      <c r="BW280" s="9"/>
      <c r="BX280" s="9"/>
      <c r="BY280" s="9"/>
      <c r="BZ280" s="41"/>
      <c r="CA280" s="9"/>
      <c r="CB280" s="9"/>
      <c r="CC280" s="9"/>
      <c r="CD280" s="9"/>
      <c r="CE280" s="41"/>
      <c r="CF280" s="9"/>
      <c r="CG280" s="9"/>
      <c r="CH280" s="9"/>
      <c r="CI280" s="9"/>
      <c r="CJ280" s="488"/>
      <c r="CK280" s="9"/>
      <c r="CL280" s="9"/>
      <c r="CM280" s="9"/>
      <c r="CN280" s="9"/>
      <c r="CO280" s="41"/>
      <c r="CP280" s="9"/>
      <c r="CQ280" s="9"/>
      <c r="CR280" s="9"/>
      <c r="CS280" s="9"/>
      <c r="CT280" s="41"/>
      <c r="CU280" s="9"/>
      <c r="CV280" s="9"/>
      <c r="CW280" s="9"/>
      <c r="CX280" s="9"/>
      <c r="CY280" s="41"/>
      <c r="CZ280" s="9"/>
      <c r="DA280" s="9"/>
      <c r="DB280" s="9"/>
      <c r="DC280" s="9"/>
      <c r="DD280" s="41"/>
      <c r="DE280" s="9"/>
      <c r="DF280" s="9"/>
      <c r="DG280" s="9"/>
      <c r="DH280" s="9"/>
      <c r="DI280" s="41"/>
    </row>
    <row r="281" spans="1:113" s="7" customFormat="1" ht="12" customHeight="1">
      <c r="A281" s="239" t="str">
        <f>IF(ISBLANK(B281),"Scrap", " ")</f>
        <v xml:space="preserve"> </v>
      </c>
      <c r="B281" s="20" t="s">
        <v>257</v>
      </c>
      <c r="C281" s="43">
        <f>+'2. Consolidated'!C207</f>
        <v>452.36500000000001</v>
      </c>
      <c r="D281" s="36">
        <f>+'2. Consolidated'!D207</f>
        <v>555.36900000000003</v>
      </c>
      <c r="E281" s="43">
        <f>+'2. Consolidated'!E207</f>
        <v>481.82100000000202</v>
      </c>
      <c r="F281" s="36">
        <f>+'2. Consolidated'!F207</f>
        <v>420.1</v>
      </c>
      <c r="G281" s="43">
        <f>+'2. Consolidated'!G207</f>
        <v>974.30000000000007</v>
      </c>
      <c r="H281" s="36">
        <f>+'2. Consolidated'!H207</f>
        <v>860.69999999999993</v>
      </c>
      <c r="I281" s="43">
        <f>+'2. Consolidated'!I207</f>
        <v>480.5</v>
      </c>
      <c r="J281" s="36">
        <f>+'2. Consolidated'!J207</f>
        <v>281.10000000000002</v>
      </c>
      <c r="K281" s="43">
        <f>+'2. Consolidated'!K207</f>
        <v>152.6</v>
      </c>
      <c r="L281" s="36">
        <f>+'2. Consolidated'!L207</f>
        <v>76</v>
      </c>
      <c r="M281" s="43">
        <f>+'2. Consolidated'!M207</f>
        <v>298.7</v>
      </c>
      <c r="N281" s="36">
        <f>+'2. Consolidated'!N207</f>
        <v>131.30000000000001</v>
      </c>
      <c r="O281" s="36">
        <f>+'2. Consolidated'!O207</f>
        <v>184</v>
      </c>
      <c r="P281" s="43">
        <f>+'2. Consolidated'!P207</f>
        <v>374.9</v>
      </c>
      <c r="Q281" s="36">
        <f>+'2. Consolidated'!Q207</f>
        <v>146</v>
      </c>
      <c r="R281" s="43">
        <f>+'2. Consolidated'!R207</f>
        <v>241</v>
      </c>
      <c r="S281" s="43">
        <f>+'2. Consolidated'!S207</f>
        <v>260</v>
      </c>
      <c r="T281" s="43">
        <f>+'2. Consolidated'!T207</f>
        <v>337</v>
      </c>
      <c r="U281" s="43">
        <f>+'2. Consolidated'!U207</f>
        <v>387</v>
      </c>
      <c r="V281" s="36">
        <f>+'2. Consolidated'!V207</f>
        <v>387</v>
      </c>
      <c r="W281" s="43">
        <f>+'2. Consolidated'!W207</f>
        <v>280</v>
      </c>
      <c r="X281" s="43">
        <f>+'2. Consolidated'!X207</f>
        <v>237</v>
      </c>
      <c r="Y281" s="43">
        <f>+'2. Consolidated'!Y207</f>
        <v>140</v>
      </c>
      <c r="Z281" s="43">
        <f>+'2. Consolidated'!Z207</f>
        <v>157</v>
      </c>
      <c r="AA281" s="36">
        <f>+'2. Consolidated'!AA207</f>
        <v>157</v>
      </c>
      <c r="AB281" s="36"/>
      <c r="AC281" s="43">
        <f>+'2. Consolidated'!AC207</f>
        <v>138</v>
      </c>
      <c r="AD281" s="43">
        <f>+'2. Consolidated'!AD207</f>
        <v>158</v>
      </c>
      <c r="AE281" s="43">
        <f>+'2. Consolidated'!AE207</f>
        <v>160</v>
      </c>
      <c r="AF281" s="43">
        <f>+'2. Consolidated'!AF207</f>
        <v>178</v>
      </c>
      <c r="AG281" s="36">
        <f>+'2. Consolidated'!AG207</f>
        <v>178</v>
      </c>
      <c r="AH281" s="43">
        <f>+'2. Consolidated'!AH207</f>
        <v>168</v>
      </c>
      <c r="AI281" s="43">
        <f>+'2. Consolidated'!AI207</f>
        <v>180</v>
      </c>
      <c r="AJ281" s="43">
        <f>+'2. Consolidated'!AJ207</f>
        <v>126</v>
      </c>
      <c r="AK281" s="43">
        <f>+'2. Consolidated'!AK207</f>
        <v>174</v>
      </c>
      <c r="AL281" s="36">
        <f>+'2. Consolidated'!AL207</f>
        <v>174</v>
      </c>
      <c r="AM281" s="43">
        <f>+'2. Consolidated'!AM207</f>
        <v>152</v>
      </c>
      <c r="AN281" s="43">
        <f>+'2. Consolidated'!AN207</f>
        <v>203</v>
      </c>
      <c r="AO281" s="43">
        <f>+'2. Consolidated'!AO207</f>
        <v>169</v>
      </c>
      <c r="AP281" s="43">
        <f>+'2. Consolidated'!AP207</f>
        <v>181</v>
      </c>
      <c r="AQ281" s="36">
        <f>+'2. Consolidated'!AQ207</f>
        <v>181</v>
      </c>
      <c r="AR281" s="43">
        <f>+'2. Consolidated'!AR207</f>
        <v>129</v>
      </c>
      <c r="AS281" s="43">
        <f>+'2. Consolidated'!AS207</f>
        <v>104</v>
      </c>
      <c r="AT281" s="43">
        <f>+'2. Consolidated'!AT207</f>
        <v>7</v>
      </c>
      <c r="AU281" s="43">
        <f>+'2. Consolidated'!AU207</f>
        <v>45</v>
      </c>
      <c r="AV281" s="36">
        <f>+'2. Consolidated'!AV207</f>
        <v>45</v>
      </c>
      <c r="AW281" s="43">
        <f>+'2. Consolidated'!AW207</f>
        <v>66</v>
      </c>
      <c r="AX281" s="43">
        <f>+'2. Consolidated'!AX207</f>
        <v>64</v>
      </c>
      <c r="AY281" s="43">
        <f>+'2. Consolidated'!AY207</f>
        <v>29</v>
      </c>
      <c r="AZ281" s="43">
        <f>+'2. Consolidated'!AZ207</f>
        <v>331</v>
      </c>
      <c r="BA281" s="36">
        <f>+'2. Consolidated'!BA207</f>
        <v>331</v>
      </c>
      <c r="BB281" s="43">
        <f>+'2. Consolidated'!BB207</f>
        <v>342</v>
      </c>
      <c r="BC281" s="43">
        <f>+'2. Consolidated'!BC207</f>
        <v>1239</v>
      </c>
      <c r="BD281" s="43">
        <f>+'2. Consolidated'!BD207</f>
        <v>17</v>
      </c>
      <c r="BE281" s="43">
        <f>+'2. Consolidated'!BE207</f>
        <v>342</v>
      </c>
      <c r="BF281" s="36">
        <f>+'2. Consolidated'!BF207</f>
        <v>342</v>
      </c>
      <c r="BG281" s="43">
        <f>+'2. Consolidated'!BG207</f>
        <v>19</v>
      </c>
      <c r="BH281" s="43">
        <f>+'2. Consolidated'!BH207</f>
        <v>15</v>
      </c>
      <c r="BI281" s="43">
        <f>+'2. Consolidated'!BI207</f>
        <v>22</v>
      </c>
      <c r="BJ281" s="43">
        <f>+'2. Consolidated'!BJ207</f>
        <v>15</v>
      </c>
      <c r="BK281" s="36">
        <f>+'2. Consolidated'!BK207</f>
        <v>15</v>
      </c>
      <c r="BL281" s="43">
        <f>+'2. Consolidated'!BL207</f>
        <v>256</v>
      </c>
      <c r="BM281" s="43">
        <f>+'2. Consolidated'!BM207</f>
        <v>306</v>
      </c>
      <c r="BN281" s="43">
        <f>+'2. Consolidated'!BN207</f>
        <v>13</v>
      </c>
      <c r="BO281" s="43">
        <f>+'2. Consolidated'!BO207</f>
        <v>251</v>
      </c>
      <c r="BP281" s="36">
        <f>+'2. Consolidated'!BP207</f>
        <v>251</v>
      </c>
      <c r="BQ281" s="43">
        <f>+'2. Consolidated'!BQ207</f>
        <v>138</v>
      </c>
      <c r="BR281" s="43">
        <f>+'2. Consolidated'!BR207</f>
        <v>41</v>
      </c>
      <c r="BS281" s="43">
        <f>+'2. Consolidated'!BS207</f>
        <v>4</v>
      </c>
      <c r="BT281" s="369">
        <f>+'2. Consolidated'!BT207</f>
        <v>2</v>
      </c>
      <c r="BU281" s="36">
        <f>+'2. Consolidated'!BU207</f>
        <v>2</v>
      </c>
      <c r="BV281" s="43">
        <f>+'2. Consolidated'!BV207</f>
        <v>15</v>
      </c>
      <c r="BW281" s="43">
        <f>+'2. Consolidated'!BW207</f>
        <v>9</v>
      </c>
      <c r="BX281" s="43">
        <f>+'2. Consolidated'!BX207</f>
        <v>0</v>
      </c>
      <c r="BY281" s="369">
        <f>+'2. Consolidated'!BY207</f>
        <v>510</v>
      </c>
      <c r="BZ281" s="36">
        <f>+'2. Consolidated'!BZ207</f>
        <v>510</v>
      </c>
      <c r="CA281" s="43">
        <f>+'2. Consolidated'!CA207</f>
        <v>509</v>
      </c>
      <c r="CB281" s="43">
        <f>+'2. Consolidated'!CB207</f>
        <v>507</v>
      </c>
      <c r="CC281" s="43">
        <f>+'2. Consolidated'!CC207</f>
        <v>514</v>
      </c>
      <c r="CD281" s="43">
        <f>+'2. Consolidated'!CD207</f>
        <v>6</v>
      </c>
      <c r="CE281" s="36">
        <f>+'2. Consolidated'!CE207</f>
        <v>6</v>
      </c>
      <c r="CF281" s="43">
        <f>+'2. Consolidated'!CF207</f>
        <v>6</v>
      </c>
      <c r="CG281" s="43">
        <f>+'2. Consolidated'!CG207</f>
        <v>6</v>
      </c>
      <c r="CH281" s="43">
        <f>+'2. Consolidated'!CH207</f>
        <v>6</v>
      </c>
      <c r="CI281" s="43">
        <f>+'2. Consolidated'!CI207</f>
        <v>1006</v>
      </c>
      <c r="CJ281" s="36">
        <f>+'2. Consolidated'!CJ207</f>
        <v>1006</v>
      </c>
      <c r="CK281" s="43">
        <f>+'2. Consolidated'!CK207</f>
        <v>1012</v>
      </c>
      <c r="CL281" s="43">
        <f>+'2. Consolidated'!CL207</f>
        <v>1049</v>
      </c>
      <c r="CM281" s="43">
        <f>+'2. Consolidated'!CM207</f>
        <v>1004</v>
      </c>
      <c r="CN281" s="43">
        <f>+'2. Consolidated'!CN207</f>
        <v>5</v>
      </c>
      <c r="CO281" s="36">
        <f>+'2. Consolidated'!CO207</f>
        <v>5</v>
      </c>
      <c r="CP281" s="43">
        <f>+'2. Consolidated'!CP207</f>
        <v>4</v>
      </c>
      <c r="CQ281" s="43">
        <f>+'2. Consolidated'!CQ207</f>
        <v>999</v>
      </c>
      <c r="CR281" s="43">
        <f>+'2. Consolidated'!CR207</f>
        <v>999</v>
      </c>
      <c r="CS281" s="43">
        <f>+'2. Consolidated'!CS207</f>
        <v>2000</v>
      </c>
      <c r="CT281" s="36">
        <f>+'2. Consolidated'!CT207</f>
        <v>2000</v>
      </c>
      <c r="CU281" s="43">
        <f>+'2. Consolidated'!CU207</f>
        <v>2000</v>
      </c>
      <c r="CV281" s="43">
        <f>+'2. Consolidated'!CV207</f>
        <v>2000</v>
      </c>
      <c r="CW281" s="43">
        <f>+'2. Consolidated'!CW207</f>
        <v>2000</v>
      </c>
      <c r="CX281" s="43">
        <f>+'2. Consolidated'!CX207</f>
        <v>2000</v>
      </c>
      <c r="CY281" s="36">
        <f>+'2. Consolidated'!CY207</f>
        <v>2000</v>
      </c>
      <c r="CZ281" s="43">
        <f>+'2. Consolidated'!CZ207</f>
        <v>2000</v>
      </c>
      <c r="DA281" s="43">
        <f>+'2. Consolidated'!DA207</f>
        <v>2000</v>
      </c>
      <c r="DB281" s="43">
        <f>+'2. Consolidated'!DB207</f>
        <v>2000</v>
      </c>
      <c r="DC281" s="43">
        <f>+'2. Consolidated'!DC207</f>
        <v>2000</v>
      </c>
      <c r="DD281" s="36">
        <f>+'2. Consolidated'!DD207</f>
        <v>2000</v>
      </c>
      <c r="DE281" s="43">
        <f>+'2. Consolidated'!DE207</f>
        <v>2000</v>
      </c>
      <c r="DF281" s="43">
        <f>+'2. Consolidated'!DF207</f>
        <v>2000</v>
      </c>
      <c r="DG281" s="43">
        <f>+'2. Consolidated'!DG207</f>
        <v>2000</v>
      </c>
      <c r="DH281" s="43">
        <f>+'2. Consolidated'!DH207</f>
        <v>2000</v>
      </c>
      <c r="DI281" s="36">
        <f>+'2. Consolidated'!DI207</f>
        <v>2000</v>
      </c>
    </row>
    <row r="282" spans="1:113" s="7" customFormat="1" ht="12" customHeight="1">
      <c r="A282" s="239" t="str">
        <f>IF(ISBLANK(B282),"Scrap", " ")</f>
        <v xml:space="preserve"> </v>
      </c>
      <c r="B282" s="20" t="s">
        <v>258</v>
      </c>
      <c r="C282" s="43">
        <f>+'2. Consolidated'!C213</f>
        <v>9.5839999999999996</v>
      </c>
      <c r="D282" s="36">
        <f>+'2. Consolidated'!D213</f>
        <v>296.02</v>
      </c>
      <c r="E282" s="43">
        <f>+'2. Consolidated'!E213</f>
        <v>379.4</v>
      </c>
      <c r="F282" s="36">
        <f>+'2. Consolidated'!F213</f>
        <v>386.1</v>
      </c>
      <c r="G282" s="43">
        <f>+'2. Consolidated'!G213</f>
        <v>470.3</v>
      </c>
      <c r="H282" s="36">
        <f>+'2. Consolidated'!H213</f>
        <v>435.9</v>
      </c>
      <c r="I282" s="43">
        <f>+'2. Consolidated'!I213</f>
        <v>625.9</v>
      </c>
      <c r="J282" s="36">
        <f>+'2. Consolidated'!J213</f>
        <v>551.6</v>
      </c>
      <c r="K282" s="43">
        <f>+'2. Consolidated'!K213</f>
        <v>682.4</v>
      </c>
      <c r="L282" s="36">
        <f>+'2. Consolidated'!L213</f>
        <v>687.3</v>
      </c>
      <c r="M282" s="43">
        <f>+'2. Consolidated'!M213</f>
        <v>410.7</v>
      </c>
      <c r="N282" s="36">
        <f>+'2. Consolidated'!N213</f>
        <v>409.9</v>
      </c>
      <c r="O282" s="36">
        <f>+'2. Consolidated'!O213</f>
        <v>441.1</v>
      </c>
      <c r="P282" s="43">
        <f>+'2. Consolidated'!P213</f>
        <v>437.2</v>
      </c>
      <c r="Q282" s="36">
        <f>+'2. Consolidated'!Q213</f>
        <v>446</v>
      </c>
      <c r="R282" s="43">
        <f>+'2. Consolidated'!R213</f>
        <v>342</v>
      </c>
      <c r="S282" s="43">
        <f>+'2. Consolidated'!S213</f>
        <v>338</v>
      </c>
      <c r="T282" s="43">
        <f>+'2. Consolidated'!T213</f>
        <v>276</v>
      </c>
      <c r="U282" s="43">
        <f>+'2. Consolidated'!U213</f>
        <v>276</v>
      </c>
      <c r="V282" s="36">
        <f>+'2. Consolidated'!V213</f>
        <v>276</v>
      </c>
      <c r="W282" s="43">
        <f>+'2. Consolidated'!W213</f>
        <v>238</v>
      </c>
      <c r="X282" s="43">
        <f>+'2. Consolidated'!X213</f>
        <v>234</v>
      </c>
      <c r="Y282" s="43">
        <f>+'2. Consolidated'!Y213</f>
        <v>229</v>
      </c>
      <c r="Z282" s="43">
        <f>+'2. Consolidated'!Z213</f>
        <v>228</v>
      </c>
      <c r="AA282" s="36">
        <f>+'2. Consolidated'!AA213</f>
        <v>228</v>
      </c>
      <c r="AB282" s="36"/>
      <c r="AC282" s="43">
        <f>+'2. Consolidated'!AC213</f>
        <v>226</v>
      </c>
      <c r="AD282" s="43">
        <f>+'2. Consolidated'!AD213</f>
        <v>170</v>
      </c>
      <c r="AE282" s="43">
        <f>+'2. Consolidated'!AE213</f>
        <v>161</v>
      </c>
      <c r="AF282" s="43">
        <f>+'2. Consolidated'!AF213</f>
        <v>1210</v>
      </c>
      <c r="AG282" s="36">
        <f>+'2. Consolidated'!AG213</f>
        <v>1210</v>
      </c>
      <c r="AH282" s="43">
        <f>+'2. Consolidated'!AH213</f>
        <v>1207</v>
      </c>
      <c r="AI282" s="43">
        <f>+'2. Consolidated'!AI213</f>
        <v>1201</v>
      </c>
      <c r="AJ282" s="43">
        <f>+'2. Consolidated'!AJ213</f>
        <v>1201</v>
      </c>
      <c r="AK282" s="43">
        <f>+'2. Consolidated'!AK213</f>
        <v>1199</v>
      </c>
      <c r="AL282" s="36">
        <f>+'2. Consolidated'!AL213</f>
        <v>1199</v>
      </c>
      <c r="AM282" s="43">
        <f>+'2. Consolidated'!AM213</f>
        <v>1195</v>
      </c>
      <c r="AN282" s="43">
        <f>+'2. Consolidated'!AN213</f>
        <v>1084</v>
      </c>
      <c r="AO282" s="43">
        <f>+'2. Consolidated'!AO213</f>
        <v>1082</v>
      </c>
      <c r="AP282" s="43">
        <f>+'2. Consolidated'!AP213</f>
        <v>1079</v>
      </c>
      <c r="AQ282" s="36">
        <f>+'2. Consolidated'!AQ213</f>
        <v>1079</v>
      </c>
      <c r="AR282" s="43">
        <f>+'2. Consolidated'!AR213</f>
        <v>1079</v>
      </c>
      <c r="AS282" s="43">
        <f>+'2. Consolidated'!AS213</f>
        <v>2067</v>
      </c>
      <c r="AT282" s="43">
        <f>+'2. Consolidated'!AT213</f>
        <v>2048</v>
      </c>
      <c r="AU282" s="43">
        <f>+'2. Consolidated'!AU213</f>
        <v>2010</v>
      </c>
      <c r="AV282" s="36">
        <f>+'2. Consolidated'!AV213</f>
        <v>2010</v>
      </c>
      <c r="AW282" s="43">
        <f>+'2. Consolidated'!AW213</f>
        <v>1993</v>
      </c>
      <c r="AX282" s="43">
        <f>+'2. Consolidated'!AX213</f>
        <v>3473</v>
      </c>
      <c r="AY282" s="43">
        <f>+'2. Consolidated'!AY213</f>
        <v>3472</v>
      </c>
      <c r="AZ282" s="43">
        <f>+'2. Consolidated'!AZ213</f>
        <v>3471</v>
      </c>
      <c r="BA282" s="36">
        <f>+'2. Consolidated'!BA213</f>
        <v>3471</v>
      </c>
      <c r="BB282" s="43">
        <f>+'2. Consolidated'!BB213</f>
        <v>3472</v>
      </c>
      <c r="BC282" s="43">
        <f>+'2. Consolidated'!BC213</f>
        <v>3472</v>
      </c>
      <c r="BD282" s="43">
        <f>+'2. Consolidated'!BD213</f>
        <v>3469</v>
      </c>
      <c r="BE282" s="43">
        <f>+'2. Consolidated'!BE213</f>
        <v>3468</v>
      </c>
      <c r="BF282" s="36">
        <f>+'2. Consolidated'!BF213</f>
        <v>3468</v>
      </c>
      <c r="BG282" s="43">
        <f>+'2. Consolidated'!BG213</f>
        <v>3467</v>
      </c>
      <c r="BH282" s="43">
        <f>+'2. Consolidated'!BH213</f>
        <v>3466</v>
      </c>
      <c r="BI282" s="43">
        <f>+'2. Consolidated'!BI213</f>
        <v>3465</v>
      </c>
      <c r="BJ282" s="43">
        <f>+'2. Consolidated'!BJ213</f>
        <v>3464</v>
      </c>
      <c r="BK282" s="36">
        <f>+'2. Consolidated'!BK213</f>
        <v>3464</v>
      </c>
      <c r="BL282" s="43">
        <f>+'2. Consolidated'!BL213</f>
        <v>3463</v>
      </c>
      <c r="BM282" s="43">
        <f>+'2. Consolidated'!BM213</f>
        <v>3462</v>
      </c>
      <c r="BN282" s="43">
        <f>+'2. Consolidated'!BN213</f>
        <v>3463</v>
      </c>
      <c r="BO282" s="43">
        <f>+'2. Consolidated'!BO213</f>
        <v>9406</v>
      </c>
      <c r="BP282" s="36">
        <f>+'2. Consolidated'!BP213</f>
        <v>9406</v>
      </c>
      <c r="BQ282" s="43">
        <f>+'2. Consolidated'!BQ213</f>
        <v>9408</v>
      </c>
      <c r="BR282" s="43">
        <f>+'2. Consolidated'!BR213</f>
        <v>9410</v>
      </c>
      <c r="BS282" s="43">
        <f>+'2. Consolidated'!BS213</f>
        <v>9412</v>
      </c>
      <c r="BT282" s="369">
        <f>+'2. Consolidated'!BT213</f>
        <v>9413</v>
      </c>
      <c r="BU282" s="36">
        <f>+'2. Consolidated'!BU213</f>
        <v>9413</v>
      </c>
      <c r="BV282" s="43">
        <f>+'2. Consolidated'!BV213</f>
        <v>9415</v>
      </c>
      <c r="BW282" s="43">
        <f>+'2. Consolidated'!BW213</f>
        <v>9417</v>
      </c>
      <c r="BX282" s="43">
        <f>+'2. Consolidated'!BX213</f>
        <v>9418</v>
      </c>
      <c r="BY282" s="369">
        <f>+'2. Consolidated'!BY213</f>
        <v>8920</v>
      </c>
      <c r="BZ282" s="36">
        <f>+'2. Consolidated'!BZ213</f>
        <v>8920</v>
      </c>
      <c r="CA282" s="43">
        <f>+'2. Consolidated'!CA213</f>
        <v>8922</v>
      </c>
      <c r="CB282" s="43">
        <f>+'2. Consolidated'!CB213</f>
        <v>8924</v>
      </c>
      <c r="CC282" s="43">
        <f>+'2. Consolidated'!CC213</f>
        <v>8925</v>
      </c>
      <c r="CD282" s="43">
        <f>+'2. Consolidated'!CD213</f>
        <v>8927</v>
      </c>
      <c r="CE282" s="36">
        <f>+'2. Consolidated'!CE213</f>
        <v>8927</v>
      </c>
      <c r="CF282" s="43">
        <f>+'2. Consolidated'!CF213</f>
        <v>8929</v>
      </c>
      <c r="CG282" s="43">
        <f>+'2. Consolidated'!CG213</f>
        <v>8930</v>
      </c>
      <c r="CH282" s="43">
        <f>+'2. Consolidated'!CH213</f>
        <v>8930</v>
      </c>
      <c r="CI282" s="43">
        <f>+'2. Consolidated'!CI213</f>
        <v>7903</v>
      </c>
      <c r="CJ282" s="36">
        <f>+'2. Consolidated'!CJ213</f>
        <v>7903</v>
      </c>
      <c r="CK282" s="43">
        <f>+'2. Consolidated'!CK213</f>
        <v>7998</v>
      </c>
      <c r="CL282" s="43">
        <f>+'2. Consolidated'!CL213</f>
        <v>7973</v>
      </c>
      <c r="CM282" s="43">
        <f>+'2. Consolidated'!CM213</f>
        <v>7956</v>
      </c>
      <c r="CN282" s="43">
        <f>+'2. Consolidated'!CN213</f>
        <v>7961</v>
      </c>
      <c r="CO282" s="36">
        <f>+'2. Consolidated'!CO213</f>
        <v>7961</v>
      </c>
      <c r="CP282" s="43">
        <f>+'2. Consolidated'!CP213</f>
        <v>7996</v>
      </c>
      <c r="CQ282" s="43">
        <f>+'2. Consolidated'!CQ213</f>
        <v>7016</v>
      </c>
      <c r="CR282" s="43">
        <f>+'2. Consolidated'!CR213</f>
        <v>7030</v>
      </c>
      <c r="CS282" s="43">
        <f>+'2. Consolidated'!CS213</f>
        <v>5942</v>
      </c>
      <c r="CT282" s="36">
        <f>+'2. Consolidated'!CT213</f>
        <v>5942</v>
      </c>
      <c r="CU282" s="43">
        <f>+'2. Consolidated'!CU213</f>
        <v>5893</v>
      </c>
      <c r="CV282" s="43">
        <f>+'2. Consolidated'!CV213</f>
        <v>5893</v>
      </c>
      <c r="CW282" s="43">
        <f>+'2. Consolidated'!CW213</f>
        <v>5893</v>
      </c>
      <c r="CX282" s="43">
        <f>+'2. Consolidated'!CX213</f>
        <v>5893</v>
      </c>
      <c r="CY282" s="36">
        <f>+'2. Consolidated'!CY213</f>
        <v>5893</v>
      </c>
      <c r="CZ282" s="43">
        <f>+'2. Consolidated'!CZ213</f>
        <v>5893</v>
      </c>
      <c r="DA282" s="43">
        <f>+'2. Consolidated'!DA213</f>
        <v>5893</v>
      </c>
      <c r="DB282" s="43">
        <f>+'2. Consolidated'!DB213</f>
        <v>5893</v>
      </c>
      <c r="DC282" s="43">
        <f>+'2. Consolidated'!DC213</f>
        <v>5893</v>
      </c>
      <c r="DD282" s="36">
        <f>+'2. Consolidated'!DD213</f>
        <v>5893</v>
      </c>
      <c r="DE282" s="43">
        <f>+'2. Consolidated'!DE213</f>
        <v>5893</v>
      </c>
      <c r="DF282" s="43">
        <f>+'2. Consolidated'!DF213</f>
        <v>5893</v>
      </c>
      <c r="DG282" s="43">
        <f>+'2. Consolidated'!DG213</f>
        <v>5893</v>
      </c>
      <c r="DH282" s="43">
        <f>+'2. Consolidated'!DH213</f>
        <v>5893</v>
      </c>
      <c r="DI282" s="36">
        <f>+'2. Consolidated'!DI213</f>
        <v>5893</v>
      </c>
    </row>
    <row r="283" spans="1:113" s="7" customFormat="1" ht="12" customHeight="1">
      <c r="A283" s="239" t="str">
        <f>IF(ISBLANK(B283),"Scrap", " ")</f>
        <v xml:space="preserve"> </v>
      </c>
      <c r="B283" s="362" t="s">
        <v>259</v>
      </c>
      <c r="C283" s="43">
        <f t="shared" ref="C283:AA283" si="721">+C281+C282</f>
        <v>461.94900000000001</v>
      </c>
      <c r="D283" s="36">
        <f t="shared" si="721"/>
        <v>851.38900000000001</v>
      </c>
      <c r="E283" s="43">
        <f t="shared" si="721"/>
        <v>861.22100000000205</v>
      </c>
      <c r="F283" s="36">
        <f t="shared" si="721"/>
        <v>806.2</v>
      </c>
      <c r="G283" s="43">
        <f t="shared" si="721"/>
        <v>1444.6000000000001</v>
      </c>
      <c r="H283" s="36">
        <f t="shared" si="721"/>
        <v>1296.5999999999999</v>
      </c>
      <c r="I283" s="43">
        <f t="shared" si="721"/>
        <v>1106.4000000000001</v>
      </c>
      <c r="J283" s="36">
        <f t="shared" si="721"/>
        <v>832.7</v>
      </c>
      <c r="K283" s="43">
        <f t="shared" si="721"/>
        <v>835</v>
      </c>
      <c r="L283" s="36">
        <f t="shared" si="721"/>
        <v>763.3</v>
      </c>
      <c r="M283" s="43">
        <f t="shared" si="721"/>
        <v>709.4</v>
      </c>
      <c r="N283" s="36">
        <f t="shared" si="721"/>
        <v>541.20000000000005</v>
      </c>
      <c r="O283" s="36">
        <f t="shared" si="721"/>
        <v>625.1</v>
      </c>
      <c r="P283" s="43">
        <f t="shared" si="721"/>
        <v>812.09999999999991</v>
      </c>
      <c r="Q283" s="36">
        <f t="shared" si="721"/>
        <v>592</v>
      </c>
      <c r="R283" s="43">
        <f t="shared" si="721"/>
        <v>583</v>
      </c>
      <c r="S283" s="43">
        <f t="shared" si="721"/>
        <v>598</v>
      </c>
      <c r="T283" s="43">
        <f t="shared" si="721"/>
        <v>613</v>
      </c>
      <c r="U283" s="43">
        <f t="shared" si="721"/>
        <v>663</v>
      </c>
      <c r="V283" s="36">
        <f t="shared" si="721"/>
        <v>663</v>
      </c>
      <c r="W283" s="43">
        <f t="shared" si="721"/>
        <v>518</v>
      </c>
      <c r="X283" s="43">
        <f t="shared" si="721"/>
        <v>471</v>
      </c>
      <c r="Y283" s="43">
        <f t="shared" si="721"/>
        <v>369</v>
      </c>
      <c r="Z283" s="43">
        <f t="shared" si="721"/>
        <v>385</v>
      </c>
      <c r="AA283" s="36">
        <f t="shared" si="721"/>
        <v>385</v>
      </c>
      <c r="AB283" s="36"/>
      <c r="AC283" s="43">
        <f t="shared" ref="AC283:BH283" si="722">+AC281+AC282</f>
        <v>364</v>
      </c>
      <c r="AD283" s="43">
        <f t="shared" si="722"/>
        <v>328</v>
      </c>
      <c r="AE283" s="43">
        <f t="shared" si="722"/>
        <v>321</v>
      </c>
      <c r="AF283" s="43">
        <f t="shared" si="722"/>
        <v>1388</v>
      </c>
      <c r="AG283" s="36">
        <f t="shared" si="722"/>
        <v>1388</v>
      </c>
      <c r="AH283" s="43">
        <f t="shared" si="722"/>
        <v>1375</v>
      </c>
      <c r="AI283" s="43">
        <f t="shared" si="722"/>
        <v>1381</v>
      </c>
      <c r="AJ283" s="43">
        <f t="shared" si="722"/>
        <v>1327</v>
      </c>
      <c r="AK283" s="43">
        <f t="shared" si="722"/>
        <v>1373</v>
      </c>
      <c r="AL283" s="36">
        <f t="shared" si="722"/>
        <v>1373</v>
      </c>
      <c r="AM283" s="43">
        <f t="shared" si="722"/>
        <v>1347</v>
      </c>
      <c r="AN283" s="43">
        <f t="shared" si="722"/>
        <v>1287</v>
      </c>
      <c r="AO283" s="43">
        <f t="shared" si="722"/>
        <v>1251</v>
      </c>
      <c r="AP283" s="43">
        <f t="shared" si="722"/>
        <v>1260</v>
      </c>
      <c r="AQ283" s="36">
        <f t="shared" si="722"/>
        <v>1260</v>
      </c>
      <c r="AR283" s="43">
        <f t="shared" si="722"/>
        <v>1208</v>
      </c>
      <c r="AS283" s="43">
        <f t="shared" si="722"/>
        <v>2171</v>
      </c>
      <c r="AT283" s="43">
        <f t="shared" si="722"/>
        <v>2055</v>
      </c>
      <c r="AU283" s="43">
        <f t="shared" si="722"/>
        <v>2055</v>
      </c>
      <c r="AV283" s="36">
        <f t="shared" si="722"/>
        <v>2055</v>
      </c>
      <c r="AW283" s="43">
        <f t="shared" si="722"/>
        <v>2059</v>
      </c>
      <c r="AX283" s="43">
        <f t="shared" si="722"/>
        <v>3537</v>
      </c>
      <c r="AY283" s="43">
        <f t="shared" si="722"/>
        <v>3501</v>
      </c>
      <c r="AZ283" s="43">
        <f t="shared" si="722"/>
        <v>3802</v>
      </c>
      <c r="BA283" s="36">
        <f t="shared" si="722"/>
        <v>3802</v>
      </c>
      <c r="BB283" s="43">
        <f t="shared" si="722"/>
        <v>3814</v>
      </c>
      <c r="BC283" s="43">
        <f t="shared" si="722"/>
        <v>4711</v>
      </c>
      <c r="BD283" s="43">
        <f t="shared" si="722"/>
        <v>3486</v>
      </c>
      <c r="BE283" s="43">
        <f t="shared" si="722"/>
        <v>3810</v>
      </c>
      <c r="BF283" s="36">
        <f t="shared" si="722"/>
        <v>3810</v>
      </c>
      <c r="BG283" s="43">
        <f t="shared" si="722"/>
        <v>3486</v>
      </c>
      <c r="BH283" s="43">
        <f t="shared" si="722"/>
        <v>3481</v>
      </c>
      <c r="BI283" s="43">
        <f t="shared" ref="BI283:CN283" si="723">+BI281+BI282</f>
        <v>3487</v>
      </c>
      <c r="BJ283" s="43">
        <f t="shared" si="723"/>
        <v>3479</v>
      </c>
      <c r="BK283" s="36">
        <f t="shared" si="723"/>
        <v>3479</v>
      </c>
      <c r="BL283" s="43">
        <f t="shared" si="723"/>
        <v>3719</v>
      </c>
      <c r="BM283" s="43">
        <f t="shared" si="723"/>
        <v>3768</v>
      </c>
      <c r="BN283" s="43">
        <f t="shared" si="723"/>
        <v>3476</v>
      </c>
      <c r="BO283" s="43">
        <f t="shared" si="723"/>
        <v>9657</v>
      </c>
      <c r="BP283" s="36">
        <f t="shared" si="723"/>
        <v>9657</v>
      </c>
      <c r="BQ283" s="43">
        <f t="shared" si="723"/>
        <v>9546</v>
      </c>
      <c r="BR283" s="43">
        <f t="shared" si="723"/>
        <v>9451</v>
      </c>
      <c r="BS283" s="43">
        <f t="shared" si="723"/>
        <v>9416</v>
      </c>
      <c r="BT283" s="369">
        <f t="shared" si="723"/>
        <v>9415</v>
      </c>
      <c r="BU283" s="36">
        <f t="shared" si="723"/>
        <v>9415</v>
      </c>
      <c r="BV283" s="43">
        <f t="shared" si="723"/>
        <v>9430</v>
      </c>
      <c r="BW283" s="43">
        <f t="shared" si="723"/>
        <v>9426</v>
      </c>
      <c r="BX283" s="43">
        <f t="shared" si="723"/>
        <v>9418</v>
      </c>
      <c r="BY283" s="369">
        <f t="shared" si="723"/>
        <v>9430</v>
      </c>
      <c r="BZ283" s="36">
        <f t="shared" si="723"/>
        <v>9430</v>
      </c>
      <c r="CA283" s="43">
        <f t="shared" si="723"/>
        <v>9431</v>
      </c>
      <c r="CB283" s="43">
        <f t="shared" si="723"/>
        <v>9431</v>
      </c>
      <c r="CC283" s="43">
        <f t="shared" si="723"/>
        <v>9439</v>
      </c>
      <c r="CD283" s="43">
        <f t="shared" si="723"/>
        <v>8933</v>
      </c>
      <c r="CE283" s="36">
        <f t="shared" si="723"/>
        <v>8933</v>
      </c>
      <c r="CF283" s="43">
        <f t="shared" si="723"/>
        <v>8935</v>
      </c>
      <c r="CG283" s="43">
        <f t="shared" si="723"/>
        <v>8936</v>
      </c>
      <c r="CH283" s="43">
        <f t="shared" si="723"/>
        <v>8936</v>
      </c>
      <c r="CI283" s="43">
        <f t="shared" si="723"/>
        <v>8909</v>
      </c>
      <c r="CJ283" s="36">
        <f t="shared" si="723"/>
        <v>8909</v>
      </c>
      <c r="CK283" s="43">
        <f t="shared" si="723"/>
        <v>9010</v>
      </c>
      <c r="CL283" s="43">
        <f t="shared" si="723"/>
        <v>9022</v>
      </c>
      <c r="CM283" s="43">
        <f t="shared" si="723"/>
        <v>8960</v>
      </c>
      <c r="CN283" s="43">
        <f t="shared" si="723"/>
        <v>7966</v>
      </c>
      <c r="CO283" s="36">
        <f t="shared" ref="CO283:DD283" si="724">+CO281+CO282</f>
        <v>7966</v>
      </c>
      <c r="CP283" s="43">
        <f t="shared" si="724"/>
        <v>8000</v>
      </c>
      <c r="CQ283" s="43">
        <f t="shared" si="724"/>
        <v>8015</v>
      </c>
      <c r="CR283" s="43">
        <f t="shared" si="724"/>
        <v>8029</v>
      </c>
      <c r="CS283" s="43">
        <f t="shared" si="724"/>
        <v>7942</v>
      </c>
      <c r="CT283" s="36">
        <f t="shared" si="724"/>
        <v>7942</v>
      </c>
      <c r="CU283" s="43">
        <f t="shared" si="724"/>
        <v>7893</v>
      </c>
      <c r="CV283" s="43">
        <f t="shared" si="724"/>
        <v>7893</v>
      </c>
      <c r="CW283" s="43">
        <f t="shared" si="724"/>
        <v>7893</v>
      </c>
      <c r="CX283" s="43">
        <f t="shared" si="724"/>
        <v>7893</v>
      </c>
      <c r="CY283" s="36">
        <f t="shared" si="724"/>
        <v>7893</v>
      </c>
      <c r="CZ283" s="43">
        <f t="shared" si="724"/>
        <v>7893</v>
      </c>
      <c r="DA283" s="43">
        <f t="shared" si="724"/>
        <v>7893</v>
      </c>
      <c r="DB283" s="43">
        <f t="shared" si="724"/>
        <v>7893</v>
      </c>
      <c r="DC283" s="43">
        <f t="shared" si="724"/>
        <v>7893</v>
      </c>
      <c r="DD283" s="36">
        <f t="shared" si="724"/>
        <v>7893</v>
      </c>
      <c r="DE283" s="43">
        <f t="shared" ref="DE283:DI283" si="725">+DE281+DE282</f>
        <v>7893</v>
      </c>
      <c r="DF283" s="43">
        <f t="shared" si="725"/>
        <v>7893</v>
      </c>
      <c r="DG283" s="43">
        <f t="shared" si="725"/>
        <v>7893</v>
      </c>
      <c r="DH283" s="43">
        <f t="shared" si="725"/>
        <v>7893</v>
      </c>
      <c r="DI283" s="36">
        <f t="shared" si="725"/>
        <v>7893</v>
      </c>
    </row>
    <row r="284" spans="1:113" ht="12" customHeight="1">
      <c r="A284" s="219"/>
      <c r="B284" s="74"/>
      <c r="C284" s="9"/>
      <c r="D284" s="41"/>
      <c r="E284" s="9"/>
      <c r="F284" s="41"/>
      <c r="G284" s="9"/>
      <c r="H284" s="41"/>
      <c r="I284" s="9"/>
      <c r="J284" s="41"/>
      <c r="K284" s="9"/>
      <c r="L284" s="41"/>
      <c r="M284" s="9"/>
      <c r="N284" s="41"/>
      <c r="O284" s="41"/>
      <c r="P284" s="9"/>
      <c r="Q284" s="41"/>
      <c r="R284" s="9"/>
      <c r="S284" s="9"/>
      <c r="T284" s="9"/>
      <c r="U284" s="9"/>
      <c r="V284" s="41"/>
      <c r="W284" s="9"/>
      <c r="X284" s="9"/>
      <c r="Y284" s="9"/>
      <c r="Z284" s="9"/>
      <c r="AA284" s="41"/>
      <c r="AB284" s="41"/>
      <c r="AC284" s="9"/>
      <c r="AD284" s="9"/>
      <c r="AE284" s="9"/>
      <c r="AF284" s="9"/>
      <c r="AG284" s="41"/>
      <c r="AH284" s="9"/>
      <c r="AI284" s="9"/>
      <c r="AJ284" s="9"/>
      <c r="AK284" s="9"/>
      <c r="AL284" s="41"/>
      <c r="AM284" s="9"/>
      <c r="AN284" s="9"/>
      <c r="AO284" s="9"/>
      <c r="AP284" s="9"/>
      <c r="AQ284" s="41"/>
      <c r="AR284" s="9"/>
      <c r="AS284" s="9"/>
      <c r="AT284" s="9"/>
      <c r="AU284" s="9"/>
      <c r="AV284" s="41"/>
      <c r="AW284" s="9"/>
      <c r="AX284" s="9"/>
      <c r="AY284" s="9"/>
      <c r="AZ284" s="9"/>
      <c r="BA284" s="41"/>
      <c r="BB284" s="9"/>
      <c r="BC284" s="9"/>
      <c r="BD284" s="9"/>
      <c r="BE284" s="9"/>
      <c r="BF284" s="41"/>
      <c r="BG284" s="9"/>
      <c r="BH284" s="9"/>
      <c r="BI284" s="9"/>
      <c r="BJ284" s="9"/>
      <c r="BK284" s="41"/>
      <c r="BL284" s="9"/>
      <c r="BM284" s="9"/>
      <c r="BN284" s="9"/>
      <c r="BO284" s="9"/>
      <c r="BP284" s="41"/>
      <c r="BQ284" s="9"/>
      <c r="BR284" s="9"/>
      <c r="BS284" s="9"/>
      <c r="BT284" s="477"/>
      <c r="BU284" s="41"/>
      <c r="BV284" s="9"/>
      <c r="BW284" s="9"/>
      <c r="BX284" s="9"/>
      <c r="BY284" s="477"/>
      <c r="BZ284" s="41"/>
      <c r="CA284" s="9"/>
      <c r="CB284" s="9"/>
      <c r="CC284" s="9"/>
      <c r="CD284" s="9"/>
      <c r="CE284" s="41"/>
      <c r="CF284" s="9"/>
      <c r="CG284" s="9"/>
      <c r="CH284" s="9"/>
      <c r="CI284" s="9"/>
      <c r="CJ284" s="41"/>
      <c r="CK284" s="9"/>
      <c r="CL284" s="9"/>
      <c r="CM284" s="9"/>
      <c r="CN284" s="9"/>
      <c r="CO284" s="41"/>
      <c r="CP284" s="9"/>
      <c r="CQ284" s="9"/>
      <c r="CR284" s="9"/>
      <c r="CS284" s="9"/>
      <c r="CT284" s="41"/>
      <c r="CU284" s="9"/>
      <c r="CV284" s="9"/>
      <c r="CW284" s="9"/>
      <c r="CX284" s="9"/>
      <c r="CY284" s="41"/>
      <c r="CZ284" s="9"/>
      <c r="DA284" s="9"/>
      <c r="DB284" s="9"/>
      <c r="DC284" s="9"/>
      <c r="DD284" s="41"/>
      <c r="DE284" s="9"/>
      <c r="DF284" s="9"/>
      <c r="DG284" s="9"/>
      <c r="DH284" s="9"/>
      <c r="DI284" s="41"/>
    </row>
    <row r="285" spans="1:113" s="7" customFormat="1" ht="12" customHeight="1">
      <c r="A285" s="239" t="str">
        <f>IF(ISBLANK(B285),"Scrap", " ")</f>
        <v xml:space="preserve"> </v>
      </c>
      <c r="B285" s="20" t="s">
        <v>260</v>
      </c>
      <c r="C285" s="39" t="s">
        <v>126</v>
      </c>
      <c r="D285" s="40">
        <f t="shared" ref="D285:U285" si="726">+D283-C283</f>
        <v>389.44</v>
      </c>
      <c r="E285" s="39">
        <f t="shared" si="726"/>
        <v>9.83200000000204</v>
      </c>
      <c r="F285" s="40">
        <f t="shared" si="726"/>
        <v>-55.021000000002005</v>
      </c>
      <c r="G285" s="39">
        <f t="shared" si="726"/>
        <v>638.40000000000009</v>
      </c>
      <c r="H285" s="40">
        <f t="shared" si="726"/>
        <v>-148.00000000000023</v>
      </c>
      <c r="I285" s="39">
        <f t="shared" si="726"/>
        <v>-190.19999999999982</v>
      </c>
      <c r="J285" s="40">
        <f t="shared" si="726"/>
        <v>-273.70000000000005</v>
      </c>
      <c r="K285" s="39">
        <f t="shared" si="726"/>
        <v>2.2999999999999545</v>
      </c>
      <c r="L285" s="40">
        <f t="shared" si="726"/>
        <v>-71.700000000000045</v>
      </c>
      <c r="M285" s="39">
        <f t="shared" si="726"/>
        <v>-53.899999999999977</v>
      </c>
      <c r="N285" s="40">
        <f t="shared" si="726"/>
        <v>-168.19999999999993</v>
      </c>
      <c r="O285" s="40">
        <f t="shared" si="726"/>
        <v>83.899999999999977</v>
      </c>
      <c r="P285" s="39">
        <f t="shared" si="726"/>
        <v>186.99999999999989</v>
      </c>
      <c r="Q285" s="40">
        <f t="shared" si="726"/>
        <v>-220.09999999999991</v>
      </c>
      <c r="R285" s="39">
        <f t="shared" si="726"/>
        <v>-9</v>
      </c>
      <c r="S285" s="39">
        <f t="shared" si="726"/>
        <v>15</v>
      </c>
      <c r="T285" s="39">
        <f t="shared" si="726"/>
        <v>15</v>
      </c>
      <c r="U285" s="39">
        <f t="shared" si="726"/>
        <v>50</v>
      </c>
      <c r="V285" s="40">
        <f>+V283-Q283</f>
        <v>71</v>
      </c>
      <c r="W285" s="39">
        <f>+W283-V283</f>
        <v>-145</v>
      </c>
      <c r="X285" s="39">
        <f>+X283-W283</f>
        <v>-47</v>
      </c>
      <c r="Y285" s="39">
        <f>+Y283-X283</f>
        <v>-102</v>
      </c>
      <c r="Z285" s="39">
        <f>+Z283-Y283</f>
        <v>16</v>
      </c>
      <c r="AA285" s="40">
        <f>+AA283-V283</f>
        <v>-278</v>
      </c>
      <c r="AB285" s="36"/>
      <c r="AC285" s="39">
        <f>+AC283-AA283</f>
        <v>-21</v>
      </c>
      <c r="AD285" s="39">
        <f>+AD283-AC283</f>
        <v>-36</v>
      </c>
      <c r="AE285" s="39">
        <f>+AE283-AD283</f>
        <v>-7</v>
      </c>
      <c r="AF285" s="39">
        <f>+AF283-AE283</f>
        <v>1067</v>
      </c>
      <c r="AG285" s="40">
        <f>+AG283-AA283</f>
        <v>1003</v>
      </c>
      <c r="AH285" s="39">
        <f>+AH283-AG283</f>
        <v>-13</v>
      </c>
      <c r="AI285" s="39">
        <f>+AI283-AH283</f>
        <v>6</v>
      </c>
      <c r="AJ285" s="39">
        <f>+AJ283-AI283</f>
        <v>-54</v>
      </c>
      <c r="AK285" s="39">
        <f>+AK283-AJ283</f>
        <v>46</v>
      </c>
      <c r="AL285" s="40">
        <f>+AL283-AG283</f>
        <v>-15</v>
      </c>
      <c r="AM285" s="39">
        <f>+AM283-AL283</f>
        <v>-26</v>
      </c>
      <c r="AN285" s="39">
        <f>+AN283-AM283</f>
        <v>-60</v>
      </c>
      <c r="AO285" s="39">
        <f>+AO283-AN283</f>
        <v>-36</v>
      </c>
      <c r="AP285" s="39">
        <f>+AP283-AO283</f>
        <v>9</v>
      </c>
      <c r="AQ285" s="40">
        <f>+AQ283-AL283</f>
        <v>-113</v>
      </c>
      <c r="AR285" s="39">
        <f>+AR283-AQ283</f>
        <v>-52</v>
      </c>
      <c r="AS285" s="39">
        <f>+AS283-AR283</f>
        <v>963</v>
      </c>
      <c r="AT285" s="39">
        <f>+AT283-AS283</f>
        <v>-116</v>
      </c>
      <c r="AU285" s="39">
        <f>+AU283-AT283</f>
        <v>0</v>
      </c>
      <c r="AV285" s="40">
        <f>+AV283-AQ283</f>
        <v>795</v>
      </c>
      <c r="AW285" s="39">
        <f>+AW283-AV283</f>
        <v>4</v>
      </c>
      <c r="AX285" s="39">
        <f>+AX283-AW283</f>
        <v>1478</v>
      </c>
      <c r="AY285" s="39">
        <f>+AY283-AX283</f>
        <v>-36</v>
      </c>
      <c r="AZ285" s="39">
        <f>+AZ283-AY283</f>
        <v>301</v>
      </c>
      <c r="BA285" s="40">
        <f>+BA283-AV283</f>
        <v>1747</v>
      </c>
      <c r="BB285" s="39">
        <f>+BB283-BA283</f>
        <v>12</v>
      </c>
      <c r="BC285" s="39">
        <f>+BC283-BB283</f>
        <v>897</v>
      </c>
      <c r="BD285" s="39">
        <f>+BD283-BC283</f>
        <v>-1225</v>
      </c>
      <c r="BE285" s="39">
        <f>+BE283-BD283</f>
        <v>324</v>
      </c>
      <c r="BF285" s="40">
        <f>+BF283-BA283</f>
        <v>8</v>
      </c>
      <c r="BG285" s="39">
        <f>+BG283-BF283</f>
        <v>-324</v>
      </c>
      <c r="BH285" s="39">
        <f>+BH283-BG283</f>
        <v>-5</v>
      </c>
      <c r="BI285" s="39">
        <f>+BI283-BH283</f>
        <v>6</v>
      </c>
      <c r="BJ285" s="39">
        <f>+BJ283-BI283</f>
        <v>-8</v>
      </c>
      <c r="BK285" s="40">
        <f>+BK283-BF283</f>
        <v>-331</v>
      </c>
      <c r="BL285" s="39">
        <f>+BL283-BK283</f>
        <v>240</v>
      </c>
      <c r="BM285" s="39">
        <f>+BM283-BL283</f>
        <v>49</v>
      </c>
      <c r="BN285" s="39">
        <f>+BN283-BM283</f>
        <v>-292</v>
      </c>
      <c r="BO285" s="39">
        <f>+BO283-BN283</f>
        <v>6181</v>
      </c>
      <c r="BP285" s="40">
        <f>+BP283-BK283</f>
        <v>6178</v>
      </c>
      <c r="BQ285" s="39">
        <f>+BQ283-BP283</f>
        <v>-111</v>
      </c>
      <c r="BR285" s="39">
        <f>+BR283-BQ283</f>
        <v>-95</v>
      </c>
      <c r="BS285" s="39">
        <f>+BS283-BR283</f>
        <v>-35</v>
      </c>
      <c r="BT285" s="443">
        <f>+BT283-BS283</f>
        <v>-1</v>
      </c>
      <c r="BU285" s="40">
        <f>+BU283-BP283</f>
        <v>-242</v>
      </c>
      <c r="BV285" s="39">
        <f>+BV283-BU283</f>
        <v>15</v>
      </c>
      <c r="BW285" s="39">
        <f>+BW283-BV283</f>
        <v>-4</v>
      </c>
      <c r="BX285" s="39">
        <f>+BX283-BW283</f>
        <v>-8</v>
      </c>
      <c r="BY285" s="443">
        <f>+BY283-BX283</f>
        <v>12</v>
      </c>
      <c r="BZ285" s="40">
        <f>+BZ283-BU283</f>
        <v>15</v>
      </c>
      <c r="CA285" s="39">
        <f>+CA283-BZ283</f>
        <v>1</v>
      </c>
      <c r="CB285" s="39">
        <f>+CB283-CA283</f>
        <v>0</v>
      </c>
      <c r="CC285" s="39">
        <f>+CC283-CB283</f>
        <v>8</v>
      </c>
      <c r="CD285" s="39">
        <f>+CD283-CC283</f>
        <v>-506</v>
      </c>
      <c r="CE285" s="40">
        <f>+CE283-BZ283</f>
        <v>-497</v>
      </c>
      <c r="CF285" s="39">
        <f>+CF283-CE283</f>
        <v>2</v>
      </c>
      <c r="CG285" s="39">
        <f>+CG283-CF283</f>
        <v>1</v>
      </c>
      <c r="CH285" s="39">
        <f>+CH283-CG283</f>
        <v>0</v>
      </c>
      <c r="CI285" s="39">
        <f>+CI283-CH283</f>
        <v>-27</v>
      </c>
      <c r="CJ285" s="40">
        <f>+CJ283-CE283</f>
        <v>-24</v>
      </c>
      <c r="CK285" s="39">
        <f>+CK283-CJ283</f>
        <v>101</v>
      </c>
      <c r="CL285" s="39">
        <f>+CL283-CK283</f>
        <v>12</v>
      </c>
      <c r="CM285" s="39">
        <f>+CM283-CL283</f>
        <v>-62</v>
      </c>
      <c r="CN285" s="39">
        <f>+CN283-CM283</f>
        <v>-994</v>
      </c>
      <c r="CO285" s="40">
        <f>+CO283-CJ283</f>
        <v>-943</v>
      </c>
      <c r="CP285" s="39">
        <f>+CP283-CO283</f>
        <v>34</v>
      </c>
      <c r="CQ285" s="39">
        <f>+CQ283-CP283</f>
        <v>15</v>
      </c>
      <c r="CR285" s="39">
        <f>+CR283-CQ283</f>
        <v>14</v>
      </c>
      <c r="CS285" s="39">
        <f>+CS283-CR283</f>
        <v>-87</v>
      </c>
      <c r="CT285" s="40">
        <f>+CT283-CO283</f>
        <v>-24</v>
      </c>
      <c r="CU285" s="39">
        <f>+CU283-CT283</f>
        <v>-49</v>
      </c>
      <c r="CV285" s="39">
        <f>+CV283-CU283</f>
        <v>0</v>
      </c>
      <c r="CW285" s="39">
        <f>+CW283-CV283</f>
        <v>0</v>
      </c>
      <c r="CX285" s="39">
        <f>+CX283-CW283</f>
        <v>0</v>
      </c>
      <c r="CY285" s="40">
        <f>+CY283-CT283</f>
        <v>-49</v>
      </c>
      <c r="CZ285" s="39">
        <f>+CZ283-CY283</f>
        <v>0</v>
      </c>
      <c r="DA285" s="39">
        <f>+DA283-CZ283</f>
        <v>0</v>
      </c>
      <c r="DB285" s="39">
        <f>+DB283-DA283</f>
        <v>0</v>
      </c>
      <c r="DC285" s="39">
        <f>+DC283-DB283</f>
        <v>0</v>
      </c>
      <c r="DD285" s="40">
        <f>+DD283-CY283</f>
        <v>0</v>
      </c>
      <c r="DE285" s="39">
        <f>+DE283-DD283</f>
        <v>0</v>
      </c>
      <c r="DF285" s="39">
        <f>+DF283-DE283</f>
        <v>0</v>
      </c>
      <c r="DG285" s="39">
        <f>+DG283-DF283</f>
        <v>0</v>
      </c>
      <c r="DH285" s="39">
        <f>+DH283-DG283</f>
        <v>0</v>
      </c>
      <c r="DI285" s="40">
        <f>+DI283-DD283</f>
        <v>0</v>
      </c>
    </row>
    <row r="286" spans="1:113" s="7" customFormat="1" ht="12" customHeight="1">
      <c r="A286" s="239"/>
      <c r="B286" s="20"/>
      <c r="C286" s="39"/>
      <c r="D286" s="40"/>
      <c r="E286" s="39"/>
      <c r="F286" s="40"/>
      <c r="G286" s="39"/>
      <c r="H286" s="40"/>
      <c r="I286" s="39"/>
      <c r="J286" s="40"/>
      <c r="K286" s="39"/>
      <c r="L286" s="40"/>
      <c r="M286" s="39"/>
      <c r="N286" s="40"/>
      <c r="O286" s="40"/>
      <c r="P286" s="39"/>
      <c r="Q286" s="40"/>
      <c r="R286" s="39"/>
      <c r="S286" s="39"/>
      <c r="T286" s="39"/>
      <c r="U286" s="39"/>
      <c r="V286" s="40"/>
      <c r="W286" s="39"/>
      <c r="X286" s="39"/>
      <c r="Y286" s="39"/>
      <c r="Z286" s="39"/>
      <c r="AA286" s="40"/>
      <c r="AB286" s="36"/>
      <c r="AC286" s="39"/>
      <c r="AD286" s="39"/>
      <c r="AE286" s="39"/>
      <c r="AF286" s="39"/>
      <c r="AG286" s="40"/>
      <c r="AH286" s="39"/>
      <c r="AI286" s="39"/>
      <c r="AJ286" s="39"/>
      <c r="AK286" s="39"/>
      <c r="AL286" s="40"/>
      <c r="AM286" s="39"/>
      <c r="AN286" s="39"/>
      <c r="AO286" s="39"/>
      <c r="AP286" s="39"/>
      <c r="AQ286" s="40"/>
      <c r="AR286" s="39"/>
      <c r="AS286" s="39"/>
      <c r="AT286" s="39"/>
      <c r="AU286" s="39"/>
      <c r="AV286" s="40"/>
      <c r="AW286" s="39"/>
      <c r="AX286" s="39"/>
      <c r="AY286" s="39"/>
      <c r="AZ286" s="39"/>
      <c r="BA286" s="40"/>
      <c r="BB286" s="39"/>
      <c r="BC286" s="39"/>
      <c r="BD286" s="39"/>
      <c r="BE286" s="39"/>
      <c r="BF286" s="40"/>
      <c r="BG286" s="39"/>
      <c r="BH286" s="39"/>
      <c r="BI286" s="39"/>
      <c r="BJ286" s="39"/>
      <c r="BK286" s="40"/>
      <c r="BL286" s="39"/>
      <c r="BM286" s="39"/>
      <c r="BN286" s="489"/>
      <c r="BO286" s="39"/>
      <c r="BP286" s="40"/>
      <c r="BQ286" s="39"/>
      <c r="BR286" s="39"/>
      <c r="BS286" s="39"/>
      <c r="BT286" s="443"/>
      <c r="BU286" s="40"/>
      <c r="BV286" s="39"/>
      <c r="BW286" s="39"/>
      <c r="BX286" s="39"/>
      <c r="BY286" s="443"/>
      <c r="BZ286" s="40"/>
      <c r="CA286" s="39"/>
      <c r="CB286" s="39"/>
      <c r="CC286" s="39"/>
      <c r="CD286" s="39"/>
      <c r="CE286" s="40"/>
      <c r="CF286" s="39"/>
      <c r="CG286" s="39"/>
      <c r="CH286" s="39"/>
      <c r="CI286" s="39"/>
      <c r="CJ286" s="40"/>
      <c r="CK286" s="39"/>
      <c r="CL286" s="39"/>
      <c r="CM286" s="39"/>
      <c r="CN286" s="39"/>
      <c r="CO286" s="40"/>
      <c r="CP286" s="39"/>
      <c r="CQ286" s="39"/>
      <c r="CR286" s="39"/>
      <c r="CS286" s="39"/>
      <c r="CT286" s="40"/>
      <c r="CU286" s="39"/>
      <c r="CV286" s="39"/>
      <c r="CW286" s="39"/>
      <c r="CX286" s="39"/>
      <c r="CY286" s="40"/>
      <c r="CZ286" s="39"/>
      <c r="DA286" s="39"/>
      <c r="DB286" s="39"/>
      <c r="DC286" s="39"/>
      <c r="DD286" s="40"/>
      <c r="DE286" s="39"/>
      <c r="DF286" s="39"/>
      <c r="DG286" s="39"/>
      <c r="DH286" s="39"/>
      <c r="DI286" s="40"/>
    </row>
    <row r="287" spans="1:113" s="7" customFormat="1" ht="12" customHeight="1">
      <c r="A287" s="239"/>
      <c r="B287" s="20" t="s">
        <v>261</v>
      </c>
      <c r="C287" s="39" t="s">
        <v>126</v>
      </c>
      <c r="D287" s="40">
        <f t="shared" ref="D287:Q287" si="727">AVERAGE(C283:D283)</f>
        <v>656.66899999999998</v>
      </c>
      <c r="E287" s="43">
        <f t="shared" si="727"/>
        <v>856.30500000000097</v>
      </c>
      <c r="F287" s="36">
        <f t="shared" si="727"/>
        <v>833.71050000000105</v>
      </c>
      <c r="G287" s="43">
        <f t="shared" si="727"/>
        <v>1125.4000000000001</v>
      </c>
      <c r="H287" s="36">
        <f t="shared" si="727"/>
        <v>1370.6</v>
      </c>
      <c r="I287" s="43">
        <f t="shared" si="727"/>
        <v>1201.5</v>
      </c>
      <c r="J287" s="36">
        <f t="shared" si="727"/>
        <v>969.55000000000007</v>
      </c>
      <c r="K287" s="43">
        <f t="shared" si="727"/>
        <v>833.85</v>
      </c>
      <c r="L287" s="36">
        <f t="shared" si="727"/>
        <v>799.15</v>
      </c>
      <c r="M287" s="43">
        <f t="shared" si="727"/>
        <v>736.34999999999991</v>
      </c>
      <c r="N287" s="36">
        <f t="shared" si="727"/>
        <v>625.29999999999995</v>
      </c>
      <c r="O287" s="36">
        <f t="shared" si="727"/>
        <v>583.15000000000009</v>
      </c>
      <c r="P287" s="43">
        <f t="shared" si="727"/>
        <v>718.59999999999991</v>
      </c>
      <c r="Q287" s="36">
        <f t="shared" si="727"/>
        <v>702.05</v>
      </c>
      <c r="R287" s="43">
        <f>AVERAGE(R283,Q283)</f>
        <v>587.5</v>
      </c>
      <c r="S287" s="43">
        <f>AVERAGE(S283,R283)</f>
        <v>590.5</v>
      </c>
      <c r="T287" s="43">
        <f>AVERAGE(T283,S283)</f>
        <v>605.5</v>
      </c>
      <c r="U287" s="43">
        <f>AVERAGE(U283,T283)</f>
        <v>638</v>
      </c>
      <c r="V287" s="36">
        <f>AVERAGE(R287:U287)</f>
        <v>605.375</v>
      </c>
      <c r="W287" s="43">
        <f>AVERAGE(W283,V283)</f>
        <v>590.5</v>
      </c>
      <c r="X287" s="43">
        <f>AVERAGE(X283,W283)</f>
        <v>494.5</v>
      </c>
      <c r="Y287" s="43">
        <f>AVERAGE(Y283,X283)</f>
        <v>420</v>
      </c>
      <c r="Z287" s="43">
        <f>AVERAGE(Z283,Y283)</f>
        <v>377</v>
      </c>
      <c r="AA287" s="36">
        <f>AVERAGE(W287:Z287)</f>
        <v>470.5</v>
      </c>
      <c r="AB287" s="36"/>
      <c r="AC287" s="43">
        <f>AVERAGE(AC283,AA283)</f>
        <v>374.5</v>
      </c>
      <c r="AD287" s="43">
        <f>AVERAGE(AD283,AC283)</f>
        <v>346</v>
      </c>
      <c r="AE287" s="43">
        <f>AVERAGE(AE283,AD283)</f>
        <v>324.5</v>
      </c>
      <c r="AF287" s="43">
        <f>AVERAGE(AF283,AE283)</f>
        <v>854.5</v>
      </c>
      <c r="AG287" s="36">
        <f>AVERAGE(AC287:AF287)</f>
        <v>474.875</v>
      </c>
      <c r="AH287" s="43">
        <f>AVERAGE(AH283,AG283)</f>
        <v>1381.5</v>
      </c>
      <c r="AI287" s="43">
        <f>AVERAGE(AI283,AH283)</f>
        <v>1378</v>
      </c>
      <c r="AJ287" s="43">
        <f>AVERAGE(AJ283,AI283)</f>
        <v>1354</v>
      </c>
      <c r="AK287" s="43">
        <f>AVERAGE(AK283,AJ283)</f>
        <v>1350</v>
      </c>
      <c r="AL287" s="36">
        <f>AVERAGE(AH287:AK287)</f>
        <v>1365.875</v>
      </c>
      <c r="AM287" s="43">
        <f>AVERAGE(AM283,AL283)</f>
        <v>1360</v>
      </c>
      <c r="AN287" s="43">
        <f>AVERAGE(AN283,AM283)</f>
        <v>1317</v>
      </c>
      <c r="AO287" s="43">
        <f>AVERAGE(AO283,AN283)</f>
        <v>1269</v>
      </c>
      <c r="AP287" s="43">
        <f>AVERAGE(AP283,AO283)</f>
        <v>1255.5</v>
      </c>
      <c r="AQ287" s="36">
        <f>AVERAGE(AM287:AP287)</f>
        <v>1300.375</v>
      </c>
      <c r="AR287" s="43">
        <f>AVERAGE(AR283,AQ283)</f>
        <v>1234</v>
      </c>
      <c r="AS287" s="43">
        <f>AVERAGE(AS283,AR283)</f>
        <v>1689.5</v>
      </c>
      <c r="AT287" s="43">
        <f>AVERAGE(AT283,AS283)</f>
        <v>2113</v>
      </c>
      <c r="AU287" s="43">
        <f>AVERAGE(AU283,AT283)</f>
        <v>2055</v>
      </c>
      <c r="AV287" s="36">
        <f>AVERAGE(AR287:AU287)</f>
        <v>1772.875</v>
      </c>
      <c r="AW287" s="43">
        <f>AVERAGE(AW283,AV283)</f>
        <v>2057</v>
      </c>
      <c r="AX287" s="43">
        <f>AVERAGE(AX283,AW283)</f>
        <v>2798</v>
      </c>
      <c r="AY287" s="43">
        <f>AVERAGE(AY283,AX283)</f>
        <v>3519</v>
      </c>
      <c r="AZ287" s="43">
        <f>AVERAGE(AZ283,AY283)</f>
        <v>3651.5</v>
      </c>
      <c r="BA287" s="36">
        <f>AVERAGE(AW287:AZ287)</f>
        <v>3006.375</v>
      </c>
      <c r="BB287" s="43">
        <f>AVERAGE(BB283,BA283)</f>
        <v>3808</v>
      </c>
      <c r="BC287" s="43">
        <f>AVERAGE(BC283,BB283)</f>
        <v>4262.5</v>
      </c>
      <c r="BD287" s="43">
        <f>AVERAGE(BD283,BC283)</f>
        <v>4098.5</v>
      </c>
      <c r="BE287" s="43">
        <f>AVERAGE(BE283,BD283)</f>
        <v>3648</v>
      </c>
      <c r="BF287" s="36">
        <f>AVERAGE(BB287:BE287)</f>
        <v>3954.25</v>
      </c>
      <c r="BG287" s="43">
        <f>AVERAGE(BG283,BF283)</f>
        <v>3648</v>
      </c>
      <c r="BH287" s="43">
        <f>AVERAGE(BH283,BG283)</f>
        <v>3483.5</v>
      </c>
      <c r="BI287" s="43">
        <f>AVERAGE(BI283,BH283)</f>
        <v>3484</v>
      </c>
      <c r="BJ287" s="43">
        <f>AVERAGE(BJ283,BI283)</f>
        <v>3483</v>
      </c>
      <c r="BK287" s="36">
        <f>AVERAGE(BG287:BJ287)</f>
        <v>3524.625</v>
      </c>
      <c r="BL287" s="43">
        <f>AVERAGE(BL283,BK283)</f>
        <v>3599</v>
      </c>
      <c r="BM287" s="43">
        <f>AVERAGE(BM283,BL283)</f>
        <v>3743.5</v>
      </c>
      <c r="BN287" s="43">
        <f>AVERAGE(BN283,BM283)</f>
        <v>3622</v>
      </c>
      <c r="BO287" s="43">
        <f>AVERAGE(BO283,BN283)</f>
        <v>6566.5</v>
      </c>
      <c r="BP287" s="36">
        <f>AVERAGE(BL287:BO287)</f>
        <v>4382.75</v>
      </c>
      <c r="BQ287" s="43">
        <f>AVERAGE(BQ283,BP283)</f>
        <v>9601.5</v>
      </c>
      <c r="BR287" s="43">
        <f>AVERAGE(BR283,BQ283)</f>
        <v>9498.5</v>
      </c>
      <c r="BS287" s="43">
        <f>AVERAGE(BS283,BR283)</f>
        <v>9433.5</v>
      </c>
      <c r="BT287" s="369">
        <f>AVERAGE(BT283,BS283)</f>
        <v>9415.5</v>
      </c>
      <c r="BU287" s="36">
        <f>AVERAGE(BQ287:BT287)</f>
        <v>9487.25</v>
      </c>
      <c r="BV287" s="43">
        <f>AVERAGE(BV283,BU283)</f>
        <v>9422.5</v>
      </c>
      <c r="BW287" s="43">
        <f>AVERAGE(BW283,BV283)</f>
        <v>9428</v>
      </c>
      <c r="BX287" s="43">
        <f>AVERAGE(BX283,BW283)</f>
        <v>9422</v>
      </c>
      <c r="BY287" s="369">
        <f>AVERAGE(BY283,BX283)</f>
        <v>9424</v>
      </c>
      <c r="BZ287" s="36">
        <f>AVERAGE(BV287:BY287)</f>
        <v>9424.125</v>
      </c>
      <c r="CA287" s="43">
        <f>AVERAGE(CA283,BZ283)</f>
        <v>9430.5</v>
      </c>
      <c r="CB287" s="43">
        <f>AVERAGE(CB283,CA283)</f>
        <v>9431</v>
      </c>
      <c r="CC287" s="43">
        <f>AVERAGE(CC283,CB283)</f>
        <v>9435</v>
      </c>
      <c r="CD287" s="43">
        <f>AVERAGE(CD283,CC283)</f>
        <v>9186</v>
      </c>
      <c r="CE287" s="36">
        <f>AVERAGE(CA287:CD287)</f>
        <v>9370.625</v>
      </c>
      <c r="CF287" s="43">
        <f>AVERAGE(CF283,CE283)</f>
        <v>8934</v>
      </c>
      <c r="CG287" s="43">
        <f>AVERAGE(CG283,CF283)</f>
        <v>8935.5</v>
      </c>
      <c r="CH287" s="43">
        <f>AVERAGE(CH283,CG283)</f>
        <v>8936</v>
      </c>
      <c r="CI287" s="43">
        <f>AVERAGE(CI283,CH283)</f>
        <v>8922.5</v>
      </c>
      <c r="CJ287" s="36">
        <f>AVERAGE(CF287:CI287)</f>
        <v>8932</v>
      </c>
      <c r="CK287" s="43">
        <f>AVERAGE(CK283,CJ283)</f>
        <v>8959.5</v>
      </c>
      <c r="CL287" s="43">
        <f>AVERAGE(CL283,CK283)</f>
        <v>9016</v>
      </c>
      <c r="CM287" s="43">
        <f>AVERAGE(CM283,CL283)</f>
        <v>8991</v>
      </c>
      <c r="CN287" s="43">
        <f>AVERAGE(CN283,CM283)</f>
        <v>8463</v>
      </c>
      <c r="CO287" s="36">
        <f>AVERAGE(CK287:CN287)</f>
        <v>8857.375</v>
      </c>
      <c r="CP287" s="43">
        <f>AVERAGE(CP283,CO283)</f>
        <v>7983</v>
      </c>
      <c r="CQ287" s="43">
        <f>AVERAGE(CQ283,CP283)</f>
        <v>8007.5</v>
      </c>
      <c r="CR287" s="43">
        <f>AVERAGE(CR283,CQ283)</f>
        <v>8022</v>
      </c>
      <c r="CS287" s="43">
        <f>AVERAGE(CS283,CR283)</f>
        <v>7985.5</v>
      </c>
      <c r="CT287" s="36">
        <f>AVERAGE(CP287:CS287)</f>
        <v>7999.5</v>
      </c>
      <c r="CU287" s="43">
        <f>AVERAGE(CU283,CT283)</f>
        <v>7917.5</v>
      </c>
      <c r="CV287" s="43">
        <f>AVERAGE(CV283,CU283)</f>
        <v>7893</v>
      </c>
      <c r="CW287" s="43">
        <f>AVERAGE(CW283,CV283)</f>
        <v>7893</v>
      </c>
      <c r="CX287" s="43">
        <f>AVERAGE(CX283,CW283)</f>
        <v>7893</v>
      </c>
      <c r="CY287" s="36">
        <f>AVERAGE(CU287:CX287)</f>
        <v>7899.125</v>
      </c>
      <c r="CZ287" s="43">
        <f>AVERAGE(CZ283,CY283)</f>
        <v>7893</v>
      </c>
      <c r="DA287" s="43">
        <f>AVERAGE(DA283,CZ283)</f>
        <v>7893</v>
      </c>
      <c r="DB287" s="43">
        <f>AVERAGE(DB283,DA283)</f>
        <v>7893</v>
      </c>
      <c r="DC287" s="43">
        <f>AVERAGE(DC283,DB283)</f>
        <v>7893</v>
      </c>
      <c r="DD287" s="36">
        <f>AVERAGE(CZ287:DC287)</f>
        <v>7893</v>
      </c>
      <c r="DE287" s="43">
        <f>AVERAGE(DE283,DD283)</f>
        <v>7893</v>
      </c>
      <c r="DF287" s="43">
        <f>AVERAGE(DF283,DE283)</f>
        <v>7893</v>
      </c>
      <c r="DG287" s="43">
        <f>AVERAGE(DG283,DF283)</f>
        <v>7893</v>
      </c>
      <c r="DH287" s="43">
        <f>AVERAGE(DH283,DG283)</f>
        <v>7893</v>
      </c>
      <c r="DI287" s="36">
        <f>AVERAGE(DE287:DH287)</f>
        <v>7893</v>
      </c>
    </row>
    <row r="288" spans="1:113" s="7" customFormat="1" ht="12" customHeight="1">
      <c r="A288" s="239"/>
      <c r="B288" s="20" t="s">
        <v>104</v>
      </c>
      <c r="C288" s="39"/>
      <c r="D288" s="40"/>
      <c r="E288" s="39"/>
      <c r="F288" s="40"/>
      <c r="G288" s="39"/>
      <c r="H288" s="40"/>
      <c r="I288" s="39"/>
      <c r="J288" s="40"/>
      <c r="K288" s="39"/>
      <c r="L288" s="40"/>
      <c r="M288" s="39"/>
      <c r="N288" s="40"/>
      <c r="O288" s="40"/>
      <c r="P288" s="39"/>
      <c r="Q288" s="40"/>
      <c r="R288" s="39"/>
      <c r="S288" s="39"/>
      <c r="T288" s="39"/>
      <c r="U288" s="39"/>
      <c r="V288" s="40"/>
      <c r="W288" s="39"/>
      <c r="X288" s="39"/>
      <c r="Y288" s="39"/>
      <c r="Z288" s="39"/>
      <c r="AA288" s="40"/>
      <c r="AB288" s="36"/>
      <c r="AC288" s="39"/>
      <c r="AD288" s="39"/>
      <c r="AE288" s="39"/>
      <c r="AF288" s="39"/>
      <c r="AG288" s="40"/>
      <c r="AH288" s="39"/>
      <c r="AI288" s="39"/>
      <c r="AJ288" s="39"/>
      <c r="AK288" s="39"/>
      <c r="AL288" s="40"/>
      <c r="AM288" s="39"/>
      <c r="AN288" s="39"/>
      <c r="AO288" s="39"/>
      <c r="AP288" s="39"/>
      <c r="AQ288" s="40"/>
      <c r="AR288" s="39"/>
      <c r="AS288" s="39"/>
      <c r="AT288" s="39"/>
      <c r="AU288" s="39"/>
      <c r="AV288" s="40"/>
      <c r="AW288" s="39"/>
      <c r="AX288" s="39"/>
      <c r="AY288" s="39"/>
      <c r="AZ288" s="39"/>
      <c r="BA288" s="40"/>
      <c r="BB288" s="39"/>
      <c r="BC288" s="39"/>
      <c r="BD288" s="39"/>
      <c r="BE288" s="39"/>
      <c r="BF288" s="40"/>
      <c r="BG288" s="39"/>
      <c r="BH288" s="39"/>
      <c r="BI288" s="39"/>
      <c r="BJ288" s="39"/>
      <c r="BK288" s="40"/>
      <c r="BL288" s="39"/>
      <c r="BM288" s="39"/>
      <c r="BN288" s="39"/>
      <c r="BO288" s="39"/>
      <c r="BP288" s="40"/>
      <c r="BQ288" s="39"/>
      <c r="BR288" s="39"/>
      <c r="BS288" s="39"/>
      <c r="BT288" s="443"/>
      <c r="BU288" s="40"/>
      <c r="BV288" s="39">
        <f t="shared" ref="BV288:DD288" si="728">BV295-BV292</f>
        <v>-74</v>
      </c>
      <c r="BW288" s="39">
        <f t="shared" si="728"/>
        <v>-73</v>
      </c>
      <c r="BX288" s="39">
        <f t="shared" si="728"/>
        <v>-75</v>
      </c>
      <c r="BY288" s="39">
        <f t="shared" si="728"/>
        <v>-77</v>
      </c>
      <c r="BZ288" s="40">
        <f t="shared" si="728"/>
        <v>-299</v>
      </c>
      <c r="CA288" s="39">
        <f t="shared" si="728"/>
        <v>-78</v>
      </c>
      <c r="CB288" s="39">
        <f t="shared" si="728"/>
        <v>-65</v>
      </c>
      <c r="CC288" s="39">
        <f t="shared" si="728"/>
        <v>-76</v>
      </c>
      <c r="CD288" s="39">
        <f t="shared" si="728"/>
        <v>-72</v>
      </c>
      <c r="CE288" s="40">
        <f t="shared" si="728"/>
        <v>-291</v>
      </c>
      <c r="CF288" s="39">
        <f t="shared" si="728"/>
        <v>-65</v>
      </c>
      <c r="CG288" s="39">
        <f t="shared" si="728"/>
        <v>-70</v>
      </c>
      <c r="CH288" s="39">
        <f t="shared" si="728"/>
        <v>-61</v>
      </c>
      <c r="CI288" s="39">
        <f t="shared" si="728"/>
        <v>-73</v>
      </c>
      <c r="CJ288" s="40">
        <f t="shared" si="728"/>
        <v>-269</v>
      </c>
      <c r="CK288" s="39">
        <f t="shared" si="728"/>
        <v>-77</v>
      </c>
      <c r="CL288" s="39">
        <f t="shared" si="728"/>
        <v>-73</v>
      </c>
      <c r="CM288" s="39">
        <f t="shared" si="728"/>
        <v>-79</v>
      </c>
      <c r="CN288" s="39">
        <f t="shared" si="728"/>
        <v>-68</v>
      </c>
      <c r="CO288" s="40">
        <f t="shared" si="728"/>
        <v>-297</v>
      </c>
      <c r="CP288" s="39">
        <f t="shared" si="728"/>
        <v>-65</v>
      </c>
      <c r="CQ288" s="39">
        <f t="shared" ref="CQ288" si="729">CQ295-CQ292</f>
        <v>-53</v>
      </c>
      <c r="CR288" s="39">
        <f t="shared" si="728"/>
        <v>-50</v>
      </c>
      <c r="CS288" s="39">
        <f t="shared" si="728"/>
        <v>-60</v>
      </c>
      <c r="CT288" s="40">
        <f t="shared" si="728"/>
        <v>-228</v>
      </c>
      <c r="CU288" s="39">
        <f t="shared" si="728"/>
        <v>-62.11512131525123</v>
      </c>
      <c r="CV288" s="39">
        <f t="shared" si="728"/>
        <v>-69.161105886856831</v>
      </c>
      <c r="CW288" s="39">
        <f t="shared" si="728"/>
        <v>-70.16847806622917</v>
      </c>
      <c r="CX288" s="39">
        <f t="shared" si="728"/>
        <v>-68.615694035925941</v>
      </c>
      <c r="CY288" s="40">
        <f t="shared" si="728"/>
        <v>-270.06039930426317</v>
      </c>
      <c r="CZ288" s="39">
        <f t="shared" si="728"/>
        <v>-72.539561930627883</v>
      </c>
      <c r="DA288" s="39">
        <f t="shared" si="728"/>
        <v>-72.901727529917366</v>
      </c>
      <c r="DB288" s="39">
        <f t="shared" si="728"/>
        <v>-72.419933328165854</v>
      </c>
      <c r="DC288" s="39">
        <f t="shared" si="728"/>
        <v>-70.651982106142214</v>
      </c>
      <c r="DD288" s="40">
        <f t="shared" si="728"/>
        <v>-288.51320489485329</v>
      </c>
      <c r="DE288" s="39">
        <f t="shared" ref="DE288:DI288" si="730">DE295-DE292</f>
        <v>-70.769428304168144</v>
      </c>
      <c r="DF288" s="39">
        <f t="shared" si="730"/>
        <v>-67.940781493985355</v>
      </c>
      <c r="DG288" s="39">
        <f t="shared" si="730"/>
        <v>-64.660017566222848</v>
      </c>
      <c r="DH288" s="39">
        <f t="shared" si="730"/>
        <v>-60.054157433966019</v>
      </c>
      <c r="DI288" s="40">
        <f t="shared" si="730"/>
        <v>-263.42438479834232</v>
      </c>
    </row>
    <row r="289" spans="1:113" s="3" customFormat="1" ht="12" customHeight="1">
      <c r="A289" s="490"/>
      <c r="B289" s="491" t="s">
        <v>358</v>
      </c>
      <c r="C289" s="378"/>
      <c r="D289" s="112"/>
      <c r="E289" s="52"/>
      <c r="F289" s="112"/>
      <c r="G289" s="52"/>
      <c r="H289" s="112"/>
      <c r="I289" s="52"/>
      <c r="J289" s="112"/>
      <c r="K289" s="52"/>
      <c r="L289" s="112"/>
      <c r="M289" s="52"/>
      <c r="N289" s="112"/>
      <c r="O289" s="112"/>
      <c r="P289" s="52"/>
      <c r="Q289" s="112"/>
      <c r="R289" s="52"/>
      <c r="S289" s="52"/>
      <c r="T289" s="52"/>
      <c r="U289" s="52"/>
      <c r="V289" s="112"/>
      <c r="W289" s="52"/>
      <c r="X289" s="52"/>
      <c r="Y289" s="52"/>
      <c r="Z289" s="52"/>
      <c r="AA289" s="112"/>
      <c r="AB289" s="492"/>
      <c r="AC289" s="52"/>
      <c r="AD289" s="52"/>
      <c r="AE289" s="52"/>
      <c r="AF289" s="52"/>
      <c r="AG289" s="112"/>
      <c r="AH289" s="52"/>
      <c r="AI289" s="52"/>
      <c r="AJ289" s="52"/>
      <c r="AK289" s="52"/>
      <c r="AL289" s="112"/>
      <c r="AM289" s="52"/>
      <c r="AN289" s="52"/>
      <c r="AO289" s="52"/>
      <c r="AP289" s="52"/>
      <c r="AQ289" s="112"/>
      <c r="AR289" s="52"/>
      <c r="AS289" s="52"/>
      <c r="AT289" s="52"/>
      <c r="AU289" s="52"/>
      <c r="AV289" s="112"/>
      <c r="AW289" s="52"/>
      <c r="AX289" s="52"/>
      <c r="AY289" s="52"/>
      <c r="AZ289" s="52"/>
      <c r="BA289" s="112"/>
      <c r="BB289" s="52"/>
      <c r="BC289" s="52"/>
      <c r="BD289" s="52"/>
      <c r="BE289" s="52"/>
      <c r="BF289" s="112"/>
      <c r="BG289" s="52"/>
      <c r="BH289" s="52"/>
      <c r="BI289" s="52"/>
      <c r="BJ289" s="52"/>
      <c r="BK289" s="112"/>
      <c r="BL289" s="52"/>
      <c r="BM289" s="52"/>
      <c r="BN289" s="52"/>
      <c r="BO289" s="52"/>
      <c r="BP289" s="112"/>
      <c r="BQ289" s="52"/>
      <c r="BR289" s="52"/>
      <c r="BS289" s="52"/>
      <c r="BT289" s="114"/>
      <c r="BU289" s="112"/>
      <c r="BV289" s="52">
        <f>-BV288/BV283*4</f>
        <v>3.138918345705196E-2</v>
      </c>
      <c r="BW289" s="52">
        <f>-BW288/BW283*4</f>
        <v>3.0978145554848291E-2</v>
      </c>
      <c r="BX289" s="52">
        <f>-BX288/BX283*4</f>
        <v>3.1853896793374387E-2</v>
      </c>
      <c r="BY289" s="114">
        <f>-BY288/BY283*4</f>
        <v>3.2661717921527042E-2</v>
      </c>
      <c r="BZ289" s="112">
        <f>-BZ288/BZ283</f>
        <v>3.1707317073170732E-2</v>
      </c>
      <c r="CA289" s="52">
        <f>-CA288/CA283*4</f>
        <v>3.3082387869791112E-2</v>
      </c>
      <c r="CB289" s="52">
        <f>-CB288/CB283*4</f>
        <v>2.7568656558159262E-2</v>
      </c>
      <c r="CC289" s="52">
        <f>-CC288/CC283*4</f>
        <v>3.2206801567962705E-2</v>
      </c>
      <c r="CD289" s="52">
        <f>-CD288/CD283*4</f>
        <v>3.2240008955558043E-2</v>
      </c>
      <c r="CE289" s="112">
        <f>-CE288/CE283</f>
        <v>3.2575842382178442E-2</v>
      </c>
      <c r="CF289" s="52">
        <f>-CF288/CF283*4</f>
        <v>2.9099048684946838E-2</v>
      </c>
      <c r="CG289" s="52">
        <f>-CG288/CG283*4</f>
        <v>3.133393017009848E-2</v>
      </c>
      <c r="CH289" s="52">
        <f>-CH288/CH283*4</f>
        <v>2.730528200537153E-2</v>
      </c>
      <c r="CI289" s="114">
        <f>-CI288/CI283*4</f>
        <v>3.2775844651476038E-2</v>
      </c>
      <c r="CJ289" s="112">
        <f>-CJ288/CJ283</f>
        <v>3.0194185654955664E-2</v>
      </c>
      <c r="CK289" s="114">
        <f>-CK288/CK283*4</f>
        <v>3.4184239733629301E-2</v>
      </c>
      <c r="CL289" s="52">
        <f>-CL288/CL283*4</f>
        <v>3.2365329195300378E-2</v>
      </c>
      <c r="CM289" s="114">
        <f>-CM288/CM283*4</f>
        <v>3.5267857142857142E-2</v>
      </c>
      <c r="CN289" s="114">
        <f>-CN288/CN283*4</f>
        <v>3.4145116746171225E-2</v>
      </c>
      <c r="CO289" s="113">
        <f>-CO288/CO283</f>
        <v>3.7283454682400199E-2</v>
      </c>
      <c r="CP289" s="114">
        <f>-CP288/CP283*4</f>
        <v>3.2500000000000001E-2</v>
      </c>
      <c r="CQ289" s="52">
        <f>-CQ288/CQ283*4</f>
        <v>2.6450405489706799E-2</v>
      </c>
      <c r="CR289" s="114">
        <f>-CR288/CR283*4</f>
        <v>2.4909702329057169E-2</v>
      </c>
      <c r="CS289" s="114">
        <f>-CS288/CS283*4</f>
        <v>3.0219088390833544E-2</v>
      </c>
      <c r="CT289" s="113">
        <f>-CT288/CT283</f>
        <v>2.8708133971291867E-2</v>
      </c>
      <c r="CU289" s="114">
        <f>-CU288/CU283*4</f>
        <v>3.147858675548016E-2</v>
      </c>
      <c r="CV289" s="114">
        <f>-CV288/CV283*4</f>
        <v>3.5049337836998269E-2</v>
      </c>
      <c r="CW289" s="114">
        <f>-CW288/CW283*4</f>
        <v>3.5559852054341402E-2</v>
      </c>
      <c r="CX289" s="114">
        <f>-CX288/CX283*4</f>
        <v>3.4772935023907735E-2</v>
      </c>
      <c r="CY289" s="113">
        <f>-CY288/CY283</f>
        <v>3.4215177917681895E-2</v>
      </c>
      <c r="CZ289" s="114">
        <f>-CZ288/CZ283*4</f>
        <v>3.6761465567276261E-2</v>
      </c>
      <c r="DA289" s="114">
        <f>-DA288/DA283*4</f>
        <v>3.6945003182524958E-2</v>
      </c>
      <c r="DB289" s="114">
        <f>-DB288/DB283*4</f>
        <v>3.6700840404493021E-2</v>
      </c>
      <c r="DC289" s="114">
        <f>-DC288/DC283*4</f>
        <v>3.5804881341007073E-2</v>
      </c>
      <c r="DD289" s="113">
        <f>-DD288/DD283</f>
        <v>3.6553047623825323E-2</v>
      </c>
      <c r="DE289" s="114">
        <f>-DE288/DE283*4</f>
        <v>3.5864400508890483E-2</v>
      </c>
      <c r="DF289" s="114">
        <f>-DF288/DF283*4</f>
        <v>3.4430904089185532E-2</v>
      </c>
      <c r="DG289" s="114">
        <f>-DG288/DG283*4</f>
        <v>3.2768284589495933E-2</v>
      </c>
      <c r="DH289" s="114">
        <f>-DH288/DH283*4</f>
        <v>3.0434135276303568E-2</v>
      </c>
      <c r="DI289" s="113">
        <f>-DI288/DI283</f>
        <v>3.3374431115968876E-2</v>
      </c>
    </row>
    <row r="290" spans="1:113" s="7" customFormat="1" ht="12" customHeight="1">
      <c r="A290" s="239"/>
      <c r="B290" s="20"/>
      <c r="C290" s="39"/>
      <c r="D290" s="40"/>
      <c r="E290" s="43"/>
      <c r="F290" s="36"/>
      <c r="G290" s="43"/>
      <c r="H290" s="36"/>
      <c r="I290" s="43"/>
      <c r="J290" s="36"/>
      <c r="K290" s="43"/>
      <c r="L290" s="36"/>
      <c r="M290" s="43"/>
      <c r="N290" s="36"/>
      <c r="O290" s="36"/>
      <c r="P290" s="43"/>
      <c r="Q290" s="36"/>
      <c r="R290" s="43"/>
      <c r="S290" s="43"/>
      <c r="T290" s="43"/>
      <c r="U290" s="43"/>
      <c r="V290" s="36"/>
      <c r="W290" s="43"/>
      <c r="X290" s="43"/>
      <c r="Y290" s="43"/>
      <c r="Z290" s="43"/>
      <c r="AA290" s="36"/>
      <c r="AB290" s="36"/>
      <c r="AC290" s="43"/>
      <c r="AD290" s="43"/>
      <c r="AE290" s="43"/>
      <c r="AF290" s="43"/>
      <c r="AG290" s="36"/>
      <c r="AH290" s="43"/>
      <c r="AI290" s="43"/>
      <c r="AJ290" s="43"/>
      <c r="AK290" s="43"/>
      <c r="AL290" s="36"/>
      <c r="AM290" s="43"/>
      <c r="AN290" s="43"/>
      <c r="AO290" s="43"/>
      <c r="AP290" s="43"/>
      <c r="AQ290" s="36"/>
      <c r="AR290" s="43"/>
      <c r="AS290" s="43"/>
      <c r="AT290" s="43"/>
      <c r="AU290" s="43"/>
      <c r="AV290" s="36"/>
      <c r="AW290" s="43"/>
      <c r="AX290" s="43"/>
      <c r="AY290" s="43"/>
      <c r="AZ290" s="43"/>
      <c r="BA290" s="36"/>
      <c r="BB290" s="43"/>
      <c r="BC290" s="43"/>
      <c r="BD290" s="43"/>
      <c r="BE290" s="43"/>
      <c r="BF290" s="36"/>
      <c r="BG290" s="43"/>
      <c r="BH290" s="43"/>
      <c r="BI290" s="43"/>
      <c r="BJ290" s="43"/>
      <c r="BK290" s="36"/>
      <c r="BL290" s="43"/>
      <c r="BM290" s="43"/>
      <c r="BN290" s="43"/>
      <c r="BO290" s="43"/>
      <c r="BP290" s="36"/>
      <c r="BQ290" s="43"/>
      <c r="BR290" s="43"/>
      <c r="BS290" s="43"/>
      <c r="BT290" s="369"/>
      <c r="BU290" s="36"/>
      <c r="BV290" s="43"/>
      <c r="BW290" s="43"/>
      <c r="BX290" s="43"/>
      <c r="BY290" s="369"/>
      <c r="BZ290" s="36"/>
      <c r="CA290" s="43"/>
      <c r="CB290" s="43"/>
      <c r="CC290" s="43"/>
      <c r="CD290" s="43"/>
      <c r="CE290" s="36"/>
      <c r="CF290" s="43"/>
      <c r="CG290" s="43"/>
      <c r="CH290" s="43"/>
      <c r="CI290" s="43"/>
      <c r="CJ290" s="36"/>
      <c r="CK290" s="43"/>
      <c r="CL290" s="43"/>
      <c r="CM290" s="43"/>
      <c r="CN290" s="43"/>
      <c r="CO290" s="36"/>
      <c r="CP290" s="43"/>
      <c r="CQ290" s="43"/>
      <c r="CR290" s="43"/>
      <c r="CS290" s="43"/>
      <c r="CT290" s="36"/>
      <c r="CU290" s="43"/>
      <c r="CV290" s="43"/>
      <c r="CW290" s="43"/>
      <c r="CX290" s="43"/>
      <c r="CY290" s="36"/>
      <c r="CZ290" s="43"/>
      <c r="DA290" s="43"/>
      <c r="DB290" s="43"/>
      <c r="DC290" s="43"/>
      <c r="DD290" s="36"/>
      <c r="DE290" s="43"/>
      <c r="DF290" s="43"/>
      <c r="DG290" s="43"/>
      <c r="DH290" s="43"/>
      <c r="DI290" s="36"/>
    </row>
    <row r="291" spans="1:113" s="7" customFormat="1" ht="12" customHeight="1">
      <c r="A291" s="239"/>
      <c r="B291" s="20" t="s">
        <v>330</v>
      </c>
      <c r="C291" s="39"/>
      <c r="D291" s="40"/>
      <c r="E291" s="39"/>
      <c r="F291" s="40"/>
      <c r="G291" s="39"/>
      <c r="H291" s="40"/>
      <c r="I291" s="39"/>
      <c r="J291" s="40"/>
      <c r="K291" s="39"/>
      <c r="L291" s="40"/>
      <c r="M291" s="39"/>
      <c r="N291" s="40"/>
      <c r="O291" s="40"/>
      <c r="P291" s="39"/>
      <c r="Q291" s="40"/>
      <c r="R291" s="39"/>
      <c r="S291" s="39"/>
      <c r="T291" s="39"/>
      <c r="U291" s="39"/>
      <c r="V291" s="40"/>
      <c r="W291" s="39"/>
      <c r="X291" s="39"/>
      <c r="Y291" s="39"/>
      <c r="Z291" s="39"/>
      <c r="AA291" s="40"/>
      <c r="AB291" s="36"/>
      <c r="AC291" s="39"/>
      <c r="AD291" s="39"/>
      <c r="AE291" s="39"/>
      <c r="AF291" s="39"/>
      <c r="AG291" s="40"/>
      <c r="AH291" s="39"/>
      <c r="AI291" s="39"/>
      <c r="AJ291" s="39"/>
      <c r="AK291" s="39"/>
      <c r="AL291" s="40"/>
      <c r="AM291" s="39"/>
      <c r="AN291" s="39"/>
      <c r="AO291" s="39"/>
      <c r="AP291" s="39"/>
      <c r="AQ291" s="40"/>
      <c r="AR291" s="39"/>
      <c r="AS291" s="39"/>
      <c r="AT291" s="39"/>
      <c r="AU291" s="39"/>
      <c r="AV291" s="40"/>
      <c r="AW291" s="39"/>
      <c r="AX291" s="39"/>
      <c r="AY291" s="39"/>
      <c r="AZ291" s="39"/>
      <c r="BA291" s="40"/>
      <c r="BB291" s="39"/>
      <c r="BC291" s="39"/>
      <c r="BD291" s="39"/>
      <c r="BE291" s="39"/>
      <c r="BF291" s="40"/>
      <c r="BG291" s="39"/>
      <c r="BH291" s="39"/>
      <c r="BI291" s="39"/>
      <c r="BJ291" s="39"/>
      <c r="BK291" s="40"/>
      <c r="BL291" s="39"/>
      <c r="BM291" s="39"/>
      <c r="BN291" s="39"/>
      <c r="BO291" s="39"/>
      <c r="BP291" s="40"/>
      <c r="BQ291" s="39"/>
      <c r="BR291" s="39"/>
      <c r="BS291" s="39"/>
      <c r="BT291" s="443"/>
      <c r="BU291" s="40"/>
      <c r="BV291" s="39">
        <f>'2. Consolidated'!BV185+'2. Consolidated'!BV186</f>
        <v>13695</v>
      </c>
      <c r="BW291" s="39">
        <f>'2. Consolidated'!BW185+'2. Consolidated'!BW186</f>
        <v>15103</v>
      </c>
      <c r="BX291" s="39">
        <f>'2. Consolidated'!BX185+'2. Consolidated'!BX186</f>
        <v>13467</v>
      </c>
      <c r="BY291" s="443">
        <f>'2. Consolidated'!BY185+'2. Consolidated'!BY186</f>
        <v>12997</v>
      </c>
      <c r="BZ291" s="40">
        <f>'2. Consolidated'!BZ185+'2. Consolidated'!BZ186</f>
        <v>12997</v>
      </c>
      <c r="CA291" s="39">
        <f>'2. Consolidated'!CA185+'2. Consolidated'!CA186</f>
        <v>11876</v>
      </c>
      <c r="CB291" s="39">
        <f>'2. Consolidated'!CB185+'2. Consolidated'!CB186</f>
        <v>10621</v>
      </c>
      <c r="CC291" s="39">
        <f>'2. Consolidated'!CC185+'2. Consolidated'!CC186</f>
        <v>10802</v>
      </c>
      <c r="CD291" s="39">
        <f>'2. Consolidated'!CD185+'2. Consolidated'!CD186</f>
        <v>10675</v>
      </c>
      <c r="CE291" s="40">
        <f>'2. Consolidated'!CE185+'2. Consolidated'!CE186</f>
        <v>10675</v>
      </c>
      <c r="CF291" s="39">
        <f>'2. Consolidated'!CF185+'2. Consolidated'!CF186</f>
        <v>8790</v>
      </c>
      <c r="CG291" s="39">
        <f>'2. Consolidated'!CG185+'2. Consolidated'!CG186</f>
        <v>9927</v>
      </c>
      <c r="CH291" s="39">
        <f>'2. Consolidated'!CH185+'2. Consolidated'!CH186</f>
        <v>10573</v>
      </c>
      <c r="CI291" s="39">
        <f>'2. Consolidated'!CI185+'2. Consolidated'!CI186</f>
        <v>11582</v>
      </c>
      <c r="CJ291" s="40">
        <f>'2. Consolidated'!CJ185+'2. Consolidated'!CJ186</f>
        <v>11582</v>
      </c>
      <c r="CK291" s="39">
        <f>'2. Consolidated'!CK185+'2. Consolidated'!CK186</f>
        <v>10294</v>
      </c>
      <c r="CL291" s="39">
        <f>'2. Consolidated'!CL185+'2. Consolidated'!CL186</f>
        <v>9761</v>
      </c>
      <c r="CM291" s="39">
        <f>'2. Consolidated'!CM185+'2. Consolidated'!CM186</f>
        <v>10393</v>
      </c>
      <c r="CN291" s="39">
        <f>'2. Consolidated'!CN185+'2. Consolidated'!CN186</f>
        <v>9151</v>
      </c>
      <c r="CO291" s="40">
        <f>'2. Consolidated'!CO185+'2. Consolidated'!CO186</f>
        <v>9151</v>
      </c>
      <c r="CP291" s="39">
        <f>'2. Consolidated'!CP185+'2. Consolidated'!CP186</f>
        <v>8575</v>
      </c>
      <c r="CQ291" s="39">
        <f>'2. Consolidated'!CQ185+'2. Consolidated'!CQ186</f>
        <v>8345</v>
      </c>
      <c r="CR291" s="39">
        <f>'2. Consolidated'!CR185+'2. Consolidated'!CR186</f>
        <v>8057</v>
      </c>
      <c r="CS291" s="39">
        <f>'2. Consolidated'!CS185+'2. Consolidated'!CS186</f>
        <v>9027</v>
      </c>
      <c r="CT291" s="40">
        <f>'2. Consolidated'!CT185+'2. Consolidated'!CT186</f>
        <v>9027</v>
      </c>
      <c r="CU291" s="39">
        <f>'2. Consolidated'!CU185+'2. Consolidated'!CU186</f>
        <v>8368</v>
      </c>
      <c r="CV291" s="39">
        <f>'2. Consolidated'!CV185+'2. Consolidated'!CV186</f>
        <v>8688.167379018716</v>
      </c>
      <c r="CW291" s="39">
        <f>'2. Consolidated'!CW185+'2. Consolidated'!CW186</f>
        <v>8798.9166000844489</v>
      </c>
      <c r="CX291" s="39">
        <f>'2. Consolidated'!CX185+'2. Consolidated'!CX186</f>
        <v>8628.2054911608939</v>
      </c>
      <c r="CY291" s="40">
        <f>'2. Consolidated'!CY185+'2. Consolidated'!CY186</f>
        <v>8628.2054911608939</v>
      </c>
      <c r="CZ291" s="39">
        <f>'2. Consolidated'!CZ185+'2. Consolidated'!CZ186</f>
        <v>9059.5905559875155</v>
      </c>
      <c r="DA291" s="39">
        <f>'2. Consolidated'!DA185+'2. Consolidated'!DA186</f>
        <v>9099.4065831117769</v>
      </c>
      <c r="DB291" s="39">
        <f>'2. Consolidated'!DB185+'2. Consolidated'!DB186</f>
        <v>9046.4387390015581</v>
      </c>
      <c r="DC291" s="39">
        <f>'2. Consolidated'!DC185+'2. Consolidated'!DC186</f>
        <v>8852.0724216357921</v>
      </c>
      <c r="DD291" s="40">
        <f>'2. Consolidated'!DD185+'2. Consolidated'!DD186</f>
        <v>8852.0724216357921</v>
      </c>
      <c r="DE291" s="39">
        <f>'2. Consolidated'!DE185+'2. Consolidated'!DE186</f>
        <v>8864.9843078431386</v>
      </c>
      <c r="DF291" s="39">
        <f>'2. Consolidated'!DF185+'2. Consolidated'!DF186</f>
        <v>8554.0064614100593</v>
      </c>
      <c r="DG291" s="39">
        <f>'2. Consolidated'!DG185+'2. Consolidated'!DG186</f>
        <v>8193.3234318999184</v>
      </c>
      <c r="DH291" s="39">
        <f>'2. Consolidated'!DH185+'2. Consolidated'!DH186</f>
        <v>7686.961004556556</v>
      </c>
      <c r="DI291" s="40">
        <f>'2. Consolidated'!DI185+'2. Consolidated'!DI186</f>
        <v>7686.961004556556</v>
      </c>
    </row>
    <row r="292" spans="1:113" s="7" customFormat="1" ht="12" customHeight="1">
      <c r="A292" s="239"/>
      <c r="B292" s="20" t="s">
        <v>103</v>
      </c>
      <c r="C292" s="39"/>
      <c r="D292" s="40"/>
      <c r="E292" s="39"/>
      <c r="F292" s="40"/>
      <c r="G292" s="39"/>
      <c r="H292" s="40"/>
      <c r="I292" s="39"/>
      <c r="J292" s="40"/>
      <c r="K292" s="39"/>
      <c r="L292" s="40"/>
      <c r="M292" s="39"/>
      <c r="N292" s="40"/>
      <c r="O292" s="40"/>
      <c r="P292" s="39"/>
      <c r="Q292" s="40"/>
      <c r="R292" s="39"/>
      <c r="S292" s="39"/>
      <c r="T292" s="39"/>
      <c r="U292" s="39"/>
      <c r="V292" s="40"/>
      <c r="W292" s="39"/>
      <c r="X292" s="39"/>
      <c r="Y292" s="39"/>
      <c r="Z292" s="39"/>
      <c r="AA292" s="40"/>
      <c r="AB292" s="36"/>
      <c r="AC292" s="39"/>
      <c r="AD292" s="39"/>
      <c r="AE292" s="39"/>
      <c r="AF292" s="39"/>
      <c r="AG292" s="40"/>
      <c r="AH292" s="39"/>
      <c r="AI292" s="39"/>
      <c r="AJ292" s="39"/>
      <c r="AK292" s="39"/>
      <c r="AL292" s="40"/>
      <c r="AM292" s="39"/>
      <c r="AN292" s="39"/>
      <c r="AO292" s="39"/>
      <c r="AP292" s="39"/>
      <c r="AQ292" s="40"/>
      <c r="AR292" s="39"/>
      <c r="AS292" s="39"/>
      <c r="AT292" s="39"/>
      <c r="AU292" s="39"/>
      <c r="AV292" s="40"/>
      <c r="AW292" s="39"/>
      <c r="AX292" s="39"/>
      <c r="AY292" s="39"/>
      <c r="AZ292" s="39"/>
      <c r="BA292" s="40"/>
      <c r="BB292" s="39"/>
      <c r="BC292" s="39"/>
      <c r="BD292" s="39"/>
      <c r="BE292" s="39"/>
      <c r="BF292" s="40"/>
      <c r="BG292" s="39"/>
      <c r="BH292" s="39"/>
      <c r="BI292" s="39"/>
      <c r="BJ292" s="39"/>
      <c r="BK292" s="40"/>
      <c r="BL292" s="39"/>
      <c r="BM292" s="39"/>
      <c r="BN292" s="39"/>
      <c r="BO292" s="39"/>
      <c r="BP292" s="40"/>
      <c r="BQ292" s="39"/>
      <c r="BR292" s="39"/>
      <c r="BS292" s="39"/>
      <c r="BT292" s="443"/>
      <c r="BU292" s="40"/>
      <c r="BV292" s="39">
        <v>17</v>
      </c>
      <c r="BW292" s="39">
        <v>18</v>
      </c>
      <c r="BX292" s="39">
        <v>22</v>
      </c>
      <c r="BY292" s="443">
        <f>94-BV292-BW292-BX292</f>
        <v>37</v>
      </c>
      <c r="BZ292" s="40">
        <f>BV292+BW292+BX292+BY292</f>
        <v>94</v>
      </c>
      <c r="CA292" s="39">
        <v>65</v>
      </c>
      <c r="CB292" s="39">
        <v>49</v>
      </c>
      <c r="CC292" s="39">
        <v>83</v>
      </c>
      <c r="CD292" s="39">
        <f>297-CA292-CB292-CC292</f>
        <v>100</v>
      </c>
      <c r="CE292" s="40">
        <f>CA292+CB292+CC292+CD292</f>
        <v>297</v>
      </c>
      <c r="CF292" s="39">
        <v>99</v>
      </c>
      <c r="CG292" s="39">
        <v>92</v>
      </c>
      <c r="CH292" s="39">
        <v>113</v>
      </c>
      <c r="CI292" s="39">
        <f>430-CF292-CG292-CH292</f>
        <v>126</v>
      </c>
      <c r="CJ292" s="40">
        <f>CF292+CG292+CH292+CI292</f>
        <v>430</v>
      </c>
      <c r="CK292" s="39">
        <v>120</v>
      </c>
      <c r="CL292" s="39">
        <v>97</v>
      </c>
      <c r="CM292" s="39">
        <v>97</v>
      </c>
      <c r="CN292" s="39">
        <f>404-CK292-CL292-CM292</f>
        <v>90</v>
      </c>
      <c r="CO292" s="40">
        <f>CK292+CL292+CM292+CN292</f>
        <v>404</v>
      </c>
      <c r="CP292" s="39">
        <v>83</v>
      </c>
      <c r="CQ292" s="39">
        <v>62</v>
      </c>
      <c r="CR292" s="443">
        <v>65</v>
      </c>
      <c r="CS292" s="39">
        <f>278-CR292-CQ292-CP292</f>
        <v>68</v>
      </c>
      <c r="CT292" s="40">
        <f>CP292+CQ292+CR292+CS292</f>
        <v>278</v>
      </c>
      <c r="CU292" s="39">
        <v>76.11512131525123</v>
      </c>
      <c r="CV292" s="39">
        <f>CV291*CV293/4</f>
        <v>79.027355886856824</v>
      </c>
      <c r="CW292" s="39">
        <f>CW291*CW293/4</f>
        <v>80.034728066229164</v>
      </c>
      <c r="CX292" s="39">
        <f>CX291*CX293/4</f>
        <v>78.481944035925935</v>
      </c>
      <c r="CY292" s="40">
        <f>CU292+CV292+CW292+CX292</f>
        <v>313.65914930426317</v>
      </c>
      <c r="CZ292" s="39">
        <f>CZ291*CZ293/4</f>
        <v>82.405811930627877</v>
      </c>
      <c r="DA292" s="39">
        <f>DA291*DA293/4</f>
        <v>82.767977529917374</v>
      </c>
      <c r="DB292" s="39">
        <f>DB291*DB293/4</f>
        <v>82.286183328165862</v>
      </c>
      <c r="DC292" s="39">
        <f>DC291*DC293/4</f>
        <v>80.518232106142207</v>
      </c>
      <c r="DD292" s="40">
        <f>CZ292+DA292+DB292+DC292</f>
        <v>327.97820489485332</v>
      </c>
      <c r="DE292" s="39">
        <f>DE291*DE293/4</f>
        <v>80.635678304168138</v>
      </c>
      <c r="DF292" s="39">
        <f>DF291*DF293/4</f>
        <v>77.807031493985363</v>
      </c>
      <c r="DG292" s="39">
        <f>DG291*DG293/4</f>
        <v>74.526267566222856</v>
      </c>
      <c r="DH292" s="39">
        <f>DH291*DH293/4</f>
        <v>69.92040743396602</v>
      </c>
      <c r="DI292" s="40">
        <f>DE292+DF292+DG292+DH292</f>
        <v>302.88938479834235</v>
      </c>
    </row>
    <row r="293" spans="1:113" s="3" customFormat="1" ht="12" customHeight="1">
      <c r="A293" s="490"/>
      <c r="B293" s="491" t="s">
        <v>358</v>
      </c>
      <c r="C293" s="378"/>
      <c r="D293" s="112"/>
      <c r="E293" s="52"/>
      <c r="F293" s="112"/>
      <c r="G293" s="52"/>
      <c r="H293" s="112"/>
      <c r="I293" s="52"/>
      <c r="J293" s="112"/>
      <c r="K293" s="52"/>
      <c r="L293" s="112"/>
      <c r="M293" s="52"/>
      <c r="N293" s="112"/>
      <c r="O293" s="112"/>
      <c r="P293" s="52"/>
      <c r="Q293" s="112"/>
      <c r="R293" s="52"/>
      <c r="S293" s="52"/>
      <c r="T293" s="52"/>
      <c r="U293" s="52"/>
      <c r="V293" s="112"/>
      <c r="W293" s="52"/>
      <c r="X293" s="52"/>
      <c r="Y293" s="52"/>
      <c r="Z293" s="52"/>
      <c r="AA293" s="112"/>
      <c r="AB293" s="492"/>
      <c r="AC293" s="52"/>
      <c r="AD293" s="52"/>
      <c r="AE293" s="52"/>
      <c r="AF293" s="52"/>
      <c r="AG293" s="112"/>
      <c r="AH293" s="52"/>
      <c r="AI293" s="52"/>
      <c r="AJ293" s="52"/>
      <c r="AK293" s="52"/>
      <c r="AL293" s="112"/>
      <c r="AM293" s="52"/>
      <c r="AN293" s="52"/>
      <c r="AO293" s="52"/>
      <c r="AP293" s="52"/>
      <c r="AQ293" s="112"/>
      <c r="AR293" s="52"/>
      <c r="AS293" s="52"/>
      <c r="AT293" s="52"/>
      <c r="AU293" s="52"/>
      <c r="AV293" s="112"/>
      <c r="AW293" s="52"/>
      <c r="AX293" s="52"/>
      <c r="AY293" s="52"/>
      <c r="AZ293" s="52"/>
      <c r="BA293" s="112"/>
      <c r="BB293" s="52"/>
      <c r="BC293" s="52"/>
      <c r="BD293" s="52"/>
      <c r="BE293" s="52"/>
      <c r="BF293" s="112"/>
      <c r="BG293" s="52"/>
      <c r="BH293" s="52"/>
      <c r="BI293" s="52"/>
      <c r="BJ293" s="52"/>
      <c r="BK293" s="112"/>
      <c r="BL293" s="52"/>
      <c r="BM293" s="52"/>
      <c r="BN293" s="52"/>
      <c r="BO293" s="52"/>
      <c r="BP293" s="112"/>
      <c r="BQ293" s="52"/>
      <c r="BR293" s="52"/>
      <c r="BS293" s="52"/>
      <c r="BT293" s="114"/>
      <c r="BU293" s="112"/>
      <c r="BV293" s="52">
        <f>BV292/BV291*4</f>
        <v>4.9653158086893027E-3</v>
      </c>
      <c r="BW293" s="52">
        <f>BW292/BW291*4</f>
        <v>4.7672647818314245E-3</v>
      </c>
      <c r="BX293" s="52">
        <f>BX292/BX291*4</f>
        <v>6.5344917205019679E-3</v>
      </c>
      <c r="BY293" s="114">
        <f>BY292/BY291*4</f>
        <v>1.1387243209971531E-2</v>
      </c>
      <c r="BZ293" s="112">
        <f>BZ292/BZ291</f>
        <v>7.2324382549819191E-3</v>
      </c>
      <c r="CA293" s="52">
        <f>CA292/CA291*4</f>
        <v>2.1892893230043786E-2</v>
      </c>
      <c r="CB293" s="52">
        <f>CB292/CB291*4</f>
        <v>1.8454006214104132E-2</v>
      </c>
      <c r="CC293" s="52">
        <f>CC292/CC291*4</f>
        <v>3.0735049064987967E-2</v>
      </c>
      <c r="CD293" s="52">
        <f>CD292/CD291*4</f>
        <v>3.7470725995316159E-2</v>
      </c>
      <c r="CE293" s="112">
        <f>CE292/CE291</f>
        <v>2.7822014051522247E-2</v>
      </c>
      <c r="CF293" s="52">
        <f>CF292/CF291*4</f>
        <v>4.5051194539249148E-2</v>
      </c>
      <c r="CG293" s="52">
        <f>CG292/CG291*4</f>
        <v>3.7070615493099625E-2</v>
      </c>
      <c r="CH293" s="52">
        <f>CH292/CH291*4</f>
        <v>4.2750401967275135E-2</v>
      </c>
      <c r="CI293" s="114">
        <f>CI292/CI291*4</f>
        <v>4.3515800379899848E-2</v>
      </c>
      <c r="CJ293" s="112">
        <f>CJ292/CJ291</f>
        <v>3.7126575720946298E-2</v>
      </c>
      <c r="CK293" s="52">
        <f>CK292/CK291*4</f>
        <v>4.6629104332620942E-2</v>
      </c>
      <c r="CL293" s="52">
        <f>CL292/CL291*4</f>
        <v>3.9750025612129904E-2</v>
      </c>
      <c r="CM293" s="52">
        <f>CM292/CM291*4</f>
        <v>3.7332820167420379E-2</v>
      </c>
      <c r="CN293" s="52">
        <f>CN292/CN291*4</f>
        <v>3.9339962845590645E-2</v>
      </c>
      <c r="CO293" s="112">
        <f>CO292/CO291</f>
        <v>4.4148180526718393E-2</v>
      </c>
      <c r="CP293" s="52">
        <f>CP292/CP291*4</f>
        <v>3.8717201166180756E-2</v>
      </c>
      <c r="CQ293" s="52">
        <f>CQ292/CQ291*4</f>
        <v>2.9718394248052726E-2</v>
      </c>
      <c r="CR293" s="52">
        <f>CR292/CR291*4</f>
        <v>3.2270075710562243E-2</v>
      </c>
      <c r="CS293" s="52">
        <f>CS292/CS291*4</f>
        <v>3.0131826741996232E-2</v>
      </c>
      <c r="CT293" s="112">
        <f>CT292/CT291</f>
        <v>3.0796499390716738E-2</v>
      </c>
      <c r="CU293" s="52">
        <f>CU292/CU291*4</f>
        <v>3.6383901202318943E-2</v>
      </c>
      <c r="CV293" s="53">
        <f>CU293</f>
        <v>3.6383901202318943E-2</v>
      </c>
      <c r="CW293" s="53">
        <f>CV293</f>
        <v>3.6383901202318943E-2</v>
      </c>
      <c r="CX293" s="53">
        <f>CW293</f>
        <v>3.6383901202318943E-2</v>
      </c>
      <c r="CY293" s="112">
        <f>CY292/CY291</f>
        <v>3.6352767632341292E-2</v>
      </c>
      <c r="CZ293" s="53">
        <f>CX293</f>
        <v>3.6383901202318943E-2</v>
      </c>
      <c r="DA293" s="53">
        <f>CZ293</f>
        <v>3.6383901202318943E-2</v>
      </c>
      <c r="DB293" s="53">
        <f>DA293</f>
        <v>3.6383901202318943E-2</v>
      </c>
      <c r="DC293" s="53">
        <f>DB293</f>
        <v>3.6383901202318943E-2</v>
      </c>
      <c r="DD293" s="112">
        <f>DD292/DD291</f>
        <v>3.7051007862658851E-2</v>
      </c>
      <c r="DE293" s="53">
        <f>DC293</f>
        <v>3.6383901202318943E-2</v>
      </c>
      <c r="DF293" s="53">
        <f>DE293</f>
        <v>3.6383901202318943E-2</v>
      </c>
      <c r="DG293" s="53">
        <f>DF293</f>
        <v>3.6383901202318943E-2</v>
      </c>
      <c r="DH293" s="53">
        <f>DG293</f>
        <v>3.6383901202318943E-2</v>
      </c>
      <c r="DI293" s="112">
        <f>DI292/DI291</f>
        <v>3.9403007849109724E-2</v>
      </c>
    </row>
    <row r="294" spans="1:113" s="7" customFormat="1" ht="12" customHeight="1">
      <c r="A294" s="239"/>
      <c r="B294" s="20"/>
      <c r="C294" s="39"/>
      <c r="D294" s="40"/>
      <c r="E294" s="43"/>
      <c r="F294" s="36"/>
      <c r="G294" s="43"/>
      <c r="H294" s="36"/>
      <c r="I294" s="43"/>
      <c r="J294" s="36"/>
      <c r="K294" s="43"/>
      <c r="L294" s="36"/>
      <c r="M294" s="43"/>
      <c r="N294" s="36"/>
      <c r="O294" s="36"/>
      <c r="P294" s="43"/>
      <c r="Q294" s="36"/>
      <c r="R294" s="43"/>
      <c r="S294" s="43"/>
      <c r="T294" s="43"/>
      <c r="U294" s="43"/>
      <c r="V294" s="36"/>
      <c r="W294" s="43"/>
      <c r="X294" s="43"/>
      <c r="Y294" s="43"/>
      <c r="Z294" s="43"/>
      <c r="AA294" s="36"/>
      <c r="AB294" s="36"/>
      <c r="AC294" s="43"/>
      <c r="AD294" s="43"/>
      <c r="AE294" s="43"/>
      <c r="AF294" s="43"/>
      <c r="AG294" s="36"/>
      <c r="AH294" s="43"/>
      <c r="AI294" s="43"/>
      <c r="AJ294" s="43"/>
      <c r="AK294" s="43"/>
      <c r="AL294" s="36"/>
      <c r="AM294" s="43"/>
      <c r="AN294" s="43"/>
      <c r="AO294" s="43"/>
      <c r="AP294" s="43"/>
      <c r="AQ294" s="36"/>
      <c r="AR294" s="43"/>
      <c r="AS294" s="43"/>
      <c r="AT294" s="43"/>
      <c r="AU294" s="43"/>
      <c r="AV294" s="36"/>
      <c r="AW294" s="43"/>
      <c r="AX294" s="43"/>
      <c r="AY294" s="43"/>
      <c r="AZ294" s="43"/>
      <c r="BA294" s="36"/>
      <c r="BB294" s="43"/>
      <c r="BC294" s="43"/>
      <c r="BD294" s="43"/>
      <c r="BE294" s="43"/>
      <c r="BF294" s="36"/>
      <c r="BG294" s="43"/>
      <c r="BH294" s="43"/>
      <c r="BI294" s="43"/>
      <c r="BJ294" s="43"/>
      <c r="BK294" s="36"/>
      <c r="BL294" s="43"/>
      <c r="BM294" s="43"/>
      <c r="BN294" s="43"/>
      <c r="BO294" s="43"/>
      <c r="BP294" s="36"/>
      <c r="BQ294" s="43"/>
      <c r="BR294" s="43"/>
      <c r="BS294" s="43"/>
      <c r="BT294" s="369"/>
      <c r="BU294" s="36"/>
      <c r="BV294" s="43"/>
      <c r="BW294" s="43"/>
      <c r="BX294" s="43"/>
      <c r="BY294" s="369"/>
      <c r="BZ294" s="36"/>
      <c r="CA294" s="43"/>
      <c r="CB294" s="43"/>
      <c r="CC294" s="43"/>
      <c r="CD294" s="43"/>
      <c r="CE294" s="36"/>
      <c r="CF294" s="43"/>
      <c r="CG294" s="43"/>
      <c r="CH294" s="43"/>
      <c r="CI294" s="43"/>
      <c r="CJ294" s="36"/>
      <c r="CK294" s="43"/>
      <c r="CL294" s="43"/>
      <c r="CM294" s="43"/>
      <c r="CN294" s="43"/>
      <c r="CO294" s="36"/>
      <c r="CP294" s="43"/>
      <c r="CQ294" s="43"/>
      <c r="CR294" s="43"/>
      <c r="CS294" s="43"/>
      <c r="CT294" s="36"/>
      <c r="CU294" s="43"/>
      <c r="CV294" s="43"/>
      <c r="CW294" s="43"/>
      <c r="CX294" s="43"/>
      <c r="CY294" s="36"/>
      <c r="CZ294" s="43"/>
      <c r="DA294" s="43"/>
      <c r="DB294" s="43"/>
      <c r="DC294" s="43"/>
      <c r="DD294" s="36"/>
      <c r="DE294" s="43"/>
      <c r="DF294" s="43"/>
      <c r="DG294" s="43"/>
      <c r="DH294" s="43"/>
      <c r="DI294" s="36"/>
    </row>
    <row r="295" spans="1:113" s="7" customFormat="1" ht="12" customHeight="1">
      <c r="A295" s="239" t="str">
        <f>IF(ISBLANK(B295),"Scrap", " ")</f>
        <v xml:space="preserve"> </v>
      </c>
      <c r="B295" s="20" t="s">
        <v>262</v>
      </c>
      <c r="C295" s="43">
        <f>'2. Consolidated'!C81</f>
        <v>-76.176999999999992</v>
      </c>
      <c r="D295" s="36">
        <f>'2. Consolidated'!D81</f>
        <v>-84.62</v>
      </c>
      <c r="E295" s="43">
        <f>'2. Consolidated'!E81</f>
        <v>-80.800000000000011</v>
      </c>
      <c r="F295" s="36">
        <f>'2. Consolidated'!F81</f>
        <v>-65.599999999999994</v>
      </c>
      <c r="G295" s="43">
        <f>'2. Consolidated'!G81</f>
        <v>-68.2</v>
      </c>
      <c r="H295" s="36">
        <f>'2. Consolidated'!H81</f>
        <v>-92.9</v>
      </c>
      <c r="I295" s="43">
        <f>'2. Consolidated'!I81</f>
        <v>-50.599999999999994</v>
      </c>
      <c r="J295" s="36">
        <f>'2. Consolidated'!J81</f>
        <v>-109.6</v>
      </c>
      <c r="K295" s="43">
        <f>'2. Consolidated'!K81</f>
        <v>-99.699999999999989</v>
      </c>
      <c r="L295" s="36">
        <f>'2. Consolidated'!L81</f>
        <v>-33.9</v>
      </c>
      <c r="M295" s="43">
        <f>'2. Consolidated'!M81</f>
        <v>32.4</v>
      </c>
      <c r="N295" s="36">
        <f>'2. Consolidated'!N81</f>
        <v>68.100000000000009</v>
      </c>
      <c r="O295" s="36">
        <f>'2. Consolidated'!O81</f>
        <v>40.20000000000001</v>
      </c>
      <c r="P295" s="43">
        <f>'2. Consolidated'!P81</f>
        <v>9.5</v>
      </c>
      <c r="Q295" s="36">
        <f>'2. Consolidated'!Q81</f>
        <v>-6.3</v>
      </c>
      <c r="R295" s="43">
        <f>'2. Consolidated'!R81</f>
        <v>1</v>
      </c>
      <c r="S295" s="43">
        <f>'2. Consolidated'!S81</f>
        <v>-1</v>
      </c>
      <c r="T295" s="43">
        <f>'2. Consolidated'!T81</f>
        <v>0</v>
      </c>
      <c r="U295" s="43">
        <f>'2. Consolidated'!U81</f>
        <v>-4</v>
      </c>
      <c r="V295" s="36">
        <f>'2. Consolidated'!V81</f>
        <v>-4</v>
      </c>
      <c r="W295" s="43">
        <f>'2. Consolidated'!W81</f>
        <v>0</v>
      </c>
      <c r="X295" s="43">
        <f>'2. Consolidated'!X81</f>
        <v>-3</v>
      </c>
      <c r="Y295" s="43">
        <f>'2. Consolidated'!Y81</f>
        <v>0</v>
      </c>
      <c r="Z295" s="43">
        <f>'2. Consolidated'!Z81</f>
        <v>0</v>
      </c>
      <c r="AA295" s="36">
        <f>'2. Consolidated'!AA81</f>
        <v>-3</v>
      </c>
      <c r="AB295" s="36"/>
      <c r="AC295" s="43">
        <f>'2. Consolidated'!AC81</f>
        <v>3</v>
      </c>
      <c r="AD295" s="43">
        <f>'2. Consolidated'!AD81</f>
        <v>1</v>
      </c>
      <c r="AE295" s="43">
        <f>'2. Consolidated'!AE81</f>
        <v>2</v>
      </c>
      <c r="AF295" s="43">
        <f>'2. Consolidated'!AF81</f>
        <v>-3</v>
      </c>
      <c r="AG295" s="36">
        <f>'2. Consolidated'!AG81</f>
        <v>3</v>
      </c>
      <c r="AH295" s="43">
        <f>'2. Consolidated'!AH81</f>
        <v>-8</v>
      </c>
      <c r="AI295" s="43">
        <f>'2. Consolidated'!AI81</f>
        <v>-8</v>
      </c>
      <c r="AJ295" s="43">
        <f>'2. Consolidated'!AJ81</f>
        <v>-9</v>
      </c>
      <c r="AK295" s="43">
        <f>'2. Consolidated'!AK81</f>
        <v>-8</v>
      </c>
      <c r="AL295" s="36">
        <f>'2. Consolidated'!AL81</f>
        <v>-33</v>
      </c>
      <c r="AM295" s="43">
        <f>'2. Consolidated'!AM81</f>
        <v>-9</v>
      </c>
      <c r="AN295" s="43">
        <f>'2. Consolidated'!AN81</f>
        <v>-9</v>
      </c>
      <c r="AO295" s="43">
        <f>'2. Consolidated'!AO81</f>
        <v>-6</v>
      </c>
      <c r="AP295" s="43">
        <f>'2. Consolidated'!AP81</f>
        <v>-4</v>
      </c>
      <c r="AQ295" s="36">
        <f>'2. Consolidated'!AQ81</f>
        <v>-28</v>
      </c>
      <c r="AR295" s="43">
        <f>'2. Consolidated'!AR81</f>
        <v>-4</v>
      </c>
      <c r="AS295" s="43">
        <f>'2. Consolidated'!AS81</f>
        <v>-5</v>
      </c>
      <c r="AT295" s="43">
        <f>'2. Consolidated'!AT81</f>
        <v>-5</v>
      </c>
      <c r="AU295" s="43">
        <f>'2. Consolidated'!AU81</f>
        <v>-5</v>
      </c>
      <c r="AV295" s="36">
        <f>'2. Consolidated'!AV81</f>
        <v>-19</v>
      </c>
      <c r="AW295" s="43">
        <f>'2. Consolidated'!AW81</f>
        <v>-7</v>
      </c>
      <c r="AX295" s="43">
        <f>'2. Consolidated'!AX81</f>
        <v>-15</v>
      </c>
      <c r="AY295" s="43">
        <f>'2. Consolidated'!AY81</f>
        <v>-19</v>
      </c>
      <c r="AZ295" s="43">
        <f>'2. Consolidated'!AZ81</f>
        <v>-18</v>
      </c>
      <c r="BA295" s="36">
        <f>'2. Consolidated'!BA81</f>
        <v>-59</v>
      </c>
      <c r="BB295" s="43">
        <f>'2. Consolidated'!BB81</f>
        <v>-16</v>
      </c>
      <c r="BC295" s="43">
        <f>'2. Consolidated'!BC81</f>
        <v>-13</v>
      </c>
      <c r="BD295" s="43">
        <f>'2. Consolidated'!BD81</f>
        <v>-13</v>
      </c>
      <c r="BE295" s="43">
        <f>'2. Consolidated'!BE81</f>
        <v>-12</v>
      </c>
      <c r="BF295" s="36">
        <f>'2. Consolidated'!BF81</f>
        <v>-54</v>
      </c>
      <c r="BG295" s="43">
        <f>'2. Consolidated'!BG81</f>
        <v>-11</v>
      </c>
      <c r="BH295" s="43">
        <f>'2. Consolidated'!BH81</f>
        <v>-14</v>
      </c>
      <c r="BI295" s="43">
        <f>'2. Consolidated'!BI81</f>
        <v>-12</v>
      </c>
      <c r="BJ295" s="43">
        <f>'2. Consolidated'!BJ81</f>
        <v>-12</v>
      </c>
      <c r="BK295" s="36">
        <f>'2. Consolidated'!BK81</f>
        <v>-49</v>
      </c>
      <c r="BL295" s="43">
        <f>'2. Consolidated'!BL81</f>
        <v>-15</v>
      </c>
      <c r="BM295" s="43">
        <f>'2. Consolidated'!BM81</f>
        <v>-12</v>
      </c>
      <c r="BN295" s="43">
        <f>'2. Consolidated'!BN81</f>
        <v>-12</v>
      </c>
      <c r="BO295" s="43">
        <f>'2. Consolidated'!BO81</f>
        <v>-50</v>
      </c>
      <c r="BP295" s="36">
        <f>'2. Consolidated'!BP81</f>
        <v>-89</v>
      </c>
      <c r="BQ295" s="43">
        <f>'2. Consolidated'!BQ81</f>
        <v>-65</v>
      </c>
      <c r="BR295" s="43">
        <f>'2. Consolidated'!BR81</f>
        <v>-70</v>
      </c>
      <c r="BS295" s="43">
        <f>'2. Consolidated'!BS81</f>
        <v>-64</v>
      </c>
      <c r="BT295" s="369">
        <f>'2. Consolidated'!BT81</f>
        <v>-63</v>
      </c>
      <c r="BU295" s="36">
        <f>'2. Consolidated'!BU81</f>
        <v>-262</v>
      </c>
      <c r="BV295" s="43">
        <f>'2. Consolidated'!BV81</f>
        <v>-57</v>
      </c>
      <c r="BW295" s="43">
        <f>'2. Consolidated'!BW81</f>
        <v>-55</v>
      </c>
      <c r="BX295" s="43">
        <f>'2. Consolidated'!BX81</f>
        <v>-53</v>
      </c>
      <c r="BY295" s="369">
        <f>'2. Consolidated'!BY81</f>
        <v>-40</v>
      </c>
      <c r="BZ295" s="36">
        <f>'2. Consolidated'!BZ81</f>
        <v>-205</v>
      </c>
      <c r="CA295" s="43">
        <f>'2. Consolidated'!CA81</f>
        <v>-13</v>
      </c>
      <c r="CB295" s="43">
        <f>'2. Consolidated'!CB81</f>
        <v>-16</v>
      </c>
      <c r="CC295" s="43">
        <f>'2. Consolidated'!CC81</f>
        <v>7</v>
      </c>
      <c r="CD295" s="43">
        <f>'2. Consolidated'!CD81</f>
        <v>28</v>
      </c>
      <c r="CE295" s="36">
        <f>'2. Consolidated'!CE81</f>
        <v>6</v>
      </c>
      <c r="CF295" s="43">
        <f>'2. Consolidated'!CF81</f>
        <v>34</v>
      </c>
      <c r="CG295" s="43">
        <f>'2. Consolidated'!CG81</f>
        <v>22</v>
      </c>
      <c r="CH295" s="43">
        <f>'2. Consolidated'!CH81</f>
        <v>52</v>
      </c>
      <c r="CI295" s="43">
        <f>'2. Consolidated'!CI81</f>
        <v>53</v>
      </c>
      <c r="CJ295" s="36">
        <f>'2. Consolidated'!CJ81</f>
        <v>161</v>
      </c>
      <c r="CK295" s="43">
        <f>'2. Consolidated'!CK81</f>
        <v>43</v>
      </c>
      <c r="CL295" s="43">
        <f>'2. Consolidated'!CL81</f>
        <v>24</v>
      </c>
      <c r="CM295" s="43">
        <f>'2. Consolidated'!CM81</f>
        <v>18</v>
      </c>
      <c r="CN295" s="43">
        <f>'2. Consolidated'!CN81</f>
        <v>22</v>
      </c>
      <c r="CO295" s="36">
        <f>'2. Consolidated'!CO81</f>
        <v>107</v>
      </c>
      <c r="CP295" s="43">
        <f>'2. Consolidated'!CP81</f>
        <v>18</v>
      </c>
      <c r="CQ295" s="43">
        <f>'2. Consolidated'!CQ81</f>
        <v>9</v>
      </c>
      <c r="CR295" s="43">
        <f>'2. Consolidated'!CR81</f>
        <v>15</v>
      </c>
      <c r="CS295" s="43">
        <f>'2. Consolidated'!CS81</f>
        <v>8</v>
      </c>
      <c r="CT295" s="36">
        <f>'2. Consolidated'!CT81</f>
        <v>50</v>
      </c>
      <c r="CU295" s="43">
        <f>'2. Consolidated'!CU81</f>
        <v>14</v>
      </c>
      <c r="CV295" s="43">
        <f>+CV287*CV296/4</f>
        <v>9.8662500000000009</v>
      </c>
      <c r="CW295" s="43">
        <f>+CW287*CW296/4</f>
        <v>9.8662500000000009</v>
      </c>
      <c r="CX295" s="43">
        <f>+CX287*CX296/4</f>
        <v>9.8662500000000009</v>
      </c>
      <c r="CY295" s="36">
        <f>'2. Consolidated'!CY81</f>
        <v>43.598750000000003</v>
      </c>
      <c r="CZ295" s="43">
        <f>+CZ287*CZ296/4</f>
        <v>9.8662500000000009</v>
      </c>
      <c r="DA295" s="43">
        <f>+DA287*DA296/4</f>
        <v>9.8662500000000009</v>
      </c>
      <c r="DB295" s="43">
        <f>+DB287*DB296/4</f>
        <v>9.8662500000000009</v>
      </c>
      <c r="DC295" s="43">
        <f>+DC287*DC296/4</f>
        <v>9.8662500000000009</v>
      </c>
      <c r="DD295" s="36">
        <f>'2. Consolidated'!DD81</f>
        <v>39.465000000000003</v>
      </c>
      <c r="DE295" s="43">
        <f>+DE287*DE296/4</f>
        <v>9.8662500000000009</v>
      </c>
      <c r="DF295" s="43">
        <f>+DF287*DF296/4</f>
        <v>9.8662500000000009</v>
      </c>
      <c r="DG295" s="43">
        <f>+DG287*DG296/4</f>
        <v>9.8662500000000009</v>
      </c>
      <c r="DH295" s="43">
        <f>+DH287*DH296/4</f>
        <v>9.8662500000000009</v>
      </c>
      <c r="DI295" s="36">
        <f>'2. Consolidated'!DI81</f>
        <v>39.465000000000003</v>
      </c>
    </row>
    <row r="296" spans="1:113" s="3" customFormat="1" ht="12" customHeight="1">
      <c r="A296" s="490" t="str">
        <f>IF(ISBLANK(B296),"Scrap", " ")</f>
        <v xml:space="preserve"> </v>
      </c>
      <c r="B296" s="493" t="s">
        <v>263</v>
      </c>
      <c r="C296" s="378" t="s">
        <v>126</v>
      </c>
      <c r="D296" s="112">
        <f t="shared" ref="D296:Q296" si="731">+D295/D287</f>
        <v>-0.12886248627542948</v>
      </c>
      <c r="E296" s="52">
        <f t="shared" si="731"/>
        <v>-9.4358902493854313E-2</v>
      </c>
      <c r="F296" s="112">
        <f t="shared" si="731"/>
        <v>-7.8684387446241719E-2</v>
      </c>
      <c r="G296" s="52">
        <f t="shared" si="731"/>
        <v>-6.0600675315443393E-2</v>
      </c>
      <c r="H296" s="112">
        <f t="shared" si="731"/>
        <v>-6.7780534072668916E-2</v>
      </c>
      <c r="I296" s="52">
        <f t="shared" si="731"/>
        <v>-4.2114024136496044E-2</v>
      </c>
      <c r="J296" s="112">
        <f t="shared" si="731"/>
        <v>-0.11304213294827496</v>
      </c>
      <c r="K296" s="52">
        <f t="shared" si="731"/>
        <v>-0.11956586916112009</v>
      </c>
      <c r="L296" s="112">
        <f t="shared" si="731"/>
        <v>-4.2420071325783647E-2</v>
      </c>
      <c r="M296" s="52">
        <f t="shared" si="731"/>
        <v>4.4000814829904263E-2</v>
      </c>
      <c r="N296" s="112">
        <f t="shared" si="731"/>
        <v>0.10890772429233971</v>
      </c>
      <c r="O296" s="112">
        <f t="shared" si="731"/>
        <v>6.8935951298979684E-2</v>
      </c>
      <c r="P296" s="52">
        <f t="shared" si="731"/>
        <v>1.3220150292234903E-2</v>
      </c>
      <c r="Q296" s="112">
        <f t="shared" si="731"/>
        <v>-8.9737198205256039E-3</v>
      </c>
      <c r="R296" s="52">
        <f>+R295/R287*4</f>
        <v>6.8085106382978723E-3</v>
      </c>
      <c r="S296" s="52">
        <f>+S295/S287*4</f>
        <v>-6.7739204064352241E-3</v>
      </c>
      <c r="T296" s="52">
        <f>+T295/T287*4</f>
        <v>0</v>
      </c>
      <c r="U296" s="52">
        <f>+U295/U287*4</f>
        <v>-2.5078369905956112E-2</v>
      </c>
      <c r="V296" s="112">
        <f>+V295/V287</f>
        <v>-6.6074747057608919E-3</v>
      </c>
      <c r="W296" s="52">
        <f>+W295/W287*4</f>
        <v>0</v>
      </c>
      <c r="X296" s="52">
        <f>+X295/X287*4</f>
        <v>-2.4266936299292215E-2</v>
      </c>
      <c r="Y296" s="52">
        <f>+Y295/Y287*4</f>
        <v>0</v>
      </c>
      <c r="Z296" s="52">
        <f>+Z295/Z287*4</f>
        <v>0</v>
      </c>
      <c r="AA296" s="112">
        <f>+AA295/AA287</f>
        <v>-6.376195536663124E-3</v>
      </c>
      <c r="AB296" s="492"/>
      <c r="AC296" s="52">
        <f>+AC295/AC287*4</f>
        <v>3.2042723631508681E-2</v>
      </c>
      <c r="AD296" s="52">
        <f>+AD295/AD287*4</f>
        <v>1.1560693641618497E-2</v>
      </c>
      <c r="AE296" s="52">
        <f>+AE295/AE287*4</f>
        <v>2.465331278890601E-2</v>
      </c>
      <c r="AF296" s="52">
        <f>+AF295/AF287*4</f>
        <v>-1.4043300175541252E-2</v>
      </c>
      <c r="AG296" s="112">
        <f>+AG295/AG287</f>
        <v>6.3174519610423793E-3</v>
      </c>
      <c r="AH296" s="52">
        <f>+AH295/AH287*4</f>
        <v>-2.3163228374954759E-2</v>
      </c>
      <c r="AI296" s="52">
        <f>+AI295/AI287*4</f>
        <v>-2.3222060957910014E-2</v>
      </c>
      <c r="AJ296" s="52">
        <f>+AJ295/AJ287*4</f>
        <v>-2.6587887740029542E-2</v>
      </c>
      <c r="AK296" s="52">
        <f>+AK295/AK287*4</f>
        <v>-2.3703703703703703E-2</v>
      </c>
      <c r="AL296" s="112">
        <f>+AL295/AL287</f>
        <v>-2.4160336780452093E-2</v>
      </c>
      <c r="AM296" s="52">
        <f>+AM295/AM287*4</f>
        <v>-2.6470588235294117E-2</v>
      </c>
      <c r="AN296" s="52">
        <f>+AN295/AN287*4</f>
        <v>-2.7334851936218679E-2</v>
      </c>
      <c r="AO296" s="52">
        <f>+AO295/AO287*4</f>
        <v>-1.8912529550827423E-2</v>
      </c>
      <c r="AP296" s="52">
        <f>+AP295/AP287*4</f>
        <v>-1.2743926722421346E-2</v>
      </c>
      <c r="AQ296" s="112">
        <f>+AQ295/AQ287</f>
        <v>-2.1532250312409882E-2</v>
      </c>
      <c r="AR296" s="52">
        <f>+AR295/AR287*4</f>
        <v>-1.2965964343598054E-2</v>
      </c>
      <c r="AS296" s="52">
        <f>+AS295/AS287*4</f>
        <v>-1.1837821840781295E-2</v>
      </c>
      <c r="AT296" s="52">
        <f>+AT295/AT287*4</f>
        <v>-9.4652153336488402E-3</v>
      </c>
      <c r="AU296" s="52">
        <f>+AU295/AU287*4</f>
        <v>-9.7323600973236012E-3</v>
      </c>
      <c r="AV296" s="112">
        <f>+AV295/AV287</f>
        <v>-1.0717055629979553E-2</v>
      </c>
      <c r="AW296" s="52">
        <f>+AW295/AW287*4</f>
        <v>-1.3612056392805057E-2</v>
      </c>
      <c r="AX296" s="52">
        <f>+AX295/AX287*4</f>
        <v>-2.1443888491779844E-2</v>
      </c>
      <c r="AY296" s="52">
        <f>+AY295/AY287*4</f>
        <v>-2.1597044614947429E-2</v>
      </c>
      <c r="AZ296" s="52">
        <f>+AZ295/AZ287*4</f>
        <v>-1.9717924140764068E-2</v>
      </c>
      <c r="BA296" s="112">
        <f>+BA295/BA287</f>
        <v>-1.9624963618976341E-2</v>
      </c>
      <c r="BB296" s="52">
        <f>+BB295/BB287*4</f>
        <v>-1.680672268907563E-2</v>
      </c>
      <c r="BC296" s="52">
        <f>+BC295/BC287*4</f>
        <v>-1.219941348973607E-2</v>
      </c>
      <c r="BD296" s="52">
        <f>+BD295/BD287*4</f>
        <v>-1.2687568622666829E-2</v>
      </c>
      <c r="BE296" s="52">
        <f>+BE295/BE287*4</f>
        <v>-1.3157894736842105E-2</v>
      </c>
      <c r="BF296" s="112">
        <f>+BF295/BF287</f>
        <v>-1.3656192704052602E-2</v>
      </c>
      <c r="BG296" s="52">
        <f>+BG295/BG287*4</f>
        <v>-1.2061403508771929E-2</v>
      </c>
      <c r="BH296" s="52">
        <f>+BH295/BH287*4</f>
        <v>-1.6075785847567102E-2</v>
      </c>
      <c r="BI296" s="52">
        <f>+BI295/BI287*4</f>
        <v>-1.3777267508610792E-2</v>
      </c>
      <c r="BJ296" s="52">
        <f>+BJ295/BJ287*4</f>
        <v>-1.3781223083548665E-2</v>
      </c>
      <c r="BK296" s="112">
        <f>+BK295/BK287</f>
        <v>-1.3902188176047096E-2</v>
      </c>
      <c r="BL296" s="52">
        <f>+BL295/BL287*4</f>
        <v>-1.6671297582661851E-2</v>
      </c>
      <c r="BM296" s="52">
        <f>+BM295/BM287*4</f>
        <v>-1.2822225190329906E-2</v>
      </c>
      <c r="BN296" s="52">
        <f>+BN295/BN287*4</f>
        <v>-1.3252346769740474E-2</v>
      </c>
      <c r="BO296" s="52">
        <f>+BO295/BO287*4</f>
        <v>-3.0457625828066701E-2</v>
      </c>
      <c r="BP296" s="112">
        <f>+BP295/BP287</f>
        <v>-2.0306884946665906E-2</v>
      </c>
      <c r="BQ296" s="52">
        <f>+BQ295/BQ287*4</f>
        <v>-2.7079102223610894E-2</v>
      </c>
      <c r="BR296" s="52">
        <f>+BR295/BR287*4</f>
        <v>-2.9478338685055536E-2</v>
      </c>
      <c r="BS296" s="52">
        <f>+BS295/BS287*4</f>
        <v>-2.713732972915673E-2</v>
      </c>
      <c r="BT296" s="114">
        <f>+BT295/BT287*4</f>
        <v>-2.6764377887525889E-2</v>
      </c>
      <c r="BU296" s="112">
        <f>+BU295/BU287</f>
        <v>-2.7616010962080686E-2</v>
      </c>
      <c r="BV296" s="52">
        <f>+BV295/BV287*4</f>
        <v>-2.4197399840806579E-2</v>
      </c>
      <c r="BW296" s="52">
        <f>+BW295/BW287*4</f>
        <v>-2.3334747560458211E-2</v>
      </c>
      <c r="BX296" s="52">
        <f>+BX295/BX287*4</f>
        <v>-2.2500530672893228E-2</v>
      </c>
      <c r="BY296" s="114">
        <f>+BY295/BY287*4</f>
        <v>-1.6977928692699491E-2</v>
      </c>
      <c r="BZ296" s="112">
        <f>+BZ295/BZ287</f>
        <v>-2.1752682609791359E-2</v>
      </c>
      <c r="CA296" s="52">
        <f>+CA295/CA287*4</f>
        <v>-5.5140236466783305E-3</v>
      </c>
      <c r="CB296" s="52">
        <f>+CB295/CB287*4</f>
        <v>-6.7861308450853572E-3</v>
      </c>
      <c r="CC296" s="52">
        <f>+CC295/CC287*4</f>
        <v>2.9676735559088499E-3</v>
      </c>
      <c r="CD296" s="52">
        <f>+CD295/CD287*4</f>
        <v>1.2192466797300239E-2</v>
      </c>
      <c r="CE296" s="112">
        <f>+CE295/CE287</f>
        <v>6.4029880610951776E-4</v>
      </c>
      <c r="CF296" s="52">
        <f>+CF295/CF287*4</f>
        <v>1.5222744571300649E-2</v>
      </c>
      <c r="CG296" s="52">
        <f>+CG295/CG287*4</f>
        <v>9.8483576744446306E-3</v>
      </c>
      <c r="CH296" s="52">
        <f>+CH295/CH287*4</f>
        <v>2.3276633840644583E-2</v>
      </c>
      <c r="CI296" s="114">
        <f>+CI295/CI287*4</f>
        <v>2.3760156906696552E-2</v>
      </c>
      <c r="CJ296" s="112">
        <f>+CJ295/CJ287</f>
        <v>1.8025078369905956E-2</v>
      </c>
      <c r="CK296" s="52">
        <f>+CK295/CK287*4</f>
        <v>1.9197499860483285E-2</v>
      </c>
      <c r="CL296" s="52">
        <f>+CL295/CL287*4</f>
        <v>1.064773735581189E-2</v>
      </c>
      <c r="CM296" s="52">
        <f>+CM295/CM287*4</f>
        <v>8.0080080080080079E-3</v>
      </c>
      <c r="CN296" s="52">
        <f>+CN295/CN287*4</f>
        <v>1.0398203946591043E-2</v>
      </c>
      <c r="CO296" s="112">
        <f>+CO295/CO287</f>
        <v>1.2080328539776175E-2</v>
      </c>
      <c r="CP296" s="52">
        <f>+CP295/CP287*4</f>
        <v>9.0191657271702363E-3</v>
      </c>
      <c r="CQ296" s="52">
        <f>+CQ295/CQ287*4</f>
        <v>4.4957852013737124E-3</v>
      </c>
      <c r="CR296" s="52">
        <f>+CR295/CR287*4</f>
        <v>7.4794315632011965E-3</v>
      </c>
      <c r="CS296" s="52">
        <f>+CS295/CS287*4</f>
        <v>4.0072631644856305E-3</v>
      </c>
      <c r="CT296" s="112">
        <f>+CT295/CT287</f>
        <v>6.2503906494155888E-3</v>
      </c>
      <c r="CU296" s="52">
        <f>+CU295/CU287*4</f>
        <v>7.0729396905588882E-3</v>
      </c>
      <c r="CV296" s="53">
        <v>5.0000000000000001E-3</v>
      </c>
      <c r="CW296" s="53">
        <v>5.0000000000000001E-3</v>
      </c>
      <c r="CX296" s="53">
        <v>5.0000000000000001E-3</v>
      </c>
      <c r="CY296" s="112">
        <f>+CY295/CY287</f>
        <v>5.519440444353014E-3</v>
      </c>
      <c r="CZ296" s="53">
        <v>5.0000000000000001E-3</v>
      </c>
      <c r="DA296" s="53">
        <v>5.0000000000000001E-3</v>
      </c>
      <c r="DB296" s="53">
        <v>5.0000000000000001E-3</v>
      </c>
      <c r="DC296" s="53">
        <v>5.0000000000000001E-3</v>
      </c>
      <c r="DD296" s="112">
        <f>+DD295/DD287</f>
        <v>5.0000000000000001E-3</v>
      </c>
      <c r="DE296" s="53">
        <v>5.0000000000000001E-3</v>
      </c>
      <c r="DF296" s="53">
        <v>5.0000000000000001E-3</v>
      </c>
      <c r="DG296" s="53">
        <v>5.0000000000000001E-3</v>
      </c>
      <c r="DH296" s="53">
        <v>5.0000000000000001E-3</v>
      </c>
      <c r="DI296" s="112">
        <f>+DI295/DI287</f>
        <v>5.0000000000000001E-3</v>
      </c>
    </row>
    <row r="297" spans="1:113" s="7" customFormat="1" ht="12" customHeight="1">
      <c r="A297" s="239"/>
      <c r="B297" s="201"/>
      <c r="C297" s="494"/>
      <c r="D297" s="495"/>
      <c r="E297" s="494"/>
      <c r="F297" s="495"/>
      <c r="G297" s="494"/>
      <c r="H297" s="495"/>
      <c r="I297" s="494"/>
      <c r="J297" s="495"/>
      <c r="K297" s="494"/>
      <c r="L297" s="495"/>
      <c r="M297" s="494"/>
      <c r="N297" s="495"/>
      <c r="O297" s="495"/>
      <c r="P297" s="494"/>
      <c r="Q297" s="495"/>
      <c r="R297" s="494"/>
      <c r="S297" s="494"/>
      <c r="T297" s="494"/>
      <c r="U297" s="494"/>
      <c r="V297" s="495"/>
      <c r="W297" s="494"/>
      <c r="X297" s="494"/>
      <c r="Y297" s="494"/>
      <c r="Z297" s="494"/>
      <c r="AA297" s="495"/>
      <c r="AB297" s="44"/>
      <c r="AC297" s="494"/>
      <c r="AD297" s="494"/>
      <c r="AE297" s="494"/>
      <c r="AF297" s="494"/>
      <c r="AG297" s="495"/>
      <c r="AH297" s="494"/>
      <c r="AI297" s="494"/>
      <c r="AJ297" s="494"/>
      <c r="AK297" s="494"/>
      <c r="AL297" s="495"/>
      <c r="AM297" s="494"/>
      <c r="AN297" s="494"/>
      <c r="AO297" s="494"/>
      <c r="AP297" s="494"/>
      <c r="AQ297" s="495"/>
      <c r="AR297" s="494"/>
      <c r="AS297" s="494"/>
      <c r="AT297" s="494"/>
      <c r="AU297" s="494"/>
      <c r="AV297" s="495"/>
      <c r="AW297" s="494"/>
      <c r="AX297" s="494"/>
      <c r="AY297" s="494"/>
      <c r="AZ297" s="494"/>
      <c r="BA297" s="495"/>
      <c r="BB297" s="494"/>
      <c r="BC297" s="494"/>
      <c r="BD297" s="494"/>
      <c r="BE297" s="494"/>
      <c r="BF297" s="495"/>
      <c r="BG297" s="494"/>
      <c r="BH297" s="494"/>
      <c r="BI297" s="494"/>
      <c r="BJ297" s="494"/>
      <c r="BK297" s="495"/>
      <c r="BL297" s="494"/>
      <c r="BM297" s="494"/>
      <c r="BN297" s="496"/>
      <c r="BO297" s="494"/>
      <c r="BP297" s="495"/>
      <c r="BQ297" s="494"/>
      <c r="BR297" s="494"/>
      <c r="BS297" s="494"/>
      <c r="BT297" s="497"/>
      <c r="BU297" s="495"/>
      <c r="BV297" s="494"/>
      <c r="BW297" s="494"/>
      <c r="BX297" s="494"/>
      <c r="BY297" s="497"/>
      <c r="BZ297" s="495"/>
      <c r="CA297" s="494"/>
      <c r="CB297" s="494"/>
      <c r="CC297" s="494"/>
      <c r="CD297" s="494"/>
      <c r="CE297" s="495"/>
      <c r="CF297" s="494"/>
      <c r="CG297" s="494"/>
      <c r="CH297" s="494"/>
      <c r="CI297" s="494"/>
      <c r="CJ297" s="495"/>
      <c r="CK297" s="494"/>
      <c r="CL297" s="494"/>
      <c r="CM297" s="494"/>
      <c r="CN297" s="494"/>
      <c r="CO297" s="495"/>
      <c r="CP297" s="494"/>
      <c r="CQ297" s="494"/>
      <c r="CR297" s="494"/>
      <c r="CS297" s="494"/>
      <c r="CT297" s="495"/>
      <c r="CU297" s="494"/>
      <c r="CV297" s="494"/>
      <c r="CW297" s="494"/>
      <c r="CX297" s="494"/>
      <c r="CY297" s="495"/>
      <c r="CZ297" s="494"/>
      <c r="DA297" s="494"/>
      <c r="DB297" s="494"/>
      <c r="DC297" s="494"/>
      <c r="DD297" s="495"/>
      <c r="DE297" s="494"/>
      <c r="DF297" s="494"/>
      <c r="DG297" s="494"/>
      <c r="DH297" s="494"/>
      <c r="DI297" s="495"/>
    </row>
    <row r="298" spans="1:113" ht="12" hidden="1" customHeight="1" outlineLevel="1">
      <c r="A298" s="5"/>
      <c r="B298" s="77" t="s">
        <v>70</v>
      </c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212"/>
      <c r="S298" s="212"/>
      <c r="T298" s="212"/>
      <c r="U298" s="212"/>
      <c r="V298" s="47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  <c r="BJ298" s="212"/>
      <c r="BK298" s="212"/>
      <c r="BL298" s="212"/>
      <c r="BM298" s="212"/>
      <c r="BN298" s="212"/>
      <c r="BO298" s="212"/>
      <c r="BP298" s="212"/>
      <c r="BQ298" s="212"/>
      <c r="BR298" s="212"/>
      <c r="BS298" s="212"/>
      <c r="BT298" s="212"/>
      <c r="BU298" s="212"/>
      <c r="BV298" s="212"/>
      <c r="BW298" s="212"/>
      <c r="BX298" s="212"/>
      <c r="BY298" s="212"/>
      <c r="BZ298" s="212"/>
      <c r="CA298" s="212"/>
      <c r="CB298" s="212"/>
      <c r="CC298" s="212"/>
      <c r="CD298" s="212"/>
      <c r="CE298" s="212"/>
      <c r="CF298" s="212"/>
      <c r="CG298" s="212"/>
      <c r="CH298" s="212"/>
      <c r="CI298" s="212"/>
      <c r="CJ298" s="212"/>
      <c r="CK298" s="212"/>
      <c r="CL298" s="212"/>
      <c r="CM298" s="212"/>
      <c r="CN298" s="212"/>
      <c r="CO298" s="212"/>
      <c r="CP298" s="212"/>
      <c r="CQ298" s="212"/>
      <c r="CR298" s="212"/>
      <c r="CS298" s="212"/>
      <c r="CT298" s="212"/>
      <c r="CU298" s="212"/>
      <c r="CV298" s="212"/>
      <c r="CW298" s="56"/>
      <c r="CX298" s="56"/>
      <c r="CY298" s="56"/>
      <c r="CZ298" s="212"/>
      <c r="DA298" s="212"/>
      <c r="DB298" s="212"/>
      <c r="DC298" s="56"/>
      <c r="DD298" s="56"/>
      <c r="DE298" s="56"/>
      <c r="DF298" s="212"/>
      <c r="DG298" s="212"/>
      <c r="DH298" s="212"/>
      <c r="DI298" s="216"/>
    </row>
    <row r="299" spans="1:113" s="7" customFormat="1" ht="12" hidden="1" customHeight="1" outlineLevel="1">
      <c r="A299" s="239"/>
      <c r="B299" s="450" t="s">
        <v>71</v>
      </c>
      <c r="C299" s="443" t="s">
        <v>1</v>
      </c>
      <c r="D299" s="267">
        <f>'2. Consolidated'!D86</f>
        <v>795.82200000000068</v>
      </c>
      <c r="E299" s="443">
        <f>'2. Consolidated'!E86</f>
        <v>529.59999999999889</v>
      </c>
      <c r="F299" s="267">
        <f>'2. Consolidated'!F86</f>
        <v>496.50000000000148</v>
      </c>
      <c r="G299" s="443">
        <f>'2. Consolidated'!G86</f>
        <v>576.60000000000048</v>
      </c>
      <c r="H299" s="267">
        <f>'2. Consolidated'!H86</f>
        <v>589.59999999999991</v>
      </c>
      <c r="I299" s="443">
        <f>'2. Consolidated'!I86</f>
        <v>668.30000000000007</v>
      </c>
      <c r="J299" s="267">
        <f>'2. Consolidated'!J86</f>
        <v>740.1</v>
      </c>
      <c r="K299" s="443">
        <f>'2. Consolidated'!K86</f>
        <v>945.60000000000025</v>
      </c>
      <c r="L299" s="267">
        <f>'2. Consolidated'!L86</f>
        <v>1211.599999999999</v>
      </c>
      <c r="M299" s="443">
        <f>'2. Consolidated'!M86</f>
        <v>1392</v>
      </c>
      <c r="N299" s="267">
        <f>'2. Consolidated'!N86</f>
        <v>1491.5000000000009</v>
      </c>
      <c r="O299" s="267">
        <f>'2. Consolidated'!O86</f>
        <v>1863.3000000000006</v>
      </c>
      <c r="P299" s="443">
        <f>'2. Consolidated'!P86</f>
        <v>1871.8947399999984</v>
      </c>
      <c r="Q299" s="267">
        <f>'2. Consolidated'!Q86</f>
        <v>1906.7000000000016</v>
      </c>
      <c r="R299" s="443"/>
      <c r="S299" s="443"/>
      <c r="T299" s="443"/>
      <c r="U299" s="443"/>
      <c r="V299" s="267">
        <f>'2. Consolidated'!V86</f>
        <v>2133</v>
      </c>
      <c r="W299" s="443"/>
      <c r="X299" s="443"/>
      <c r="Y299" s="443"/>
      <c r="Z299" s="443"/>
      <c r="AA299" s="267">
        <f>'2. Consolidated'!AA86</f>
        <v>2223</v>
      </c>
      <c r="AB299" s="267"/>
      <c r="AC299" s="443"/>
      <c r="AD299" s="443"/>
      <c r="AE299" s="443"/>
      <c r="AF299" s="443"/>
      <c r="AG299" s="267">
        <f>'2. Consolidated'!AG86</f>
        <v>2451</v>
      </c>
      <c r="AH299" s="443"/>
      <c r="AI299" s="443"/>
      <c r="AJ299" s="443"/>
      <c r="AK299" s="443"/>
      <c r="AL299" s="267">
        <f>'2. Consolidated'!AL86</f>
        <v>2693</v>
      </c>
      <c r="AM299" s="443"/>
      <c r="AN299" s="443"/>
      <c r="AO299" s="443"/>
      <c r="AP299" s="443"/>
      <c r="AQ299" s="267">
        <f>'2. Consolidated'!AQ86</f>
        <v>3273</v>
      </c>
      <c r="AR299" s="443"/>
      <c r="AS299" s="443"/>
      <c r="AT299" s="443"/>
      <c r="AU299" s="443"/>
      <c r="AV299" s="267">
        <f>'2. Consolidated'!AV86</f>
        <v>3760</v>
      </c>
      <c r="AW299" s="443"/>
      <c r="AX299" s="443"/>
      <c r="AY299" s="443"/>
      <c r="AZ299" s="443"/>
      <c r="BA299" s="267">
        <f>'2. Consolidated'!BA86</f>
        <v>4240</v>
      </c>
      <c r="BB299" s="443"/>
      <c r="BC299" s="443"/>
      <c r="BD299" s="443"/>
      <c r="BE299" s="443"/>
      <c r="BF299" s="267">
        <f>'2. Consolidated'!BF86</f>
        <v>3963</v>
      </c>
      <c r="BG299" s="443"/>
      <c r="BH299" s="443"/>
      <c r="BI299" s="443"/>
      <c r="BJ299" s="443"/>
      <c r="BK299" s="267">
        <f>'2. Consolidated'!BK86</f>
        <v>4029</v>
      </c>
      <c r="BL299" s="443"/>
      <c r="BM299" s="443"/>
      <c r="BN299" s="443"/>
      <c r="BO299" s="443"/>
      <c r="BP299" s="267">
        <f>'2. Consolidated'!BP86</f>
        <v>2939</v>
      </c>
      <c r="BQ299" s="443"/>
      <c r="BR299" s="443"/>
      <c r="BS299" s="443"/>
      <c r="BT299" s="443"/>
      <c r="BU299" s="267">
        <f>'2. Consolidated'!BU86</f>
        <v>5727</v>
      </c>
      <c r="BV299" s="443"/>
      <c r="BW299" s="443"/>
      <c r="BX299" s="443"/>
      <c r="BY299" s="443"/>
      <c r="BZ299" s="267">
        <f>'2. Consolidated'!BZ86</f>
        <v>6046</v>
      </c>
      <c r="CA299" s="443"/>
      <c r="CB299" s="443"/>
      <c r="CC299" s="443"/>
      <c r="CD299" s="443"/>
      <c r="CE299" s="267">
        <f>'2. Consolidated'!CE86</f>
        <v>5070</v>
      </c>
      <c r="CF299" s="443"/>
      <c r="CG299" s="443"/>
      <c r="CH299" s="443"/>
      <c r="CI299" s="443"/>
      <c r="CJ299" s="267">
        <f>'2. Consolidated'!CJ86</f>
        <v>6052</v>
      </c>
      <c r="CK299" s="443"/>
      <c r="CL299" s="443"/>
      <c r="CM299" s="443"/>
      <c r="CN299" s="443"/>
      <c r="CO299" s="267">
        <f>'2. Consolidated'!CO86</f>
        <v>3219</v>
      </c>
      <c r="CP299" s="443"/>
      <c r="CQ299" s="443"/>
      <c r="CR299" s="443"/>
      <c r="CS299" s="443"/>
      <c r="CT299" s="267">
        <f>'2. Consolidated'!CT86</f>
        <v>3108</v>
      </c>
      <c r="CU299" s="443"/>
      <c r="CV299" s="443"/>
      <c r="CW299" s="443"/>
      <c r="CX299" s="443"/>
      <c r="CY299" s="267">
        <f>'2. Consolidated'!CY86</f>
        <v>1857.2168555367962</v>
      </c>
      <c r="CZ299" s="443"/>
      <c r="DA299" s="443"/>
      <c r="DB299" s="443"/>
      <c r="DC299" s="443"/>
      <c r="DD299" s="267">
        <f>'2. Consolidated'!DD86</f>
        <v>1747.0120083713791</v>
      </c>
      <c r="DE299" s="443"/>
      <c r="DF299" s="443"/>
      <c r="DG299" s="443"/>
      <c r="DH299" s="443"/>
      <c r="DI299" s="267">
        <f>'2. Consolidated'!DI86</f>
        <v>1946.9116581290868</v>
      </c>
    </row>
    <row r="300" spans="1:113" s="7" customFormat="1" ht="12" hidden="1" customHeight="1" outlineLevel="1">
      <c r="A300" s="239"/>
      <c r="B300" s="450" t="s">
        <v>72</v>
      </c>
      <c r="C300" s="443" t="s">
        <v>1</v>
      </c>
      <c r="D300" s="267">
        <f>-'2. Consolidated'!D81*(1-'2. Consolidated'!D84)</f>
        <v>51.992984708412934</v>
      </c>
      <c r="E300" s="443">
        <f>-'2. Consolidated'!E81*(1-'2. Consolidated'!E84)</f>
        <v>54.650932311621936</v>
      </c>
      <c r="F300" s="267">
        <f>-'2. Consolidated'!F81*(1-'2. Consolidated'!F84)</f>
        <v>41.16582406471187</v>
      </c>
      <c r="G300" s="443">
        <f>-'2. Consolidated'!G81*(1-'2. Consolidated'!G84)</f>
        <v>42.897480091633042</v>
      </c>
      <c r="H300" s="267">
        <f>-'2. Consolidated'!H81*(1-'2. Consolidated'!H84)</f>
        <v>59.45277325518289</v>
      </c>
      <c r="I300" s="443">
        <f>-'2. Consolidated'!I81*(1-'2. Consolidated'!I84)</f>
        <v>33.240912218617908</v>
      </c>
      <c r="J300" s="267">
        <f>-'2. Consolidated'!J81*(1-'2. Consolidated'!J84)</f>
        <v>72.230596616206583</v>
      </c>
      <c r="K300" s="443">
        <f>-'2. Consolidated'!K81*(1-'2. Consolidated'!K84)</f>
        <v>65.018151724137923</v>
      </c>
      <c r="L300" s="267">
        <f>-'2. Consolidated'!L81*(1-'2. Consolidated'!L84)</f>
        <v>22.084761802344332</v>
      </c>
      <c r="M300" s="443">
        <f>-'2. Consolidated'!M81*(1-'2. Consolidated'!M84)</f>
        <v>-21.059394844975717</v>
      </c>
      <c r="N300" s="267">
        <f>-'2. Consolidated'!N81*(1-'2. Consolidated'!N84)</f>
        <v>-46.170803218328125</v>
      </c>
      <c r="O300" s="267">
        <f>-'2. Consolidated'!O81*(1-'2. Consolidated'!O84)</f>
        <v>-30.277965964671179</v>
      </c>
      <c r="P300" s="443">
        <f>-'2. Consolidated'!P81*(1-'2. Consolidated'!P84)</f>
        <v>-6.9660764768097758</v>
      </c>
      <c r="Q300" s="267">
        <f>-'2. Consolidated'!Q81*(1-'2. Consolidated'!Q84)</f>
        <v>4.7726210814891346</v>
      </c>
      <c r="R300" s="443"/>
      <c r="S300" s="443"/>
      <c r="T300" s="443"/>
      <c r="U300" s="443"/>
      <c r="V300" s="267">
        <f>-'2. Consolidated'!V81*(1-'2. Consolidated'!V84)</f>
        <v>3</v>
      </c>
      <c r="W300" s="443"/>
      <c r="X300" s="443"/>
      <c r="Y300" s="443"/>
      <c r="Z300" s="443"/>
      <c r="AA300" s="267">
        <f>-'2. Consolidated'!AA81*(1-'2. Consolidated'!AA84)</f>
        <v>2.2356687898089174</v>
      </c>
      <c r="AB300" s="267"/>
      <c r="AC300" s="443"/>
      <c r="AD300" s="443"/>
      <c r="AE300" s="443"/>
      <c r="AF300" s="443"/>
      <c r="AG300" s="267">
        <f>-'2. Consolidated'!AG81*(1-'2. Consolidated'!AG84)</f>
        <v>-2.2582923832923831</v>
      </c>
      <c r="AH300" s="443"/>
      <c r="AI300" s="443"/>
      <c r="AJ300" s="443"/>
      <c r="AK300" s="443"/>
      <c r="AL300" s="267">
        <f>-'2. Consolidated'!AL81*(1-'2. Consolidated'!AL84)</f>
        <v>25.075902934537243</v>
      </c>
      <c r="AM300" s="443"/>
      <c r="AN300" s="443"/>
      <c r="AO300" s="443"/>
      <c r="AP300" s="443"/>
      <c r="AQ300" s="267">
        <f>-'2. Consolidated'!AQ81*(1-'2. Consolidated'!AQ84)</f>
        <v>21.794054696789537</v>
      </c>
      <c r="AR300" s="443"/>
      <c r="AS300" s="443"/>
      <c r="AT300" s="443"/>
      <c r="AU300" s="443"/>
      <c r="AV300" s="267">
        <f>-'2. Consolidated'!AV81*(1-'2. Consolidated'!AV84)</f>
        <v>15.453168937919099</v>
      </c>
      <c r="AW300" s="443"/>
      <c r="AX300" s="443"/>
      <c r="AY300" s="443"/>
      <c r="AZ300" s="443"/>
      <c r="BA300" s="267">
        <f>-'2. Consolidated'!BA81*(1-'2. Consolidated'!BA84)</f>
        <v>51.199345067539909</v>
      </c>
      <c r="BB300" s="443"/>
      <c r="BC300" s="443"/>
      <c r="BD300" s="443"/>
      <c r="BE300" s="443"/>
      <c r="BF300" s="267">
        <f>-'2. Consolidated'!BF81*(1-'2. Consolidated'!BF84)</f>
        <v>49.480231213872834</v>
      </c>
      <c r="BG300" s="443"/>
      <c r="BH300" s="443"/>
      <c r="BI300" s="443"/>
      <c r="BJ300" s="443"/>
      <c r="BK300" s="267">
        <f>-'2. Consolidated'!BK81*(1-'2. Consolidated'!BK84)</f>
        <v>41.120808164965638</v>
      </c>
      <c r="BL300" s="443"/>
      <c r="BM300" s="443"/>
      <c r="BN300" s="443"/>
      <c r="BO300" s="443"/>
      <c r="BP300" s="267">
        <f>-'2. Consolidated'!BP81*(1-'2. Consolidated'!BP84)</f>
        <v>79.577426224520835</v>
      </c>
      <c r="BQ300" s="443"/>
      <c r="BR300" s="443"/>
      <c r="BS300" s="443"/>
      <c r="BT300" s="443"/>
      <c r="BU300" s="267">
        <f>-'2. Consolidated'!BU81*(1-'2. Consolidated'!BU84)</f>
        <v>225.26257318720911</v>
      </c>
      <c r="BV300" s="443"/>
      <c r="BW300" s="443"/>
      <c r="BX300" s="443"/>
      <c r="BY300" s="443"/>
      <c r="BZ300" s="267">
        <f>-'2. Consolidated'!BZ81*(1-'2. Consolidated'!BZ84)</f>
        <v>186.35242820628477</v>
      </c>
      <c r="CA300" s="443"/>
      <c r="CB300" s="443"/>
      <c r="CC300" s="443"/>
      <c r="CD300" s="443"/>
      <c r="CE300" s="267">
        <f>-'2. Consolidated'!CE81*(1-'2. Consolidated'!CE84)</f>
        <v>-4.9056603773584904</v>
      </c>
      <c r="CF300" s="443"/>
      <c r="CG300" s="443"/>
      <c r="CH300" s="443"/>
      <c r="CI300" s="443"/>
      <c r="CJ300" s="267">
        <f>-'2. Consolidated'!CJ81*(1-'2. Consolidated'!CJ84)</f>
        <v>-136.40935181296376</v>
      </c>
      <c r="CK300" s="443"/>
      <c r="CL300" s="443"/>
      <c r="CM300" s="443"/>
      <c r="CN300" s="443"/>
      <c r="CO300" s="267">
        <f>-'2. Consolidated'!CO81*(1-'2. Consolidated'!CO84)</f>
        <v>-88.657142857142844</v>
      </c>
      <c r="CP300" s="443"/>
      <c r="CQ300" s="443"/>
      <c r="CR300" s="443"/>
      <c r="CS300" s="443"/>
      <c r="CT300" s="267">
        <f>-'2. Consolidated'!CT81*(1-'2. Consolidated'!CT84)</f>
        <v>-39.846153846153847</v>
      </c>
      <c r="CU300" s="443"/>
      <c r="CV300" s="443"/>
      <c r="CW300" s="443"/>
      <c r="CX300" s="443"/>
      <c r="CY300" s="267">
        <f>-'2. Consolidated'!CY81*(1-'2. Consolidated'!CY84)</f>
        <v>-32.661748170825994</v>
      </c>
      <c r="CZ300" s="443"/>
      <c r="DA300" s="443"/>
      <c r="DB300" s="443"/>
      <c r="DC300" s="443"/>
      <c r="DD300" s="267">
        <f>-'2. Consolidated'!DD81*(1-'2. Consolidated'!DD84)</f>
        <v>-29.993400000000001</v>
      </c>
      <c r="DE300" s="443"/>
      <c r="DF300" s="443"/>
      <c r="DG300" s="443"/>
      <c r="DH300" s="443"/>
      <c r="DI300" s="267">
        <f>-'2. Consolidated'!DI81*(1-'2. Consolidated'!DI84)</f>
        <v>-30.388050000000003</v>
      </c>
    </row>
    <row r="301" spans="1:113" s="7" customFormat="1" ht="12" hidden="1" customHeight="1" outlineLevel="1">
      <c r="A301" s="239"/>
      <c r="B301" s="450" t="s">
        <v>148</v>
      </c>
      <c r="C301" s="443" t="s">
        <v>1</v>
      </c>
      <c r="D301" s="267"/>
      <c r="E301" s="443"/>
      <c r="F301" s="267"/>
      <c r="G301" s="443"/>
      <c r="H301" s="267"/>
      <c r="I301" s="443"/>
      <c r="J301" s="267"/>
      <c r="K301" s="443">
        <f>-'2. Consolidated'!K100*(1-'2. Consolidated'!K84)</f>
        <v>134.99255172413794</v>
      </c>
      <c r="L301" s="267">
        <f>-'2. Consolidated'!L100*(1-'2. Consolidated'!L84)</f>
        <v>151.79202064738141</v>
      </c>
      <c r="M301" s="443">
        <f>-'2. Consolidated'!M100*(1-'2. Consolidated'!M84)</f>
        <v>163.79529323870003</v>
      </c>
      <c r="N301" s="267">
        <f>-'2. Consolidated'!N100*(1-'2. Consolidated'!N84)</f>
        <v>193.22582844674761</v>
      </c>
      <c r="O301" s="267">
        <f>-'2. Consolidated'!O100*(1-'2. Consolidated'!O84)</f>
        <v>259.09503213549459</v>
      </c>
      <c r="P301" s="443">
        <f>-'2. Consolidated'!P100*(1-'2. Consolidated'!P84)</f>
        <v>291.10866960984015</v>
      </c>
      <c r="Q301" s="267">
        <f>-'2. Consolidated'!Q100*(1-'2. Consolidated'!Q84)</f>
        <v>315.14450315864758</v>
      </c>
      <c r="R301" s="443"/>
      <c r="S301" s="443"/>
      <c r="T301" s="443"/>
      <c r="U301" s="443"/>
      <c r="V301" s="267">
        <f>-'2. Consolidated'!V100*(1-'2. Consolidated'!V84)</f>
        <v>334.5</v>
      </c>
      <c r="W301" s="443"/>
      <c r="X301" s="443"/>
      <c r="Y301" s="443"/>
      <c r="Z301" s="443"/>
      <c r="AA301" s="267">
        <f>-'2. Consolidated'!AA100*(1-'2. Consolidated'!AA84)</f>
        <v>321.19108280254778</v>
      </c>
      <c r="AB301" s="267"/>
      <c r="AC301" s="443"/>
      <c r="AD301" s="443"/>
      <c r="AE301" s="443"/>
      <c r="AF301" s="443"/>
      <c r="AG301" s="267">
        <f>-'2. Consolidated'!AG100*(1-'2. Consolidated'!AG84)</f>
        <v>362.83230958230956</v>
      </c>
      <c r="AH301" s="443"/>
      <c r="AI301" s="443"/>
      <c r="AJ301" s="443"/>
      <c r="AK301" s="443"/>
      <c r="AL301" s="267">
        <f>-'2. Consolidated'!AL100*(1-'2. Consolidated'!AL84)</f>
        <v>405.01382618510155</v>
      </c>
      <c r="AM301" s="443"/>
      <c r="AN301" s="443"/>
      <c r="AO301" s="443"/>
      <c r="AP301" s="443"/>
      <c r="AQ301" s="267">
        <f>-'2. Consolidated'!AQ100*(1-'2. Consolidated'!AQ84)</f>
        <v>462.34530321046373</v>
      </c>
      <c r="AR301" s="443"/>
      <c r="AS301" s="443"/>
      <c r="AT301" s="443"/>
      <c r="AU301" s="443"/>
      <c r="AV301" s="267">
        <f>-'2. Consolidated'!AV100*(1-'2. Consolidated'!AV84)</f>
        <v>537.60761410339603</v>
      </c>
      <c r="AW301" s="443"/>
      <c r="AX301" s="443"/>
      <c r="AY301" s="443"/>
      <c r="AZ301" s="443"/>
      <c r="BA301" s="267">
        <f>-'2. Consolidated'!BA100*(1-'2. Consolidated'!BA84)</f>
        <v>634.35120753172328</v>
      </c>
      <c r="BB301" s="443"/>
      <c r="BC301" s="443"/>
      <c r="BD301" s="443"/>
      <c r="BE301" s="443"/>
      <c r="BF301" s="267">
        <f>-'2. Consolidated'!BF100*(1-'2. Consolidated'!BF84)</f>
        <v>751.36647398843934</v>
      </c>
      <c r="BG301" s="443"/>
      <c r="BH301" s="443"/>
      <c r="BI301" s="443"/>
      <c r="BJ301" s="443"/>
      <c r="BK301" s="267">
        <f>-'2. Consolidated'!BK100*(1-'2. Consolidated'!BK84)</f>
        <v>695.69693813788797</v>
      </c>
      <c r="BL301" s="443"/>
      <c r="BM301" s="443"/>
      <c r="BN301" s="443"/>
      <c r="BO301" s="443"/>
      <c r="BP301" s="267">
        <f>-'2. Consolidated'!BP100*(1-'2. Consolidated'!BP84)</f>
        <v>810.08031639793126</v>
      </c>
      <c r="BQ301" s="443"/>
      <c r="BR301" s="443"/>
      <c r="BS301" s="443"/>
      <c r="BT301" s="443"/>
      <c r="BU301" s="267">
        <f>-'2. Consolidated'!BU100*(1-'2. Consolidated'!BU84)</f>
        <v>804.75484161537304</v>
      </c>
      <c r="BV301" s="443"/>
      <c r="BW301" s="443"/>
      <c r="BX301" s="443"/>
      <c r="BY301" s="443"/>
      <c r="BZ301" s="267">
        <f>-'2. Consolidated'!BZ100*(1-'2. Consolidated'!BZ84)</f>
        <v>871.76574951135171</v>
      </c>
      <c r="CA301" s="443"/>
      <c r="CB301" s="443"/>
      <c r="CC301" s="443"/>
      <c r="CD301" s="443"/>
      <c r="CE301" s="267">
        <f>-'2. Consolidated'!CE100*(1-'2. Consolidated'!CE84)</f>
        <v>807.79874213836479</v>
      </c>
      <c r="CF301" s="443"/>
      <c r="CG301" s="443"/>
      <c r="CH301" s="443"/>
      <c r="CI301" s="443"/>
      <c r="CJ301" s="267">
        <f>-'2. Consolidated'!CJ100*(1-'2. Consolidated'!CJ84)</f>
        <v>890.47347053058945</v>
      </c>
      <c r="CK301" s="443"/>
      <c r="CL301" s="443"/>
      <c r="CM301" s="443"/>
      <c r="CN301" s="443"/>
      <c r="CO301" s="267">
        <f>-'2. Consolidated'!CO100*(1-'2. Consolidated'!CO84)</f>
        <v>907.28571428571422</v>
      </c>
      <c r="CP301" s="443"/>
      <c r="CQ301" s="443"/>
      <c r="CR301" s="443"/>
      <c r="CS301" s="443"/>
      <c r="CT301" s="267">
        <f>-'2. Consolidated'!CT100*(1-'2. Consolidated'!CT84)</f>
        <v>913.27384615384619</v>
      </c>
      <c r="CU301" s="443"/>
      <c r="CV301" s="443"/>
      <c r="CW301" s="443"/>
      <c r="CX301" s="443"/>
      <c r="CY301" s="267">
        <f>-'2. Consolidated'!CY100*(1-'2. Consolidated'!CY84)</f>
        <v>944.37110568865512</v>
      </c>
      <c r="CZ301" s="443"/>
      <c r="DA301" s="443"/>
      <c r="DB301" s="443"/>
      <c r="DC301" s="443"/>
      <c r="DD301" s="267">
        <f>-'2. Consolidated'!DD100*(1-'2. Consolidated'!DD84)</f>
        <v>1053.8616000000002</v>
      </c>
      <c r="DE301" s="443"/>
      <c r="DF301" s="443"/>
      <c r="DG301" s="443"/>
      <c r="DH301" s="443"/>
      <c r="DI301" s="267">
        <f>-'2. Consolidated'!DI100*(1-'2. Consolidated'!DI84)</f>
        <v>1174.5010200000004</v>
      </c>
    </row>
    <row r="302" spans="1:113" ht="12" hidden="1" customHeight="1" outlineLevel="1">
      <c r="A302" s="219"/>
      <c r="B302" s="449"/>
      <c r="C302" s="414" t="s">
        <v>4</v>
      </c>
      <c r="D302" s="481" t="s">
        <v>4</v>
      </c>
      <c r="E302" s="414" t="s">
        <v>4</v>
      </c>
      <c r="F302" s="481" t="s">
        <v>4</v>
      </c>
      <c r="G302" s="414" t="s">
        <v>4</v>
      </c>
      <c r="H302" s="481" t="s">
        <v>4</v>
      </c>
      <c r="I302" s="414" t="s">
        <v>4</v>
      </c>
      <c r="J302" s="481" t="s">
        <v>4</v>
      </c>
      <c r="K302" s="414" t="s">
        <v>4</v>
      </c>
      <c r="L302" s="481" t="s">
        <v>4</v>
      </c>
      <c r="M302" s="414" t="s">
        <v>4</v>
      </c>
      <c r="N302" s="481" t="s">
        <v>4</v>
      </c>
      <c r="O302" s="481" t="s">
        <v>4</v>
      </c>
      <c r="P302" s="414" t="s">
        <v>4</v>
      </c>
      <c r="Q302" s="481" t="s">
        <v>4</v>
      </c>
      <c r="R302" s="414"/>
      <c r="S302" s="414"/>
      <c r="T302" s="414"/>
      <c r="U302" s="414"/>
      <c r="V302" s="481" t="s">
        <v>4</v>
      </c>
      <c r="W302" s="414"/>
      <c r="X302" s="414"/>
      <c r="Y302" s="414"/>
      <c r="Z302" s="414"/>
      <c r="AA302" s="481" t="s">
        <v>4</v>
      </c>
      <c r="AB302" s="481"/>
      <c r="AC302" s="414"/>
      <c r="AD302" s="414"/>
      <c r="AE302" s="414"/>
      <c r="AF302" s="414"/>
      <c r="AG302" s="481" t="s">
        <v>4</v>
      </c>
      <c r="AH302" s="414"/>
      <c r="AI302" s="414"/>
      <c r="AJ302" s="414"/>
      <c r="AK302" s="414"/>
      <c r="AL302" s="481" t="s">
        <v>4</v>
      </c>
      <c r="AM302" s="414"/>
      <c r="AN302" s="414"/>
      <c r="AO302" s="414"/>
      <c r="AP302" s="414"/>
      <c r="AQ302" s="481" t="s">
        <v>4</v>
      </c>
      <c r="AR302" s="414"/>
      <c r="AS302" s="414"/>
      <c r="AT302" s="414"/>
      <c r="AU302" s="414"/>
      <c r="AV302" s="481" t="s">
        <v>4</v>
      </c>
      <c r="AW302" s="414"/>
      <c r="AX302" s="414"/>
      <c r="AY302" s="414"/>
      <c r="AZ302" s="414"/>
      <c r="BA302" s="481" t="s">
        <v>4</v>
      </c>
      <c r="BB302" s="414"/>
      <c r="BC302" s="414"/>
      <c r="BD302" s="414"/>
      <c r="BE302" s="414"/>
      <c r="BF302" s="481" t="s">
        <v>4</v>
      </c>
      <c r="BG302" s="414"/>
      <c r="BH302" s="414"/>
      <c r="BI302" s="414"/>
      <c r="BJ302" s="414"/>
      <c r="BK302" s="481" t="s">
        <v>4</v>
      </c>
      <c r="BL302" s="414"/>
      <c r="BM302" s="414"/>
      <c r="BN302" s="414"/>
      <c r="BO302" s="414"/>
      <c r="BP302" s="481" t="s">
        <v>4</v>
      </c>
      <c r="BQ302" s="414"/>
      <c r="BR302" s="414"/>
      <c r="BS302" s="414"/>
      <c r="BT302" s="414"/>
      <c r="BU302" s="481" t="s">
        <v>4</v>
      </c>
      <c r="BV302" s="414"/>
      <c r="BW302" s="414"/>
      <c r="BX302" s="414"/>
      <c r="BY302" s="414"/>
      <c r="BZ302" s="481" t="s">
        <v>4</v>
      </c>
      <c r="CA302" s="414"/>
      <c r="CB302" s="414"/>
      <c r="CC302" s="414"/>
      <c r="CD302" s="414"/>
      <c r="CE302" s="481" t="s">
        <v>4</v>
      </c>
      <c r="CF302" s="414"/>
      <c r="CG302" s="414"/>
      <c r="CH302" s="414"/>
      <c r="CI302" s="414"/>
      <c r="CJ302" s="481" t="s">
        <v>4</v>
      </c>
      <c r="CK302" s="414"/>
      <c r="CL302" s="414"/>
      <c r="CM302" s="414"/>
      <c r="CN302" s="414"/>
      <c r="CO302" s="481" t="s">
        <v>4</v>
      </c>
      <c r="CP302" s="414"/>
      <c r="CQ302" s="414"/>
      <c r="CR302" s="414"/>
      <c r="CS302" s="414"/>
      <c r="CT302" s="481" t="s">
        <v>4</v>
      </c>
      <c r="CU302" s="414"/>
      <c r="CV302" s="414"/>
      <c r="CW302" s="414"/>
      <c r="CX302" s="414"/>
      <c r="CY302" s="481" t="s">
        <v>4</v>
      </c>
      <c r="CZ302" s="414"/>
      <c r="DA302" s="414"/>
      <c r="DB302" s="414"/>
      <c r="DC302" s="414"/>
      <c r="DD302" s="481" t="s">
        <v>4</v>
      </c>
      <c r="DE302" s="414"/>
      <c r="DF302" s="414"/>
      <c r="DG302" s="414"/>
      <c r="DH302" s="414"/>
      <c r="DI302" s="481" t="s">
        <v>4</v>
      </c>
    </row>
    <row r="303" spans="1:113" s="7" customFormat="1" ht="12" hidden="1" customHeight="1" outlineLevel="1">
      <c r="A303" s="239"/>
      <c r="B303" s="450" t="s">
        <v>149</v>
      </c>
      <c r="C303" s="443" t="s">
        <v>1</v>
      </c>
      <c r="D303" s="267">
        <f t="shared" ref="D303:Q303" si="732">SUM(D299:D301)</f>
        <v>847.81498470841359</v>
      </c>
      <c r="E303" s="443">
        <f t="shared" si="732"/>
        <v>584.25093231162077</v>
      </c>
      <c r="F303" s="267">
        <f t="shared" si="732"/>
        <v>537.66582406471332</v>
      </c>
      <c r="G303" s="443">
        <f t="shared" si="732"/>
        <v>619.49748009163352</v>
      </c>
      <c r="H303" s="267">
        <f t="shared" si="732"/>
        <v>649.05277325518284</v>
      </c>
      <c r="I303" s="443">
        <f t="shared" si="732"/>
        <v>701.54091221861802</v>
      </c>
      <c r="J303" s="267">
        <f t="shared" si="732"/>
        <v>812.33059661620655</v>
      </c>
      <c r="K303" s="443">
        <f t="shared" si="732"/>
        <v>1145.6107034482761</v>
      </c>
      <c r="L303" s="267">
        <f t="shared" si="732"/>
        <v>1385.4767824497246</v>
      </c>
      <c r="M303" s="443">
        <f t="shared" si="732"/>
        <v>1534.7358983937243</v>
      </c>
      <c r="N303" s="267">
        <f t="shared" si="732"/>
        <v>1638.5550252284204</v>
      </c>
      <c r="O303" s="267">
        <f t="shared" si="732"/>
        <v>2092.1170661708238</v>
      </c>
      <c r="P303" s="443">
        <f t="shared" si="732"/>
        <v>2156.0373331330288</v>
      </c>
      <c r="Q303" s="267">
        <f t="shared" si="732"/>
        <v>2226.6171242401383</v>
      </c>
      <c r="R303" s="443"/>
      <c r="S303" s="443"/>
      <c r="T303" s="443"/>
      <c r="U303" s="443"/>
      <c r="V303" s="267">
        <f>SUM(V299:V301)</f>
        <v>2470.5</v>
      </c>
      <c r="W303" s="443"/>
      <c r="X303" s="443"/>
      <c r="Y303" s="443"/>
      <c r="Z303" s="443"/>
      <c r="AA303" s="267">
        <f>SUM(AA299:AA301)</f>
        <v>2546.426751592357</v>
      </c>
      <c r="AB303" s="267"/>
      <c r="AC303" s="443"/>
      <c r="AD303" s="443"/>
      <c r="AE303" s="443"/>
      <c r="AF303" s="443"/>
      <c r="AG303" s="267">
        <f>SUM(AG299:AG301)</f>
        <v>2811.5740171990174</v>
      </c>
      <c r="AH303" s="443"/>
      <c r="AI303" s="443"/>
      <c r="AJ303" s="443"/>
      <c r="AK303" s="443"/>
      <c r="AL303" s="267">
        <f>SUM(AL299:AL301)</f>
        <v>3123.0897291196388</v>
      </c>
      <c r="AM303" s="443"/>
      <c r="AN303" s="443"/>
      <c r="AO303" s="443"/>
      <c r="AP303" s="443"/>
      <c r="AQ303" s="267">
        <f>SUM(AQ299:AQ301)</f>
        <v>3757.1393579072528</v>
      </c>
      <c r="AR303" s="443"/>
      <c r="AS303" s="443"/>
      <c r="AT303" s="443"/>
      <c r="AU303" s="443"/>
      <c r="AV303" s="267">
        <f>SUM(AV299:AV301)</f>
        <v>4313.0607830413155</v>
      </c>
      <c r="AW303" s="443"/>
      <c r="AX303" s="443"/>
      <c r="AY303" s="443"/>
      <c r="AZ303" s="443"/>
      <c r="BA303" s="267">
        <f>SUM(BA299:BA301)</f>
        <v>4925.550552599263</v>
      </c>
      <c r="BB303" s="443"/>
      <c r="BC303" s="443"/>
      <c r="BD303" s="443"/>
      <c r="BE303" s="443"/>
      <c r="BF303" s="267">
        <f>SUM(BF299:BF301)</f>
        <v>4763.8467052023116</v>
      </c>
      <c r="BG303" s="443"/>
      <c r="BH303" s="443"/>
      <c r="BI303" s="443"/>
      <c r="BJ303" s="443"/>
      <c r="BK303" s="267">
        <f>SUM(BK299:BK301)</f>
        <v>4765.8177463028533</v>
      </c>
      <c r="BL303" s="443"/>
      <c r="BM303" s="443"/>
      <c r="BN303" s="443"/>
      <c r="BO303" s="443"/>
      <c r="BP303" s="267">
        <f>SUM(BP299:BP301)</f>
        <v>3828.6577426224521</v>
      </c>
      <c r="BQ303" s="443"/>
      <c r="BR303" s="443"/>
      <c r="BS303" s="443"/>
      <c r="BT303" s="443"/>
      <c r="BU303" s="267">
        <f>SUM(BU299:BU301)</f>
        <v>6757.0174148025826</v>
      </c>
      <c r="BV303" s="443"/>
      <c r="BW303" s="443"/>
      <c r="BX303" s="443"/>
      <c r="BY303" s="443"/>
      <c r="BZ303" s="267">
        <f>SUM(BZ299:BZ301)</f>
        <v>7104.1181777176362</v>
      </c>
      <c r="CA303" s="443"/>
      <c r="CB303" s="443"/>
      <c r="CC303" s="443"/>
      <c r="CD303" s="443"/>
      <c r="CE303" s="267">
        <f>SUM(CE299:CE301)</f>
        <v>5872.8930817610062</v>
      </c>
      <c r="CF303" s="443"/>
      <c r="CG303" s="443"/>
      <c r="CH303" s="443"/>
      <c r="CI303" s="443"/>
      <c r="CJ303" s="267">
        <f>SUM(CJ299:CJ301)</f>
        <v>6806.0641187176252</v>
      </c>
      <c r="CK303" s="443"/>
      <c r="CL303" s="443"/>
      <c r="CM303" s="443"/>
      <c r="CN303" s="443"/>
      <c r="CO303" s="267">
        <f>SUM(CO299:CO301)</f>
        <v>4037.6285714285714</v>
      </c>
      <c r="CP303" s="443"/>
      <c r="CQ303" s="443"/>
      <c r="CR303" s="443"/>
      <c r="CS303" s="443"/>
      <c r="CT303" s="267">
        <f>SUM(CT299:CT301)</f>
        <v>3981.4276923076923</v>
      </c>
      <c r="CU303" s="443"/>
      <c r="CV303" s="443"/>
      <c r="CW303" s="443"/>
      <c r="CX303" s="443"/>
      <c r="CY303" s="267">
        <f>SUM(CY299:CY301)</f>
        <v>2768.9262130546254</v>
      </c>
      <c r="CZ303" s="443"/>
      <c r="DA303" s="443"/>
      <c r="DB303" s="443"/>
      <c r="DC303" s="443"/>
      <c r="DD303" s="267">
        <f>SUM(DD299:DD301)</f>
        <v>2770.880208371379</v>
      </c>
      <c r="DE303" s="443"/>
      <c r="DF303" s="443"/>
      <c r="DG303" s="443"/>
      <c r="DH303" s="443"/>
      <c r="DI303" s="267">
        <f>SUM(DI299:DI301)</f>
        <v>3091.0246281290874</v>
      </c>
    </row>
    <row r="304" spans="1:113" s="7" customFormat="1" ht="12" hidden="1" customHeight="1" outlineLevel="1">
      <c r="A304" s="239"/>
      <c r="B304" s="450"/>
      <c r="C304" s="443"/>
      <c r="D304" s="267"/>
      <c r="E304" s="443"/>
      <c r="F304" s="267"/>
      <c r="G304" s="443"/>
      <c r="H304" s="267"/>
      <c r="I304" s="443"/>
      <c r="J304" s="267"/>
      <c r="K304" s="443"/>
      <c r="L304" s="267"/>
      <c r="M304" s="443"/>
      <c r="N304" s="267"/>
      <c r="O304" s="267"/>
      <c r="P304" s="443"/>
      <c r="Q304" s="267"/>
      <c r="R304" s="443"/>
      <c r="S304" s="443"/>
      <c r="T304" s="443"/>
      <c r="U304" s="443"/>
      <c r="V304" s="267"/>
      <c r="W304" s="443"/>
      <c r="X304" s="443"/>
      <c r="Y304" s="443"/>
      <c r="Z304" s="443"/>
      <c r="AA304" s="267"/>
      <c r="AB304" s="267"/>
      <c r="AC304" s="443"/>
      <c r="AD304" s="443"/>
      <c r="AE304" s="443"/>
      <c r="AF304" s="443"/>
      <c r="AG304" s="267"/>
      <c r="AH304" s="443"/>
      <c r="AI304" s="443"/>
      <c r="AJ304" s="443"/>
      <c r="AK304" s="443"/>
      <c r="AL304" s="267"/>
      <c r="AM304" s="443"/>
      <c r="AN304" s="443"/>
      <c r="AO304" s="443"/>
      <c r="AP304" s="443"/>
      <c r="AQ304" s="267"/>
      <c r="AR304" s="443"/>
      <c r="AS304" s="443"/>
      <c r="AT304" s="443"/>
      <c r="AU304" s="443"/>
      <c r="AV304" s="267"/>
      <c r="AW304" s="443"/>
      <c r="AX304" s="443"/>
      <c r="AY304" s="443"/>
      <c r="AZ304" s="443"/>
      <c r="BA304" s="267"/>
      <c r="BB304" s="443"/>
      <c r="BC304" s="443"/>
      <c r="BD304" s="443"/>
      <c r="BE304" s="443"/>
      <c r="BF304" s="267"/>
      <c r="BG304" s="443"/>
      <c r="BH304" s="443"/>
      <c r="BI304" s="443"/>
      <c r="BJ304" s="443"/>
      <c r="BK304" s="267"/>
      <c r="BL304" s="443"/>
      <c r="BM304" s="443"/>
      <c r="BN304" s="443"/>
      <c r="BO304" s="443"/>
      <c r="BP304" s="267"/>
      <c r="BQ304" s="443"/>
      <c r="BR304" s="443"/>
      <c r="BS304" s="443"/>
      <c r="BT304" s="443"/>
      <c r="BU304" s="267"/>
      <c r="BV304" s="443"/>
      <c r="BW304" s="443"/>
      <c r="BX304" s="443"/>
      <c r="BY304" s="443"/>
      <c r="BZ304" s="267"/>
      <c r="CA304" s="443"/>
      <c r="CB304" s="443"/>
      <c r="CC304" s="443"/>
      <c r="CD304" s="443"/>
      <c r="CE304" s="267"/>
      <c r="CF304" s="443"/>
      <c r="CG304" s="443"/>
      <c r="CH304" s="443"/>
      <c r="CI304" s="443"/>
      <c r="CJ304" s="267"/>
      <c r="CK304" s="443"/>
      <c r="CL304" s="443"/>
      <c r="CM304" s="443"/>
      <c r="CN304" s="443"/>
      <c r="CO304" s="267"/>
      <c r="CP304" s="443"/>
      <c r="CQ304" s="443"/>
      <c r="CR304" s="443"/>
      <c r="CS304" s="443"/>
      <c r="CT304" s="267"/>
      <c r="CU304" s="443"/>
      <c r="CV304" s="443"/>
      <c r="CW304" s="443"/>
      <c r="CX304" s="443"/>
      <c r="CY304" s="267"/>
      <c r="CZ304" s="443"/>
      <c r="DA304" s="443"/>
      <c r="DB304" s="443"/>
      <c r="DC304" s="443"/>
      <c r="DD304" s="267"/>
      <c r="DE304" s="443"/>
      <c r="DF304" s="443"/>
      <c r="DG304" s="443"/>
      <c r="DH304" s="443"/>
      <c r="DI304" s="267"/>
    </row>
    <row r="305" spans="1:113" s="7" customFormat="1" ht="12" hidden="1" customHeight="1" outlineLevel="1">
      <c r="A305" s="239"/>
      <c r="B305" s="450" t="s">
        <v>316</v>
      </c>
      <c r="C305" s="443" t="s">
        <v>1</v>
      </c>
      <c r="D305" s="267">
        <f t="shared" ref="D305:Q305" si="733">(D192-SUM(D185:D186))-(D211-D207)+D196+D199+D200</f>
        <v>3604.2380000000003</v>
      </c>
      <c r="E305" s="443">
        <f t="shared" si="733"/>
        <v>4066.8</v>
      </c>
      <c r="F305" s="267">
        <f t="shared" si="733"/>
        <v>4022.8</v>
      </c>
      <c r="G305" s="443">
        <f t="shared" si="733"/>
        <v>4436.8999999999996</v>
      </c>
      <c r="H305" s="267">
        <f t="shared" si="733"/>
        <v>4589.6000000000004</v>
      </c>
      <c r="I305" s="443">
        <f t="shared" si="733"/>
        <v>4511.8</v>
      </c>
      <c r="J305" s="267">
        <f t="shared" si="733"/>
        <v>4403.8999999999996</v>
      </c>
      <c r="K305" s="443">
        <f t="shared" si="733"/>
        <v>4806.4000000000005</v>
      </c>
      <c r="L305" s="267">
        <f t="shared" si="733"/>
        <v>5045.7</v>
      </c>
      <c r="M305" s="443">
        <f t="shared" si="733"/>
        <v>5242</v>
      </c>
      <c r="N305" s="267">
        <f t="shared" si="733"/>
        <v>5388.6</v>
      </c>
      <c r="O305" s="267">
        <f t="shared" si="733"/>
        <v>6529.1</v>
      </c>
      <c r="P305" s="443">
        <f t="shared" si="733"/>
        <v>6892.3999999999987</v>
      </c>
      <c r="Q305" s="267">
        <f t="shared" si="733"/>
        <v>6055</v>
      </c>
      <c r="R305" s="443"/>
      <c r="S305" s="443"/>
      <c r="T305" s="443"/>
      <c r="U305" s="443"/>
      <c r="V305" s="267">
        <f>(V192-SUM(V185:V186))-(V211-V207)+V196+V199+V200</f>
        <v>6889</v>
      </c>
      <c r="W305" s="443"/>
      <c r="X305" s="443"/>
      <c r="Y305" s="443"/>
      <c r="Z305" s="443"/>
      <c r="AA305" s="267">
        <f>(AA192-SUM(AA185:AA186))-(AA211-AA207)+AA196+AA199+AA200</f>
        <v>8000</v>
      </c>
      <c r="AB305" s="267"/>
      <c r="AC305" s="443"/>
      <c r="AD305" s="443"/>
      <c r="AE305" s="443"/>
      <c r="AF305" s="443"/>
      <c r="AG305" s="267">
        <f>(AG192-SUM(AG185:AG186))-(AG211-AG207)+AG196+AG199+AG200</f>
        <v>7871</v>
      </c>
      <c r="AH305" s="443"/>
      <c r="AI305" s="443"/>
      <c r="AJ305" s="443"/>
      <c r="AK305" s="443"/>
      <c r="AL305" s="267">
        <f>(AL192-SUM(AL185:AL186))-(AL211-AL207)+AL196+AL199+AL200</f>
        <v>8599</v>
      </c>
      <c r="AM305" s="443"/>
      <c r="AN305" s="443"/>
      <c r="AO305" s="443"/>
      <c r="AP305" s="443"/>
      <c r="AQ305" s="267">
        <f>(AQ192-SUM(AQ185:AQ186))-(AQ211-AQ207)+AQ196+AQ199+AQ200</f>
        <v>9523</v>
      </c>
      <c r="AR305" s="443"/>
      <c r="AS305" s="443"/>
      <c r="AT305" s="443"/>
      <c r="AU305" s="443"/>
      <c r="AV305" s="267">
        <f>(AV192-SUM(AV185:AV186))-(AV211-AV207)+AV196+AV199+AV200</f>
        <v>10626</v>
      </c>
      <c r="AW305" s="443"/>
      <c r="AX305" s="443"/>
      <c r="AY305" s="443"/>
      <c r="AZ305" s="443"/>
      <c r="BA305" s="267">
        <f>(BA192-SUM(BA185:BA186))-(BA211-BA207)+BA196+BA199+BA200</f>
        <v>11937</v>
      </c>
      <c r="BB305" s="443"/>
      <c r="BC305" s="443"/>
      <c r="BD305" s="443"/>
      <c r="BE305" s="443"/>
      <c r="BF305" s="267">
        <f>(BF192-SUM(BF185:BF186))-(BF211-BF207)+BF196+BF199+BF200</f>
        <v>11593</v>
      </c>
      <c r="BG305" s="443"/>
      <c r="BH305" s="443"/>
      <c r="BI305" s="443"/>
      <c r="BJ305" s="443"/>
      <c r="BK305" s="267">
        <f>(BK192-SUM(BK185:BK186))-(BK211-BK207)+BK196+BK199+BK200</f>
        <v>11203</v>
      </c>
      <c r="BL305" s="443"/>
      <c r="BM305" s="443"/>
      <c r="BN305" s="443"/>
      <c r="BO305" s="443"/>
      <c r="BP305" s="267">
        <f>(BP192-SUM(BP185:BP186))-(BP211-BP207)+BP196+BP199+BP200</f>
        <v>11425</v>
      </c>
      <c r="BQ305" s="443"/>
      <c r="BR305" s="443"/>
      <c r="BS305" s="443"/>
      <c r="BT305" s="443"/>
      <c r="BU305" s="267">
        <f>(BU192-SUM(BU185:BU186))-(BU211-BU207)+BU196+BU199+BU200</f>
        <v>11479</v>
      </c>
      <c r="BV305" s="443"/>
      <c r="BW305" s="443"/>
      <c r="BX305" s="443"/>
      <c r="BY305" s="443"/>
      <c r="BZ305" s="267">
        <f>(BZ192-SUM(BZ185:BZ186))-(BZ211-BZ207)+BZ196+BZ199+BZ200</f>
        <v>14178</v>
      </c>
      <c r="CA305" s="443"/>
      <c r="CB305" s="443"/>
      <c r="CC305" s="443"/>
      <c r="CD305" s="443"/>
      <c r="CE305" s="267">
        <f>(CE192-SUM(CE185:CE186))-(CE211-CE207)+CE196+CE199+CE200</f>
        <v>14683</v>
      </c>
      <c r="CF305" s="443"/>
      <c r="CG305" s="443"/>
      <c r="CH305" s="443"/>
      <c r="CI305" s="443"/>
      <c r="CJ305" s="267">
        <f>(CJ192-SUM(CJ185:CJ186))-(CJ211-CJ207)+CJ196+CJ199+CJ200</f>
        <v>14223</v>
      </c>
      <c r="CK305" s="443"/>
      <c r="CL305" s="443"/>
      <c r="CM305" s="443"/>
      <c r="CN305" s="443"/>
      <c r="CO305" s="267">
        <f>(CO192-SUM(CO185:CO186))-(CO211-CO207)+CO196+CO199+CO200</f>
        <v>14155</v>
      </c>
      <c r="CP305" s="443"/>
      <c r="CQ305" s="443"/>
      <c r="CR305" s="443"/>
      <c r="CS305" s="443"/>
      <c r="CT305" s="267">
        <f>(CT192-SUM(CT185:CT186))-(CT211-CT207)+CT196+CT199+CT200</f>
        <v>15998</v>
      </c>
      <c r="CU305" s="443"/>
      <c r="CV305" s="443"/>
      <c r="CW305" s="443"/>
      <c r="CX305" s="443"/>
      <c r="CY305" s="267">
        <f>(CY192-SUM(CY185:CY186))-(CY211-CY207)+CY196+CY199+CY200</f>
        <v>16565.936112061267</v>
      </c>
      <c r="CZ305" s="443"/>
      <c r="DA305" s="443"/>
      <c r="DB305" s="443"/>
      <c r="DC305" s="443"/>
      <c r="DD305" s="267">
        <f>(DD192-SUM(DD185:DD186))-(DD211-DD207)+DD196+DD199+DD200</f>
        <v>16223.466478443104</v>
      </c>
      <c r="DE305" s="443"/>
      <c r="DF305" s="443"/>
      <c r="DG305" s="443"/>
      <c r="DH305" s="443"/>
      <c r="DI305" s="267">
        <f>(DI192-SUM(DI185:DI186))-(DI211-DI207)+DI196+DI199+DI200</f>
        <v>16283.077395849146</v>
      </c>
    </row>
    <row r="306" spans="1:113" s="7" customFormat="1" ht="12" hidden="1" customHeight="1" outlineLevel="1">
      <c r="A306" s="239"/>
      <c r="B306" s="450" t="s">
        <v>110</v>
      </c>
      <c r="C306" s="443" t="s">
        <v>1</v>
      </c>
      <c r="D306" s="15">
        <v>0</v>
      </c>
      <c r="E306" s="369">
        <v>0</v>
      </c>
      <c r="F306" s="15">
        <v>0</v>
      </c>
      <c r="G306" s="369">
        <v>0</v>
      </c>
      <c r="H306" s="15">
        <v>0</v>
      </c>
      <c r="I306" s="369">
        <v>0</v>
      </c>
      <c r="J306" s="15">
        <v>0</v>
      </c>
      <c r="K306" s="369">
        <v>0</v>
      </c>
      <c r="L306" s="15">
        <v>0</v>
      </c>
      <c r="M306" s="369">
        <v>0</v>
      </c>
      <c r="N306" s="15">
        <v>0</v>
      </c>
      <c r="O306" s="15">
        <v>0</v>
      </c>
      <c r="P306" s="369">
        <v>0</v>
      </c>
      <c r="Q306" s="15">
        <v>0</v>
      </c>
      <c r="R306" s="369"/>
      <c r="S306" s="369"/>
      <c r="T306" s="369"/>
      <c r="U306" s="369"/>
      <c r="V306" s="15">
        <v>0</v>
      </c>
      <c r="W306" s="369"/>
      <c r="X306" s="369"/>
      <c r="Y306" s="369"/>
      <c r="Z306" s="369"/>
      <c r="AA306" s="15">
        <v>0</v>
      </c>
      <c r="AB306" s="15"/>
      <c r="AC306" s="369"/>
      <c r="AD306" s="369"/>
      <c r="AE306" s="369"/>
      <c r="AF306" s="369"/>
      <c r="AG306" s="15">
        <v>0</v>
      </c>
      <c r="AH306" s="369"/>
      <c r="AI306" s="369"/>
      <c r="AJ306" s="369"/>
      <c r="AK306" s="369"/>
      <c r="AL306" s="15">
        <v>0</v>
      </c>
      <c r="AM306" s="369"/>
      <c r="AN306" s="369"/>
      <c r="AO306" s="369"/>
      <c r="AP306" s="369"/>
      <c r="AQ306" s="15">
        <v>0</v>
      </c>
      <c r="AR306" s="369"/>
      <c r="AS306" s="369"/>
      <c r="AT306" s="369"/>
      <c r="AU306" s="369"/>
      <c r="AV306" s="15">
        <v>0</v>
      </c>
      <c r="AW306" s="369"/>
      <c r="AX306" s="369"/>
      <c r="AY306" s="369"/>
      <c r="AZ306" s="369"/>
      <c r="BA306" s="15">
        <v>0</v>
      </c>
      <c r="BB306" s="369"/>
      <c r="BC306" s="369"/>
      <c r="BD306" s="369"/>
      <c r="BE306" s="369"/>
      <c r="BF306" s="15">
        <v>0</v>
      </c>
      <c r="BG306" s="369"/>
      <c r="BH306" s="369"/>
      <c r="BI306" s="369"/>
      <c r="BJ306" s="369"/>
      <c r="BK306" s="15">
        <v>0</v>
      </c>
      <c r="BL306" s="369"/>
      <c r="BM306" s="369"/>
      <c r="BN306" s="369"/>
      <c r="BO306" s="369"/>
      <c r="BP306" s="15">
        <v>0</v>
      </c>
      <c r="BQ306" s="369"/>
      <c r="BR306" s="369"/>
      <c r="BS306" s="369"/>
      <c r="BT306" s="369"/>
      <c r="BU306" s="15">
        <v>0</v>
      </c>
      <c r="BV306" s="369"/>
      <c r="BW306" s="369"/>
      <c r="BX306" s="369"/>
      <c r="BY306" s="369"/>
      <c r="BZ306" s="15">
        <v>0</v>
      </c>
      <c r="CA306" s="369"/>
      <c r="CB306" s="369"/>
      <c r="CC306" s="369"/>
      <c r="CD306" s="369"/>
      <c r="CE306" s="15">
        <v>0</v>
      </c>
      <c r="CF306" s="369"/>
      <c r="CG306" s="369"/>
      <c r="CH306" s="369"/>
      <c r="CI306" s="369"/>
      <c r="CJ306" s="15">
        <v>0</v>
      </c>
      <c r="CK306" s="369"/>
      <c r="CL306" s="369"/>
      <c r="CM306" s="369"/>
      <c r="CN306" s="369"/>
      <c r="CO306" s="15">
        <v>0</v>
      </c>
      <c r="CP306" s="369"/>
      <c r="CQ306" s="369"/>
      <c r="CR306" s="369"/>
      <c r="CS306" s="369"/>
      <c r="CT306" s="15">
        <v>0</v>
      </c>
      <c r="CU306" s="369"/>
      <c r="CV306" s="369"/>
      <c r="CW306" s="369"/>
      <c r="CX306" s="369"/>
      <c r="CY306" s="15">
        <v>0</v>
      </c>
      <c r="CZ306" s="369"/>
      <c r="DA306" s="369"/>
      <c r="DB306" s="369"/>
      <c r="DC306" s="369"/>
      <c r="DD306" s="15">
        <v>0</v>
      </c>
      <c r="DE306" s="369"/>
      <c r="DF306" s="369"/>
      <c r="DG306" s="369"/>
      <c r="DH306" s="369"/>
      <c r="DI306" s="15">
        <v>0</v>
      </c>
    </row>
    <row r="307" spans="1:113" s="7" customFormat="1" ht="12" hidden="1" customHeight="1" outlineLevel="1">
      <c r="A307" s="239"/>
      <c r="B307" s="450" t="s">
        <v>150</v>
      </c>
      <c r="C307" s="443"/>
      <c r="D307" s="15"/>
      <c r="E307" s="369"/>
      <c r="F307" s="15"/>
      <c r="G307" s="369"/>
      <c r="H307" s="15"/>
      <c r="I307" s="369"/>
      <c r="J307" s="15"/>
      <c r="K307" s="369">
        <f>'2. Consolidated'!K101</f>
        <v>1656</v>
      </c>
      <c r="L307" s="15">
        <f>'2. Consolidated'!L101</f>
        <v>1864</v>
      </c>
      <c r="M307" s="369">
        <f>'2. Consolidated'!M101</f>
        <v>2016</v>
      </c>
      <c r="N307" s="15">
        <f>'2. Consolidated'!N101</f>
        <v>2280</v>
      </c>
      <c r="O307" s="15">
        <f>'2. Consolidated'!O101</f>
        <v>2752</v>
      </c>
      <c r="P307" s="369">
        <f>'2. Consolidated'!P101</f>
        <v>3176</v>
      </c>
      <c r="Q307" s="15">
        <f>'2. Consolidated'!Q101</f>
        <v>3328</v>
      </c>
      <c r="R307" s="369"/>
      <c r="S307" s="369"/>
      <c r="T307" s="369"/>
      <c r="U307" s="369"/>
      <c r="V307" s="15">
        <f>'2. Consolidated'!V101</f>
        <v>3568</v>
      </c>
      <c r="W307" s="369"/>
      <c r="X307" s="369"/>
      <c r="Y307" s="369"/>
      <c r="Z307" s="369"/>
      <c r="AA307" s="15">
        <f>'2. Consolidated'!AA101</f>
        <v>3448</v>
      </c>
      <c r="AB307" s="15"/>
      <c r="AC307" s="369"/>
      <c r="AD307" s="369"/>
      <c r="AE307" s="369"/>
      <c r="AF307" s="369"/>
      <c r="AG307" s="15">
        <f>'2. Consolidated'!AG101</f>
        <v>3856</v>
      </c>
      <c r="AH307" s="369"/>
      <c r="AI307" s="369"/>
      <c r="AJ307" s="369"/>
      <c r="AK307" s="369"/>
      <c r="AL307" s="15">
        <f>'2. Consolidated'!AL101</f>
        <v>4264</v>
      </c>
      <c r="AM307" s="369"/>
      <c r="AN307" s="369"/>
      <c r="AO307" s="369"/>
      <c r="AP307" s="369"/>
      <c r="AQ307" s="15">
        <f>'2. Consolidated'!AQ101</f>
        <v>4752</v>
      </c>
      <c r="AR307" s="369"/>
      <c r="AS307" s="369"/>
      <c r="AT307" s="369"/>
      <c r="AU307" s="369"/>
      <c r="AV307" s="15">
        <f>'2. Consolidated'!AV101</f>
        <v>5288</v>
      </c>
      <c r="AW307" s="369"/>
      <c r="AX307" s="369"/>
      <c r="AY307" s="369"/>
      <c r="AZ307" s="369"/>
      <c r="BA307" s="15">
        <f>'2. Consolidated'!BA101</f>
        <v>5848</v>
      </c>
      <c r="BB307" s="369"/>
      <c r="BC307" s="369"/>
      <c r="BD307" s="369"/>
      <c r="BE307" s="369"/>
      <c r="BF307" s="15">
        <f>'2. Consolidated'!BF101</f>
        <v>6560</v>
      </c>
      <c r="BG307" s="369"/>
      <c r="BH307" s="369"/>
      <c r="BI307" s="369"/>
      <c r="BJ307" s="369"/>
      <c r="BK307" s="15">
        <f>'2. Consolidated'!BK101</f>
        <v>6632</v>
      </c>
      <c r="BL307" s="369"/>
      <c r="BM307" s="369"/>
      <c r="BN307" s="369"/>
      <c r="BO307" s="369"/>
      <c r="BP307" s="15">
        <f>'2. Consolidated'!BP101</f>
        <v>7248</v>
      </c>
      <c r="BQ307" s="369"/>
      <c r="BR307" s="369"/>
      <c r="BS307" s="369"/>
      <c r="BT307" s="369"/>
      <c r="BU307" s="15">
        <f>'2. Consolidated'!BU101</f>
        <v>7488</v>
      </c>
      <c r="BV307" s="369"/>
      <c r="BW307" s="369"/>
      <c r="BX307" s="369"/>
      <c r="BY307" s="369"/>
      <c r="BZ307" s="15">
        <f>'2. Consolidated'!BZ101</f>
        <v>7672</v>
      </c>
      <c r="CA307" s="369"/>
      <c r="CB307" s="369"/>
      <c r="CC307" s="369"/>
      <c r="CD307" s="369"/>
      <c r="CE307" s="15">
        <f>'2. Consolidated'!CE101</f>
        <v>7904</v>
      </c>
      <c r="CF307" s="369"/>
      <c r="CG307" s="369"/>
      <c r="CH307" s="369"/>
      <c r="CI307" s="369"/>
      <c r="CJ307" s="15">
        <f>'2. Consolidated'!CJ101</f>
        <v>8408</v>
      </c>
      <c r="CK307" s="369"/>
      <c r="CL307" s="369"/>
      <c r="CM307" s="369"/>
      <c r="CN307" s="369"/>
      <c r="CO307" s="15">
        <f>'2. Consolidated'!CO101</f>
        <v>8760</v>
      </c>
      <c r="CP307" s="369"/>
      <c r="CQ307" s="369"/>
      <c r="CR307" s="369"/>
      <c r="CS307" s="369"/>
      <c r="CT307" s="15">
        <f>'2. Consolidated'!CT101</f>
        <v>9168</v>
      </c>
      <c r="CU307" s="369"/>
      <c r="CV307" s="369"/>
      <c r="CW307" s="369"/>
      <c r="CX307" s="369"/>
      <c r="CY307" s="15">
        <f>'2. Consolidated'!CY101</f>
        <v>10084.800000000001</v>
      </c>
      <c r="CZ307" s="369"/>
      <c r="DA307" s="369"/>
      <c r="DB307" s="369"/>
      <c r="DC307" s="369"/>
      <c r="DD307" s="15">
        <f>'2. Consolidated'!DD101</f>
        <v>11093.280000000002</v>
      </c>
      <c r="DE307" s="369"/>
      <c r="DF307" s="369"/>
      <c r="DG307" s="369"/>
      <c r="DH307" s="369"/>
      <c r="DI307" s="15">
        <f>'2. Consolidated'!DI101</f>
        <v>12202.608000000004</v>
      </c>
    </row>
    <row r="308" spans="1:113" s="7" customFormat="1" ht="12" hidden="1" customHeight="1" outlineLevel="1">
      <c r="A308" s="239"/>
      <c r="B308" s="450"/>
      <c r="C308" s="443" t="s">
        <v>4</v>
      </c>
      <c r="D308" s="267" t="s">
        <v>4</v>
      </c>
      <c r="E308" s="443" t="s">
        <v>4</v>
      </c>
      <c r="F308" s="267" t="s">
        <v>4</v>
      </c>
      <c r="G308" s="443" t="s">
        <v>4</v>
      </c>
      <c r="H308" s="267" t="s">
        <v>4</v>
      </c>
      <c r="I308" s="443" t="s">
        <v>4</v>
      </c>
      <c r="J308" s="267" t="s">
        <v>4</v>
      </c>
      <c r="K308" s="443" t="s">
        <v>4</v>
      </c>
      <c r="L308" s="267" t="s">
        <v>4</v>
      </c>
      <c r="M308" s="443" t="s">
        <v>4</v>
      </c>
      <c r="N308" s="267" t="s">
        <v>4</v>
      </c>
      <c r="O308" s="267" t="s">
        <v>4</v>
      </c>
      <c r="P308" s="443" t="s">
        <v>4</v>
      </c>
      <c r="Q308" s="267" t="s">
        <v>4</v>
      </c>
      <c r="R308" s="443"/>
      <c r="S308" s="443"/>
      <c r="T308" s="443"/>
      <c r="U308" s="443"/>
      <c r="V308" s="267" t="s">
        <v>4</v>
      </c>
      <c r="W308" s="443"/>
      <c r="X308" s="443"/>
      <c r="Y308" s="443"/>
      <c r="Z308" s="443"/>
      <c r="AA308" s="267" t="s">
        <v>4</v>
      </c>
      <c r="AB308" s="267"/>
      <c r="AC308" s="443"/>
      <c r="AD308" s="443"/>
      <c r="AE308" s="443"/>
      <c r="AF308" s="443"/>
      <c r="AG308" s="267" t="s">
        <v>4</v>
      </c>
      <c r="AH308" s="443"/>
      <c r="AI308" s="443"/>
      <c r="AJ308" s="443"/>
      <c r="AK308" s="443"/>
      <c r="AL308" s="267" t="s">
        <v>4</v>
      </c>
      <c r="AM308" s="443"/>
      <c r="AN308" s="443"/>
      <c r="AO308" s="443"/>
      <c r="AP308" s="443"/>
      <c r="AQ308" s="267" t="s">
        <v>4</v>
      </c>
      <c r="AR308" s="443"/>
      <c r="AS308" s="443"/>
      <c r="AT308" s="443"/>
      <c r="AU308" s="443"/>
      <c r="AV308" s="267" t="s">
        <v>4</v>
      </c>
      <c r="AW308" s="443"/>
      <c r="AX308" s="443"/>
      <c r="AY308" s="443"/>
      <c r="AZ308" s="443"/>
      <c r="BA308" s="267" t="s">
        <v>4</v>
      </c>
      <c r="BB308" s="443"/>
      <c r="BC308" s="443"/>
      <c r="BD308" s="443"/>
      <c r="BE308" s="443"/>
      <c r="BF308" s="267" t="s">
        <v>4</v>
      </c>
      <c r="BG308" s="443"/>
      <c r="BH308" s="443"/>
      <c r="BI308" s="443"/>
      <c r="BJ308" s="443"/>
      <c r="BK308" s="267" t="s">
        <v>4</v>
      </c>
      <c r="BL308" s="443"/>
      <c r="BM308" s="443"/>
      <c r="BN308" s="443"/>
      <c r="BO308" s="443"/>
      <c r="BP308" s="267" t="s">
        <v>4</v>
      </c>
      <c r="BQ308" s="443"/>
      <c r="BR308" s="443"/>
      <c r="BS308" s="443"/>
      <c r="BT308" s="443"/>
      <c r="BU308" s="267" t="s">
        <v>4</v>
      </c>
      <c r="BV308" s="443"/>
      <c r="BW308" s="443"/>
      <c r="BX308" s="443"/>
      <c r="BY308" s="443"/>
      <c r="BZ308" s="267" t="s">
        <v>4</v>
      </c>
      <c r="CA308" s="443"/>
      <c r="CB308" s="443"/>
      <c r="CC308" s="443"/>
      <c r="CD308" s="443"/>
      <c r="CE308" s="267" t="s">
        <v>4</v>
      </c>
      <c r="CF308" s="443"/>
      <c r="CG308" s="443"/>
      <c r="CH308" s="443"/>
      <c r="CI308" s="443"/>
      <c r="CJ308" s="267" t="s">
        <v>4</v>
      </c>
      <c r="CK308" s="443"/>
      <c r="CL308" s="443"/>
      <c r="CM308" s="443"/>
      <c r="CN308" s="443"/>
      <c r="CO308" s="267" t="s">
        <v>4</v>
      </c>
      <c r="CP308" s="443"/>
      <c r="CQ308" s="443"/>
      <c r="CR308" s="443"/>
      <c r="CS308" s="443"/>
      <c r="CT308" s="267" t="s">
        <v>4</v>
      </c>
      <c r="CU308" s="443"/>
      <c r="CV308" s="443"/>
      <c r="CW308" s="443"/>
      <c r="CX308" s="443"/>
      <c r="CY308" s="267" t="s">
        <v>4</v>
      </c>
      <c r="CZ308" s="443"/>
      <c r="DA308" s="443"/>
      <c r="DB308" s="443"/>
      <c r="DC308" s="443"/>
      <c r="DD308" s="267" t="s">
        <v>4</v>
      </c>
      <c r="DE308" s="443"/>
      <c r="DF308" s="443"/>
      <c r="DG308" s="443"/>
      <c r="DH308" s="443"/>
      <c r="DI308" s="267" t="s">
        <v>4</v>
      </c>
    </row>
    <row r="309" spans="1:113" s="7" customFormat="1" ht="12" hidden="1" customHeight="1" outlineLevel="1">
      <c r="A309" s="239"/>
      <c r="B309" s="450" t="s">
        <v>73</v>
      </c>
      <c r="C309" s="443" t="s">
        <v>1</v>
      </c>
      <c r="D309" s="267">
        <f t="shared" ref="D309:I309" si="734">SUM(D305:D306)</f>
        <v>3604.2380000000003</v>
      </c>
      <c r="E309" s="443">
        <f t="shared" si="734"/>
        <v>4066.8</v>
      </c>
      <c r="F309" s="267">
        <f t="shared" si="734"/>
        <v>4022.8</v>
      </c>
      <c r="G309" s="443">
        <f t="shared" si="734"/>
        <v>4436.8999999999996</v>
      </c>
      <c r="H309" s="267">
        <f t="shared" si="734"/>
        <v>4589.6000000000004</v>
      </c>
      <c r="I309" s="443">
        <f t="shared" si="734"/>
        <v>4511.8</v>
      </c>
      <c r="J309" s="267">
        <f t="shared" ref="J309:Q309" si="735">SUM(J305:J307)</f>
        <v>4403.8999999999996</v>
      </c>
      <c r="K309" s="443">
        <f t="shared" si="735"/>
        <v>6462.4000000000005</v>
      </c>
      <c r="L309" s="267">
        <f t="shared" si="735"/>
        <v>6909.7</v>
      </c>
      <c r="M309" s="443">
        <f t="shared" si="735"/>
        <v>7258</v>
      </c>
      <c r="N309" s="267">
        <f t="shared" si="735"/>
        <v>7668.6</v>
      </c>
      <c r="O309" s="267">
        <f t="shared" si="735"/>
        <v>9281.1</v>
      </c>
      <c r="P309" s="443">
        <f t="shared" si="735"/>
        <v>10068.399999999998</v>
      </c>
      <c r="Q309" s="267">
        <f t="shared" si="735"/>
        <v>9383</v>
      </c>
      <c r="R309" s="443"/>
      <c r="S309" s="443"/>
      <c r="T309" s="443"/>
      <c r="U309" s="443"/>
      <c r="V309" s="267">
        <f>SUM(V305:V307)</f>
        <v>10457</v>
      </c>
      <c r="W309" s="443"/>
      <c r="X309" s="443"/>
      <c r="Y309" s="443"/>
      <c r="Z309" s="443"/>
      <c r="AA309" s="267">
        <f>SUM(AA305:AA307)</f>
        <v>11448</v>
      </c>
      <c r="AB309" s="267"/>
      <c r="AC309" s="443"/>
      <c r="AD309" s="443"/>
      <c r="AE309" s="443"/>
      <c r="AF309" s="443"/>
      <c r="AG309" s="267">
        <f>SUM(AG305:AG307)</f>
        <v>11727</v>
      </c>
      <c r="AH309" s="443"/>
      <c r="AI309" s="443"/>
      <c r="AJ309" s="443"/>
      <c r="AK309" s="443"/>
      <c r="AL309" s="267">
        <f>SUM(AL305:AL307)</f>
        <v>12863</v>
      </c>
      <c r="AM309" s="443"/>
      <c r="AN309" s="443"/>
      <c r="AO309" s="443"/>
      <c r="AP309" s="443"/>
      <c r="AQ309" s="267">
        <f>SUM(AQ305:AQ307)</f>
        <v>14275</v>
      </c>
      <c r="AR309" s="443"/>
      <c r="AS309" s="443"/>
      <c r="AT309" s="443"/>
      <c r="AU309" s="443"/>
      <c r="AV309" s="267">
        <f>SUM(AV305:AV307)</f>
        <v>15914</v>
      </c>
      <c r="AW309" s="443"/>
      <c r="AX309" s="443"/>
      <c r="AY309" s="443"/>
      <c r="AZ309" s="443"/>
      <c r="BA309" s="267">
        <f>SUM(BA305:BA307)</f>
        <v>17785</v>
      </c>
      <c r="BB309" s="443"/>
      <c r="BC309" s="443"/>
      <c r="BD309" s="443"/>
      <c r="BE309" s="443"/>
      <c r="BF309" s="267">
        <f>SUM(BF305:BF307)</f>
        <v>18153</v>
      </c>
      <c r="BG309" s="443"/>
      <c r="BH309" s="443"/>
      <c r="BI309" s="443"/>
      <c r="BJ309" s="443"/>
      <c r="BK309" s="267">
        <f>SUM(BK305:BK307)</f>
        <v>17835</v>
      </c>
      <c r="BL309" s="443"/>
      <c r="BM309" s="443"/>
      <c r="BN309" s="443"/>
      <c r="BO309" s="443"/>
      <c r="BP309" s="267">
        <f>SUM(BP305:BP307)</f>
        <v>18673</v>
      </c>
      <c r="BQ309" s="443"/>
      <c r="BR309" s="443"/>
      <c r="BS309" s="443"/>
      <c r="BT309" s="443"/>
      <c r="BU309" s="267">
        <f>SUM(BU305:BU307)</f>
        <v>18967</v>
      </c>
      <c r="BV309" s="443"/>
      <c r="BW309" s="443"/>
      <c r="BX309" s="443"/>
      <c r="BY309" s="443"/>
      <c r="BZ309" s="267">
        <f>SUM(BZ305:BZ307)</f>
        <v>21850</v>
      </c>
      <c r="CA309" s="443"/>
      <c r="CB309" s="443"/>
      <c r="CC309" s="443"/>
      <c r="CD309" s="443"/>
      <c r="CE309" s="267">
        <f>SUM(CE305:CE307)</f>
        <v>22587</v>
      </c>
      <c r="CF309" s="443"/>
      <c r="CG309" s="443"/>
      <c r="CH309" s="443"/>
      <c r="CI309" s="443"/>
      <c r="CJ309" s="267">
        <f>SUM(CJ305:CJ307)</f>
        <v>22631</v>
      </c>
      <c r="CK309" s="443"/>
      <c r="CL309" s="443"/>
      <c r="CM309" s="443"/>
      <c r="CN309" s="443"/>
      <c r="CO309" s="267">
        <f>SUM(CO305:CO307)</f>
        <v>22915</v>
      </c>
      <c r="CP309" s="443"/>
      <c r="CQ309" s="443"/>
      <c r="CR309" s="443"/>
      <c r="CS309" s="443"/>
      <c r="CT309" s="267">
        <f>SUM(CT305:CT307)</f>
        <v>25166</v>
      </c>
      <c r="CU309" s="443"/>
      <c r="CV309" s="443"/>
      <c r="CW309" s="443"/>
      <c r="CX309" s="443"/>
      <c r="CY309" s="267">
        <f>SUM(CY305:CY307)</f>
        <v>26650.73611206127</v>
      </c>
      <c r="CZ309" s="443"/>
      <c r="DA309" s="443"/>
      <c r="DB309" s="443"/>
      <c r="DC309" s="443"/>
      <c r="DD309" s="267">
        <f>SUM(DD305:DD307)</f>
        <v>27316.746478443107</v>
      </c>
      <c r="DE309" s="443"/>
      <c r="DF309" s="443"/>
      <c r="DG309" s="443"/>
      <c r="DH309" s="443"/>
      <c r="DI309" s="267">
        <f>SUM(DI305:DI307)</f>
        <v>28485.685395849148</v>
      </c>
    </row>
    <row r="310" spans="1:113" s="7" customFormat="1" ht="12" hidden="1" customHeight="1" outlineLevel="1">
      <c r="A310" s="239"/>
      <c r="B310" s="450" t="s">
        <v>74</v>
      </c>
      <c r="C310" s="443" t="s">
        <v>1</v>
      </c>
      <c r="D310" s="267">
        <f t="shared" ref="D310:Q310" si="736">AVERAGE(C309:D309)</f>
        <v>3604.2380000000003</v>
      </c>
      <c r="E310" s="443">
        <f t="shared" si="736"/>
        <v>3835.5190000000002</v>
      </c>
      <c r="F310" s="267">
        <f t="shared" si="736"/>
        <v>4044.8</v>
      </c>
      <c r="G310" s="443">
        <f t="shared" si="736"/>
        <v>4229.8500000000004</v>
      </c>
      <c r="H310" s="267">
        <f t="shared" si="736"/>
        <v>4513.25</v>
      </c>
      <c r="I310" s="443">
        <f t="shared" si="736"/>
        <v>4550.7000000000007</v>
      </c>
      <c r="J310" s="267">
        <f t="shared" si="736"/>
        <v>4457.8500000000004</v>
      </c>
      <c r="K310" s="443">
        <f t="shared" si="736"/>
        <v>5433.15</v>
      </c>
      <c r="L310" s="267">
        <f t="shared" si="736"/>
        <v>6686.05</v>
      </c>
      <c r="M310" s="443">
        <f t="shared" si="736"/>
        <v>7083.85</v>
      </c>
      <c r="N310" s="267">
        <f t="shared" si="736"/>
        <v>7463.3</v>
      </c>
      <c r="O310" s="267">
        <f t="shared" si="736"/>
        <v>8474.85</v>
      </c>
      <c r="P310" s="443">
        <f t="shared" si="736"/>
        <v>9674.75</v>
      </c>
      <c r="Q310" s="267">
        <f t="shared" si="736"/>
        <v>9725.6999999999989</v>
      </c>
      <c r="R310" s="443"/>
      <c r="S310" s="443"/>
      <c r="T310" s="443"/>
      <c r="U310" s="443"/>
      <c r="V310" s="267">
        <f>AVERAGE(Q309:V309)</f>
        <v>9920</v>
      </c>
      <c r="W310" s="443"/>
      <c r="X310" s="443"/>
      <c r="Y310" s="443"/>
      <c r="Z310" s="443"/>
      <c r="AA310" s="267">
        <f>AVERAGE(V309:AA309)</f>
        <v>10952.5</v>
      </c>
      <c r="AB310" s="267"/>
      <c r="AC310" s="443"/>
      <c r="AD310" s="443"/>
      <c r="AE310" s="443"/>
      <c r="AF310" s="443"/>
      <c r="AG310" s="267">
        <f>AVERAGE(AB309:AG309)</f>
        <v>11727</v>
      </c>
      <c r="AH310" s="443"/>
      <c r="AI310" s="443"/>
      <c r="AJ310" s="443"/>
      <c r="AK310" s="443"/>
      <c r="AL310" s="267">
        <f>AVERAGE(AG309:AL309)</f>
        <v>12295</v>
      </c>
      <c r="AM310" s="443"/>
      <c r="AN310" s="443"/>
      <c r="AO310" s="443"/>
      <c r="AP310" s="443"/>
      <c r="AQ310" s="267">
        <f>AVERAGE(AL309:AQ309)</f>
        <v>13569</v>
      </c>
      <c r="AR310" s="443"/>
      <c r="AS310" s="443"/>
      <c r="AT310" s="443"/>
      <c r="AU310" s="443"/>
      <c r="AV310" s="267">
        <f>AVERAGE(AQ309:AV309)</f>
        <v>15094.5</v>
      </c>
      <c r="AW310" s="443"/>
      <c r="AX310" s="443"/>
      <c r="AY310" s="443"/>
      <c r="AZ310" s="443"/>
      <c r="BA310" s="267">
        <f>AVERAGE(AV309:BA309)</f>
        <v>16849.5</v>
      </c>
      <c r="BB310" s="443"/>
      <c r="BC310" s="443"/>
      <c r="BD310" s="443"/>
      <c r="BE310" s="443"/>
      <c r="BF310" s="267">
        <f>AVERAGE(BA309:BF309)</f>
        <v>17969</v>
      </c>
      <c r="BG310" s="443"/>
      <c r="BH310" s="443"/>
      <c r="BI310" s="443"/>
      <c r="BJ310" s="443"/>
      <c r="BK310" s="267">
        <f>AVERAGE(BF309:BK309)</f>
        <v>17994</v>
      </c>
      <c r="BL310" s="443"/>
      <c r="BM310" s="443"/>
      <c r="BN310" s="443"/>
      <c r="BO310" s="443"/>
      <c r="BP310" s="267">
        <f>AVERAGE(BK309:BP309)</f>
        <v>18254</v>
      </c>
      <c r="BQ310" s="443"/>
      <c r="BR310" s="443"/>
      <c r="BS310" s="443"/>
      <c r="BT310" s="443"/>
      <c r="BU310" s="267">
        <f>AVERAGE(BP309:BU309)</f>
        <v>18820</v>
      </c>
      <c r="BV310" s="443"/>
      <c r="BW310" s="443"/>
      <c r="BX310" s="443"/>
      <c r="BY310" s="443"/>
      <c r="BZ310" s="267">
        <f>AVERAGE(BU309:BZ309)</f>
        <v>20408.5</v>
      </c>
      <c r="CA310" s="443"/>
      <c r="CB310" s="443"/>
      <c r="CC310" s="443"/>
      <c r="CD310" s="443"/>
      <c r="CE310" s="267">
        <f>AVERAGE(BZ309:CE309)</f>
        <v>22218.5</v>
      </c>
      <c r="CF310" s="443"/>
      <c r="CG310" s="443"/>
      <c r="CH310" s="443"/>
      <c r="CI310" s="443"/>
      <c r="CJ310" s="267">
        <f>AVERAGE(CE309:CJ309)</f>
        <v>22609</v>
      </c>
      <c r="CK310" s="443"/>
      <c r="CL310" s="443"/>
      <c r="CM310" s="443"/>
      <c r="CN310" s="443"/>
      <c r="CO310" s="267">
        <f>AVERAGE(CJ309:CO309)</f>
        <v>22773</v>
      </c>
      <c r="CP310" s="443"/>
      <c r="CQ310" s="443"/>
      <c r="CR310" s="443"/>
      <c r="CS310" s="443"/>
      <c r="CT310" s="267">
        <f>AVERAGE(CO309:CT309)</f>
        <v>24040.5</v>
      </c>
      <c r="CU310" s="443"/>
      <c r="CV310" s="443"/>
      <c r="CW310" s="443"/>
      <c r="CX310" s="443"/>
      <c r="CY310" s="267">
        <f>AVERAGE(CT309:CY309)</f>
        <v>25908.368056030635</v>
      </c>
      <c r="CZ310" s="443"/>
      <c r="DA310" s="443"/>
      <c r="DB310" s="443"/>
      <c r="DC310" s="443"/>
      <c r="DD310" s="267">
        <f>AVERAGE(CY309:DD309)</f>
        <v>26983.741295252188</v>
      </c>
      <c r="DE310" s="443"/>
      <c r="DF310" s="443"/>
      <c r="DG310" s="443"/>
      <c r="DH310" s="443"/>
      <c r="DI310" s="267">
        <f>AVERAGE(DD309:DI309)</f>
        <v>27901.215937146128</v>
      </c>
    </row>
    <row r="311" spans="1:113" ht="12" hidden="1" customHeight="1" outlineLevel="1">
      <c r="A311" s="219"/>
      <c r="B311" s="449"/>
      <c r="C311" s="477"/>
      <c r="D311" s="476"/>
      <c r="E311" s="477"/>
      <c r="F311" s="476"/>
      <c r="G311" s="477"/>
      <c r="H311" s="476"/>
      <c r="I311" s="477"/>
      <c r="J311" s="476"/>
      <c r="K311" s="477"/>
      <c r="L311" s="476"/>
      <c r="M311" s="477"/>
      <c r="N311" s="476"/>
      <c r="O311" s="476"/>
      <c r="P311" s="477"/>
      <c r="Q311" s="476"/>
      <c r="R311" s="477"/>
      <c r="S311" s="477"/>
      <c r="T311" s="477"/>
      <c r="U311" s="477"/>
      <c r="V311" s="476"/>
      <c r="W311" s="477"/>
      <c r="X311" s="477"/>
      <c r="Y311" s="477"/>
      <c r="Z311" s="477"/>
      <c r="AA311" s="476"/>
      <c r="AB311" s="476"/>
      <c r="AC311" s="477"/>
      <c r="AD311" s="477"/>
      <c r="AE311" s="477"/>
      <c r="AF311" s="477"/>
      <c r="AG311" s="476"/>
      <c r="AH311" s="477"/>
      <c r="AI311" s="477"/>
      <c r="AJ311" s="477"/>
      <c r="AK311" s="477"/>
      <c r="AL311" s="476"/>
      <c r="AM311" s="477"/>
      <c r="AN311" s="477"/>
      <c r="AO311" s="477"/>
      <c r="AP311" s="477"/>
      <c r="AQ311" s="476"/>
      <c r="AR311" s="477"/>
      <c r="AS311" s="477"/>
      <c r="AT311" s="477"/>
      <c r="AU311" s="477"/>
      <c r="AV311" s="476"/>
      <c r="AW311" s="477"/>
      <c r="AX311" s="477"/>
      <c r="AY311" s="477"/>
      <c r="AZ311" s="477"/>
      <c r="BA311" s="476"/>
      <c r="BB311" s="477"/>
      <c r="BC311" s="477"/>
      <c r="BD311" s="477"/>
      <c r="BE311" s="477"/>
      <c r="BF311" s="476"/>
      <c r="BG311" s="477"/>
      <c r="BH311" s="477"/>
      <c r="BI311" s="477"/>
      <c r="BJ311" s="477"/>
      <c r="BK311" s="476"/>
      <c r="BL311" s="477"/>
      <c r="BM311" s="477"/>
      <c r="BN311" s="477"/>
      <c r="BO311" s="477"/>
      <c r="BP311" s="476"/>
      <c r="BQ311" s="477"/>
      <c r="BR311" s="477"/>
      <c r="BS311" s="477"/>
      <c r="BT311" s="477"/>
      <c r="BU311" s="476"/>
      <c r="BV311" s="477"/>
      <c r="BW311" s="477"/>
      <c r="BX311" s="477"/>
      <c r="BY311" s="477"/>
      <c r="BZ311" s="476"/>
      <c r="CA311" s="477"/>
      <c r="CB311" s="477"/>
      <c r="CC311" s="477"/>
      <c r="CD311" s="477"/>
      <c r="CE311" s="476"/>
      <c r="CF311" s="477"/>
      <c r="CG311" s="477"/>
      <c r="CH311" s="477"/>
      <c r="CI311" s="477"/>
      <c r="CJ311" s="476"/>
      <c r="CK311" s="477"/>
      <c r="CL311" s="477"/>
      <c r="CM311" s="477"/>
      <c r="CN311" s="477"/>
      <c r="CO311" s="476"/>
      <c r="CP311" s="477"/>
      <c r="CQ311" s="477"/>
      <c r="CR311" s="477"/>
      <c r="CS311" s="477"/>
      <c r="CT311" s="476"/>
      <c r="CU311" s="477"/>
      <c r="CV311" s="477"/>
      <c r="CW311" s="477"/>
      <c r="CX311" s="477"/>
      <c r="CY311" s="476"/>
      <c r="CZ311" s="477"/>
      <c r="DA311" s="477"/>
      <c r="DB311" s="477"/>
      <c r="DC311" s="477"/>
      <c r="DD311" s="476"/>
      <c r="DE311" s="477"/>
      <c r="DF311" s="477"/>
      <c r="DG311" s="477"/>
      <c r="DH311" s="477"/>
      <c r="DI311" s="476"/>
    </row>
    <row r="312" spans="1:113" s="4" customFormat="1" ht="12" customHeight="1" collapsed="1">
      <c r="A312" s="219"/>
      <c r="B312" s="465" t="s">
        <v>317</v>
      </c>
      <c r="C312" s="498" t="s">
        <v>1</v>
      </c>
      <c r="D312" s="499">
        <f t="shared" ref="D312:Q312" si="737">D303/D310</f>
        <v>0.23522724767576766</v>
      </c>
      <c r="E312" s="500">
        <f t="shared" si="737"/>
        <v>0.1523264341309796</v>
      </c>
      <c r="F312" s="499">
        <f t="shared" si="737"/>
        <v>0.13292766615523963</v>
      </c>
      <c r="G312" s="500">
        <f t="shared" si="737"/>
        <v>0.14645849854998014</v>
      </c>
      <c r="H312" s="499">
        <f t="shared" si="737"/>
        <v>0.14381050756221855</v>
      </c>
      <c r="I312" s="500">
        <f t="shared" si="737"/>
        <v>0.1541610987801037</v>
      </c>
      <c r="J312" s="499">
        <f t="shared" si="737"/>
        <v>0.18222474883995793</v>
      </c>
      <c r="K312" s="500">
        <f t="shared" si="737"/>
        <v>0.210855710489914</v>
      </c>
      <c r="L312" s="499">
        <f t="shared" si="737"/>
        <v>0.20721902804342243</v>
      </c>
      <c r="M312" s="500">
        <f t="shared" si="737"/>
        <v>0.21665279451057323</v>
      </c>
      <c r="N312" s="499">
        <f t="shared" si="737"/>
        <v>0.21954832650816936</v>
      </c>
      <c r="O312" s="499">
        <f t="shared" si="737"/>
        <v>0.24686184017071969</v>
      </c>
      <c r="P312" s="500">
        <f t="shared" si="737"/>
        <v>0.22285199443221054</v>
      </c>
      <c r="Q312" s="499">
        <f t="shared" si="737"/>
        <v>0.22894157996238199</v>
      </c>
      <c r="R312" s="500"/>
      <c r="S312" s="500"/>
      <c r="T312" s="500"/>
      <c r="U312" s="500"/>
      <c r="V312" s="499">
        <f>V303/V310</f>
        <v>0.24904233870967743</v>
      </c>
      <c r="W312" s="500"/>
      <c r="X312" s="500"/>
      <c r="Y312" s="500"/>
      <c r="Z312" s="500"/>
      <c r="AA312" s="499">
        <f>AA303/AA310</f>
        <v>0.23249730669640328</v>
      </c>
      <c r="AB312" s="499"/>
      <c r="AC312" s="500"/>
      <c r="AD312" s="500"/>
      <c r="AE312" s="500"/>
      <c r="AF312" s="500"/>
      <c r="AG312" s="499">
        <f>AG303/AG310</f>
        <v>0.23975219725411592</v>
      </c>
      <c r="AH312" s="500"/>
      <c r="AI312" s="500"/>
      <c r="AJ312" s="500"/>
      <c r="AK312" s="500"/>
      <c r="AL312" s="499">
        <f>AL303/AL310</f>
        <v>0.25401299138833988</v>
      </c>
      <c r="AM312" s="500"/>
      <c r="AN312" s="500"/>
      <c r="AO312" s="500"/>
      <c r="AP312" s="500"/>
      <c r="AQ312" s="499">
        <f>AQ303/AQ310</f>
        <v>0.2768913964114712</v>
      </c>
      <c r="AR312" s="500"/>
      <c r="AS312" s="500"/>
      <c r="AT312" s="500"/>
      <c r="AU312" s="500"/>
      <c r="AV312" s="499">
        <f>AV303/AV310</f>
        <v>0.28573724091830238</v>
      </c>
      <c r="AW312" s="500"/>
      <c r="AX312" s="500"/>
      <c r="AY312" s="500"/>
      <c r="AZ312" s="500"/>
      <c r="BA312" s="499">
        <f>BA303/BA310</f>
        <v>0.29232621458199132</v>
      </c>
      <c r="BB312" s="500"/>
      <c r="BC312" s="500"/>
      <c r="BD312" s="500"/>
      <c r="BE312" s="500"/>
      <c r="BF312" s="499">
        <f>BF303/BF310</f>
        <v>0.26511473678013864</v>
      </c>
      <c r="BG312" s="500"/>
      <c r="BH312" s="500"/>
      <c r="BI312" s="500"/>
      <c r="BJ312" s="500"/>
      <c r="BK312" s="499">
        <f>BK303/BK310</f>
        <v>0.26485593788500905</v>
      </c>
      <c r="BL312" s="500"/>
      <c r="BM312" s="500"/>
      <c r="BN312" s="500"/>
      <c r="BO312" s="500"/>
      <c r="BP312" s="499">
        <f>BP303/BP310</f>
        <v>0.20974349417237056</v>
      </c>
      <c r="BQ312" s="500"/>
      <c r="BR312" s="500"/>
      <c r="BS312" s="500"/>
      <c r="BT312" s="500"/>
      <c r="BU312" s="499">
        <f>BU303/BU310</f>
        <v>0.35903386901182693</v>
      </c>
      <c r="BV312" s="500"/>
      <c r="BW312" s="500"/>
      <c r="BX312" s="500"/>
      <c r="BY312" s="500"/>
      <c r="BZ312" s="499">
        <f>BZ303/BZ310</f>
        <v>0.34809604712338665</v>
      </c>
      <c r="CA312" s="500"/>
      <c r="CB312" s="500"/>
      <c r="CC312" s="500"/>
      <c r="CD312" s="500"/>
      <c r="CE312" s="499">
        <f>CE303/CE310</f>
        <v>0.26432446302680229</v>
      </c>
      <c r="CF312" s="500"/>
      <c r="CG312" s="500"/>
      <c r="CH312" s="500"/>
      <c r="CI312" s="500"/>
      <c r="CJ312" s="499">
        <f>CJ303/CJ310</f>
        <v>0.30103339903213877</v>
      </c>
      <c r="CK312" s="500"/>
      <c r="CL312" s="500"/>
      <c r="CM312" s="500"/>
      <c r="CN312" s="500"/>
      <c r="CO312" s="499">
        <f>CO303/CO310</f>
        <v>0.17729893169229224</v>
      </c>
      <c r="CP312" s="500"/>
      <c r="CQ312" s="500"/>
      <c r="CR312" s="500"/>
      <c r="CS312" s="500"/>
      <c r="CT312" s="499">
        <f>CT303/CT310</f>
        <v>0.1656133479880906</v>
      </c>
      <c r="CU312" s="500"/>
      <c r="CV312" s="500"/>
      <c r="CW312" s="500"/>
      <c r="CX312" s="500"/>
      <c r="CY312" s="499">
        <f>CY303/CY310</f>
        <v>0.10687381802923354</v>
      </c>
      <c r="CZ312" s="500"/>
      <c r="DA312" s="500"/>
      <c r="DB312" s="500"/>
      <c r="DC312" s="500"/>
      <c r="DD312" s="499">
        <f>DD303/DD310</f>
        <v>0.10268702838693898</v>
      </c>
      <c r="DE312" s="500"/>
      <c r="DF312" s="500"/>
      <c r="DG312" s="500"/>
      <c r="DH312" s="500"/>
      <c r="DI312" s="499">
        <f>DI303/DI310</f>
        <v>0.11078458498340459</v>
      </c>
    </row>
    <row r="313" spans="1:113" s="4" customFormat="1" ht="12" customHeight="1">
      <c r="A313" s="219"/>
      <c r="B313" s="465"/>
      <c r="C313" s="414"/>
      <c r="D313" s="499"/>
      <c r="E313" s="500"/>
      <c r="F313" s="499"/>
      <c r="G313" s="500"/>
      <c r="H313" s="499"/>
      <c r="I313" s="500"/>
      <c r="J313" s="499"/>
      <c r="K313" s="500"/>
      <c r="L313" s="499"/>
      <c r="M313" s="500"/>
      <c r="N313" s="499"/>
      <c r="O313" s="499"/>
      <c r="P313" s="500"/>
      <c r="Q313" s="499"/>
      <c r="R313" s="500"/>
      <c r="S313" s="500"/>
      <c r="T313" s="500"/>
      <c r="U313" s="500"/>
      <c r="V313" s="499"/>
      <c r="W313" s="500"/>
      <c r="X313" s="500"/>
      <c r="Y313" s="500"/>
      <c r="Z313" s="500"/>
      <c r="AA313" s="499"/>
      <c r="AB313" s="499"/>
      <c r="AC313" s="500"/>
      <c r="AD313" s="500"/>
      <c r="AE313" s="500"/>
      <c r="AF313" s="500"/>
      <c r="AG313" s="499"/>
      <c r="AH313" s="500"/>
      <c r="AI313" s="500"/>
      <c r="AJ313" s="500"/>
      <c r="AK313" s="500"/>
      <c r="AL313" s="499"/>
      <c r="AM313" s="500"/>
      <c r="AN313" s="500"/>
      <c r="AO313" s="500"/>
      <c r="AP313" s="500"/>
      <c r="AQ313" s="499"/>
      <c r="AR313" s="500"/>
      <c r="AS313" s="500"/>
      <c r="AT313" s="500"/>
      <c r="AU313" s="500"/>
      <c r="AV313" s="499"/>
      <c r="AW313" s="500"/>
      <c r="AX313" s="500"/>
      <c r="AY313" s="500"/>
      <c r="AZ313" s="500"/>
      <c r="BA313" s="499"/>
      <c r="BB313" s="500"/>
      <c r="BC313" s="500"/>
      <c r="BD313" s="500"/>
      <c r="BE313" s="500"/>
      <c r="BF313" s="499"/>
      <c r="BG313" s="500"/>
      <c r="BH313" s="500"/>
      <c r="BI313" s="500"/>
      <c r="BJ313" s="500"/>
      <c r="BK313" s="499"/>
      <c r="BL313" s="500"/>
      <c r="BM313" s="500"/>
      <c r="BN313" s="500"/>
      <c r="BO313" s="500"/>
      <c r="BP313" s="499"/>
      <c r="BQ313" s="500"/>
      <c r="BR313" s="500"/>
      <c r="BS313" s="500"/>
      <c r="BT313" s="500"/>
      <c r="BU313" s="499"/>
      <c r="BV313" s="500"/>
      <c r="BW313" s="500"/>
      <c r="BX313" s="500"/>
      <c r="BY313" s="500"/>
      <c r="BZ313" s="499"/>
      <c r="CA313" s="500"/>
      <c r="CB313" s="500"/>
      <c r="CC313" s="500"/>
      <c r="CD313" s="500"/>
      <c r="CE313" s="499"/>
      <c r="CF313" s="500"/>
      <c r="CG313" s="500"/>
      <c r="CH313" s="500"/>
      <c r="CI313" s="500"/>
      <c r="CJ313" s="499"/>
      <c r="CK313" s="500"/>
      <c r="CL313" s="500"/>
      <c r="CM313" s="500"/>
      <c r="CN313" s="500"/>
      <c r="CO313" s="499"/>
      <c r="CP313" s="500"/>
      <c r="CQ313" s="500"/>
      <c r="CR313" s="500"/>
      <c r="CS313" s="500"/>
      <c r="CT313" s="499"/>
      <c r="CU313" s="500"/>
      <c r="CV313" s="500"/>
      <c r="CW313" s="500"/>
      <c r="CX313" s="500"/>
      <c r="CY313" s="499"/>
      <c r="CZ313" s="500"/>
      <c r="DA313" s="500"/>
      <c r="DB313" s="500"/>
      <c r="DC313" s="500"/>
      <c r="DD313" s="499"/>
      <c r="DE313" s="500"/>
      <c r="DF313" s="500"/>
      <c r="DG313" s="500"/>
      <c r="DH313" s="500"/>
      <c r="DI313" s="499"/>
    </row>
    <row r="314" spans="1:113" s="117" customFormat="1" ht="12" customHeight="1">
      <c r="A314" s="239"/>
      <c r="B314" s="450" t="s">
        <v>151</v>
      </c>
      <c r="C314" s="443"/>
      <c r="D314" s="267">
        <f>(D194+D197+D187+D188+D190+D189)-(D211-D207)+'2. Consolidated'!D101</f>
        <v>4004.3233543554657</v>
      </c>
      <c r="E314" s="443">
        <f>(E194+E197+E187+E188+E190+E189)-(E211-E207)+'2. Consolidated'!E101</f>
        <v>4495.3622341409282</v>
      </c>
      <c r="F314" s="267">
        <f>(F194+F197+F187+F188+F190+F189)-(F211-F207)+'2. Consolidated'!F101</f>
        <v>4505.0608285555763</v>
      </c>
      <c r="G314" s="443">
        <f>(G194+G197+G187+G188+G190+G189)-(G211-G207)+'2. Consolidated'!G101</f>
        <v>5016.8932125023121</v>
      </c>
      <c r="H314" s="267">
        <f>(H194+H197+H187+H188+H190+H189)-(H211-H207)+'2. Consolidated'!H101</f>
        <v>5380.0085259848356</v>
      </c>
      <c r="I314" s="443">
        <f>(I194+I197+I187+I188+I190+I189)-(I211-I207)+'2. Consolidated'!I101</f>
        <v>5445.1148511189203</v>
      </c>
      <c r="J314" s="267">
        <f>(J194+J197+J187+J188+J190+J189)-(J211-J207)+'2. Consolidated'!J101</f>
        <v>5558.5106898464946</v>
      </c>
      <c r="K314" s="443">
        <f>(K194+K197+K187+K188+K190+K189)-(K211-K207)+'2. Consolidated'!K101</f>
        <v>7760.502737192528</v>
      </c>
      <c r="L314" s="267">
        <f>(L194+L197+L187+L188+L190+L189)-(L211-L207)+'2. Consolidated'!L101</f>
        <v>8235.0696874422065</v>
      </c>
      <c r="M314" s="443">
        <f>(M194+M197+M187+M188+M190+M189)-(M211-M207)+'2. Consolidated'!M101</f>
        <v>8738.7167190678738</v>
      </c>
      <c r="N314" s="267">
        <f>(N194+N197+N187+N188+N190+N189)-(N211-N207)+'2. Consolidated'!N101</f>
        <v>9263.7000000000007</v>
      </c>
      <c r="O314" s="267">
        <f>(O194+O197+O187+O188+O190+O189)-(O211-O207)+'2. Consolidated'!O101</f>
        <v>11014.5</v>
      </c>
      <c r="P314" s="443">
        <f>(P194+P197+P187+P188+P190+P189)-(P211-P207)+'2. Consolidated'!P101</f>
        <v>11517.1</v>
      </c>
      <c r="Q314" s="267">
        <f>(Q194+Q197+Q187+Q188+Q190+Q189)-(Q211-Q207)+'2. Consolidated'!Q101</f>
        <v>11024.8</v>
      </c>
      <c r="R314" s="443"/>
      <c r="S314" s="443"/>
      <c r="T314" s="443"/>
      <c r="U314" s="443"/>
      <c r="V314" s="267">
        <f>(V194+V197+V187+V188+V190+V189)-(V211-V207)+'2. Consolidated'!V101</f>
        <v>12528</v>
      </c>
      <c r="W314" s="443"/>
      <c r="X314" s="443"/>
      <c r="Y314" s="443"/>
      <c r="Z314" s="443"/>
      <c r="AA314" s="267">
        <f>(AA194+AA197+AA187+AA188+AA190+AA189)-(AA211-AA207)+'2. Consolidated'!AA101</f>
        <v>13977</v>
      </c>
      <c r="AB314" s="267"/>
      <c r="AC314" s="443"/>
      <c r="AD314" s="443"/>
      <c r="AE314" s="443"/>
      <c r="AF314" s="443"/>
      <c r="AG314" s="267">
        <f>(AG194+AG197+AG187+AG188+AG190+AG189)-(AG211-AG207)+'2. Consolidated'!AG101</f>
        <v>14289</v>
      </c>
      <c r="AH314" s="443"/>
      <c r="AI314" s="443"/>
      <c r="AJ314" s="443"/>
      <c r="AK314" s="443"/>
      <c r="AL314" s="267">
        <f>(AL194+AL197+AL187+AL188+AL190+AL189)-(AL211-AL207)+'2. Consolidated'!AL101</f>
        <v>15205</v>
      </c>
      <c r="AM314" s="443"/>
      <c r="AN314" s="443"/>
      <c r="AO314" s="443"/>
      <c r="AP314" s="443"/>
      <c r="AQ314" s="267">
        <f>(AQ194+AQ197+AQ187+AQ188+AQ190+AQ189)-(AQ211-AQ207)+'2. Consolidated'!AQ101</f>
        <v>16023</v>
      </c>
      <c r="AR314" s="443"/>
      <c r="AS314" s="443"/>
      <c r="AT314" s="443"/>
      <c r="AU314" s="443"/>
      <c r="AV314" s="267">
        <f>(AV194+AV197+AV187+AV188+AV190+AV189)-(AV211-AV207)+'2. Consolidated'!AV101</f>
        <v>17601</v>
      </c>
      <c r="AW314" s="443"/>
      <c r="AX314" s="443"/>
      <c r="AY314" s="443"/>
      <c r="AZ314" s="443"/>
      <c r="BA314" s="267">
        <f>(BA194+BA197+BA187+BA188+BA190+BA189)-(BA211-BA207)+'2. Consolidated'!BA101</f>
        <v>18984</v>
      </c>
      <c r="BB314" s="443"/>
      <c r="BC314" s="443"/>
      <c r="BD314" s="443"/>
      <c r="BE314" s="443"/>
      <c r="BF314" s="267">
        <f>(BF194+BF197+BF187+BF188+BF190+BF189)-(BF211-BF207)+'2. Consolidated'!BF101</f>
        <v>20099</v>
      </c>
      <c r="BG314" s="443"/>
      <c r="BH314" s="443"/>
      <c r="BI314" s="443"/>
      <c r="BJ314" s="443"/>
      <c r="BK314" s="267">
        <f>(BK194+BK197+BK187+BK188+BK190+BK189)-(BK211-BK207)+'2. Consolidated'!BK101</f>
        <v>20567</v>
      </c>
      <c r="BL314" s="443"/>
      <c r="BM314" s="443"/>
      <c r="BN314" s="443"/>
      <c r="BO314" s="443"/>
      <c r="BP314" s="267">
        <f>(BP194+BP197+BP187+BP188+BP190+BP189)-(BP211-BP207)+'2. Consolidated'!BP101</f>
        <v>21160</v>
      </c>
      <c r="BQ314" s="443"/>
      <c r="BR314" s="443"/>
      <c r="BS314" s="443"/>
      <c r="BT314" s="443"/>
      <c r="BU314" s="267">
        <f>(BU194+BU197+BU187+BU188+BU190+BU189)-(BU211-BU207)+'2. Consolidated'!BU101</f>
        <v>21345</v>
      </c>
      <c r="BV314" s="443"/>
      <c r="BW314" s="443"/>
      <c r="BX314" s="443"/>
      <c r="BY314" s="443"/>
      <c r="BZ314" s="267">
        <f>(BZ194+BZ197+BZ187+BZ188+BZ190+BZ189)-(BZ211-BZ207)+'2. Consolidated'!BZ101</f>
        <v>24199</v>
      </c>
      <c r="CA314" s="443"/>
      <c r="CB314" s="443"/>
      <c r="CC314" s="443"/>
      <c r="CD314" s="443"/>
      <c r="CE314" s="267">
        <f>(CE194+CE197+CE187+CE188+CE190+CE189)-(CE211-CE207)+'2. Consolidated'!CE101</f>
        <v>25666</v>
      </c>
      <c r="CF314" s="443"/>
      <c r="CG314" s="443"/>
      <c r="CH314" s="443"/>
      <c r="CI314" s="443"/>
      <c r="CJ314" s="267">
        <f>(CJ194+CJ197+CJ187+CJ188+CJ190+CJ189)-(CJ211-CJ207)+'2. Consolidated'!CJ101</f>
        <v>25862</v>
      </c>
      <c r="CK314" s="443"/>
      <c r="CL314" s="443"/>
      <c r="CM314" s="443"/>
      <c r="CN314" s="443"/>
      <c r="CO314" s="267">
        <f>(CO194+CO197+CO187+CO188+CO190+CO189)-(CO211-CO207)+'2. Consolidated'!CO101</f>
        <v>26081</v>
      </c>
      <c r="CP314" s="443"/>
      <c r="CQ314" s="443"/>
      <c r="CR314" s="443"/>
      <c r="CS314" s="443"/>
      <c r="CT314" s="267">
        <f>(CT194+CT197+CT187+CT188+CT190+CT189)-(CT211-CT207)+'2. Consolidated'!CT101</f>
        <v>28487</v>
      </c>
      <c r="CU314" s="443"/>
      <c r="CV314" s="443"/>
      <c r="CW314" s="443"/>
      <c r="CX314" s="443"/>
      <c r="CY314" s="267">
        <f>(CY194+CY197+CY187+CY188+CY190+CY189)-(CY211-CY207)+'2. Consolidated'!CY101</f>
        <v>30564.074612061268</v>
      </c>
      <c r="CZ314" s="443"/>
      <c r="DA314" s="443"/>
      <c r="DB314" s="443"/>
      <c r="DC314" s="443"/>
      <c r="DD314" s="267">
        <f>(DD194+DD197+DD187+DD188+DD190+DD189)-(DD211-DD207)+'2. Consolidated'!DD101</f>
        <v>32034.800690943106</v>
      </c>
      <c r="DE314" s="443"/>
      <c r="DF314" s="443"/>
      <c r="DG314" s="443"/>
      <c r="DH314" s="443"/>
      <c r="DI314" s="267">
        <f>(DI194+DI197+DI187+DI188+DI190+DI189)-(DI211-DI207)+'2. Consolidated'!DI101</f>
        <v>34028.573213661657</v>
      </c>
    </row>
    <row r="315" spans="1:113" s="117" customFormat="1" ht="12" customHeight="1">
      <c r="A315" s="239"/>
      <c r="B315" s="450" t="s">
        <v>152</v>
      </c>
      <c r="C315" s="443"/>
      <c r="D315" s="267">
        <f t="shared" ref="D315:Q315" si="738">AVERAGE(C314:D314)</f>
        <v>4004.3233543554657</v>
      </c>
      <c r="E315" s="443">
        <f t="shared" si="738"/>
        <v>4249.8427942481967</v>
      </c>
      <c r="F315" s="267">
        <f t="shared" si="738"/>
        <v>4500.2115313482518</v>
      </c>
      <c r="G315" s="443">
        <f t="shared" si="738"/>
        <v>4760.9770205289442</v>
      </c>
      <c r="H315" s="267">
        <f t="shared" si="738"/>
        <v>5198.4508692435738</v>
      </c>
      <c r="I315" s="443">
        <f t="shared" si="738"/>
        <v>5412.5616885518775</v>
      </c>
      <c r="J315" s="267">
        <f t="shared" si="738"/>
        <v>5501.8127704827075</v>
      </c>
      <c r="K315" s="443">
        <f t="shared" si="738"/>
        <v>6659.5067135195113</v>
      </c>
      <c r="L315" s="267">
        <f t="shared" si="738"/>
        <v>7997.7862123173672</v>
      </c>
      <c r="M315" s="443">
        <f t="shared" si="738"/>
        <v>8486.8932032550401</v>
      </c>
      <c r="N315" s="267">
        <f t="shared" si="738"/>
        <v>9001.2083595339373</v>
      </c>
      <c r="O315" s="267">
        <f t="shared" si="738"/>
        <v>10139.1</v>
      </c>
      <c r="P315" s="443">
        <f t="shared" si="738"/>
        <v>11265.8</v>
      </c>
      <c r="Q315" s="267">
        <f t="shared" si="738"/>
        <v>11270.95</v>
      </c>
      <c r="R315" s="443"/>
      <c r="S315" s="443"/>
      <c r="T315" s="443"/>
      <c r="U315" s="443"/>
      <c r="V315" s="267">
        <f>AVERAGE(Q314:V314)</f>
        <v>11776.4</v>
      </c>
      <c r="W315" s="443"/>
      <c r="X315" s="443"/>
      <c r="Y315" s="443"/>
      <c r="Z315" s="443"/>
      <c r="AA315" s="267">
        <f>AVERAGE(V314:AA314)</f>
        <v>13252.5</v>
      </c>
      <c r="AB315" s="267"/>
      <c r="AC315" s="443"/>
      <c r="AD315" s="443"/>
      <c r="AE315" s="443"/>
      <c r="AF315" s="443"/>
      <c r="AG315" s="267">
        <f>AVERAGE(AA314, AG314)</f>
        <v>14133</v>
      </c>
      <c r="AH315" s="443"/>
      <c r="AI315" s="443"/>
      <c r="AJ315" s="443"/>
      <c r="AK315" s="443"/>
      <c r="AL315" s="267">
        <f>AVERAGE(AG314:AL314)</f>
        <v>14747</v>
      </c>
      <c r="AM315" s="443"/>
      <c r="AN315" s="443"/>
      <c r="AO315" s="443"/>
      <c r="AP315" s="443"/>
      <c r="AQ315" s="267">
        <f>AVERAGE(AL314:AQ314)</f>
        <v>15614</v>
      </c>
      <c r="AR315" s="443"/>
      <c r="AS315" s="443"/>
      <c r="AT315" s="443"/>
      <c r="AU315" s="443"/>
      <c r="AV315" s="267">
        <f>AVERAGE(AQ314:AV314)</f>
        <v>16812</v>
      </c>
      <c r="AW315" s="443"/>
      <c r="AX315" s="443"/>
      <c r="AY315" s="443"/>
      <c r="AZ315" s="443"/>
      <c r="BA315" s="267">
        <f>AVERAGE(AV314:BA314)</f>
        <v>18292.5</v>
      </c>
      <c r="BB315" s="443"/>
      <c r="BC315" s="443"/>
      <c r="BD315" s="443"/>
      <c r="BE315" s="443"/>
      <c r="BF315" s="267">
        <f>AVERAGE(BA314:BF314)</f>
        <v>19541.5</v>
      </c>
      <c r="BG315" s="443"/>
      <c r="BH315" s="443"/>
      <c r="BI315" s="443"/>
      <c r="BJ315" s="443"/>
      <c r="BK315" s="267">
        <f>AVERAGE(BF314:BK314)</f>
        <v>20333</v>
      </c>
      <c r="BL315" s="443"/>
      <c r="BM315" s="443"/>
      <c r="BN315" s="443"/>
      <c r="BO315" s="443"/>
      <c r="BP315" s="267">
        <f>AVERAGE(BK314:BP314)</f>
        <v>20863.5</v>
      </c>
      <c r="BQ315" s="443"/>
      <c r="BR315" s="443"/>
      <c r="BS315" s="443"/>
      <c r="BT315" s="443"/>
      <c r="BU315" s="267">
        <f>AVERAGE(BP314:BU314)</f>
        <v>21252.5</v>
      </c>
      <c r="BV315" s="443"/>
      <c r="BW315" s="443"/>
      <c r="BX315" s="443"/>
      <c r="BY315" s="443"/>
      <c r="BZ315" s="267">
        <f>AVERAGE(BU314:BZ314)</f>
        <v>22772</v>
      </c>
      <c r="CA315" s="443"/>
      <c r="CB315" s="443"/>
      <c r="CC315" s="443"/>
      <c r="CD315" s="443"/>
      <c r="CE315" s="267">
        <f>AVERAGE(BZ314:CE314)</f>
        <v>24932.5</v>
      </c>
      <c r="CF315" s="443"/>
      <c r="CG315" s="443"/>
      <c r="CH315" s="443"/>
      <c r="CI315" s="443"/>
      <c r="CJ315" s="267">
        <f>AVERAGE(CE314:CJ314)</f>
        <v>25764</v>
      </c>
      <c r="CK315" s="443"/>
      <c r="CL315" s="443"/>
      <c r="CM315" s="443"/>
      <c r="CN315" s="443"/>
      <c r="CO315" s="267">
        <f>AVERAGE(CJ314:CO314)</f>
        <v>25971.5</v>
      </c>
      <c r="CP315" s="443"/>
      <c r="CQ315" s="443"/>
      <c r="CR315" s="443"/>
      <c r="CS315" s="443"/>
      <c r="CT315" s="267">
        <f>AVERAGE(CO314:CT314)</f>
        <v>27284</v>
      </c>
      <c r="CU315" s="443"/>
      <c r="CV315" s="443"/>
      <c r="CW315" s="443"/>
      <c r="CX315" s="443"/>
      <c r="CY315" s="267">
        <f>AVERAGE(CT314:CY314)</f>
        <v>29525.537306030634</v>
      </c>
      <c r="CZ315" s="443"/>
      <c r="DA315" s="443"/>
      <c r="DB315" s="443"/>
      <c r="DC315" s="443"/>
      <c r="DD315" s="267">
        <f>AVERAGE(CY314:DD314)</f>
        <v>31299.437651502187</v>
      </c>
      <c r="DE315" s="443"/>
      <c r="DF315" s="443"/>
      <c r="DG315" s="443"/>
      <c r="DH315" s="443"/>
      <c r="DI315" s="267">
        <f>AVERAGE(DD314:DI314)</f>
        <v>33031.686952302378</v>
      </c>
    </row>
    <row r="316" spans="1:113" s="117" customFormat="1" ht="12" customHeight="1">
      <c r="A316" s="239"/>
      <c r="B316" s="451"/>
      <c r="C316" s="443"/>
      <c r="D316" s="486"/>
      <c r="E316" s="487"/>
      <c r="F316" s="486"/>
      <c r="G316" s="487"/>
      <c r="H316" s="486"/>
      <c r="I316" s="487"/>
      <c r="J316" s="486"/>
      <c r="K316" s="487"/>
      <c r="L316" s="486"/>
      <c r="M316" s="487"/>
      <c r="N316" s="486"/>
      <c r="O316" s="486"/>
      <c r="P316" s="487"/>
      <c r="Q316" s="486"/>
      <c r="R316" s="487"/>
      <c r="S316" s="487"/>
      <c r="T316" s="487"/>
      <c r="U316" s="487"/>
      <c r="V316" s="486"/>
      <c r="W316" s="487"/>
      <c r="X316" s="487"/>
      <c r="Y316" s="487"/>
      <c r="Z316" s="487"/>
      <c r="AA316" s="486"/>
      <c r="AB316" s="486"/>
      <c r="AC316" s="487"/>
      <c r="AD316" s="487"/>
      <c r="AE316" s="487"/>
      <c r="AF316" s="487"/>
      <c r="AG316" s="486"/>
      <c r="AH316" s="487"/>
      <c r="AI316" s="487"/>
      <c r="AJ316" s="487"/>
      <c r="AK316" s="487"/>
      <c r="AL316" s="486"/>
      <c r="AM316" s="487"/>
      <c r="AN316" s="487"/>
      <c r="AO316" s="487"/>
      <c r="AP316" s="487"/>
      <c r="AQ316" s="486"/>
      <c r="AR316" s="487"/>
      <c r="AS316" s="487"/>
      <c r="AT316" s="487"/>
      <c r="AU316" s="487"/>
      <c r="AV316" s="486"/>
      <c r="AW316" s="487"/>
      <c r="AX316" s="487"/>
      <c r="AY316" s="487"/>
      <c r="AZ316" s="487"/>
      <c r="BA316" s="486"/>
      <c r="BB316" s="487"/>
      <c r="BC316" s="487"/>
      <c r="BD316" s="487"/>
      <c r="BE316" s="487"/>
      <c r="BF316" s="486"/>
      <c r="BG316" s="487"/>
      <c r="BH316" s="487"/>
      <c r="BI316" s="487"/>
      <c r="BJ316" s="487"/>
      <c r="BK316" s="486"/>
      <c r="BL316" s="487"/>
      <c r="BM316" s="487"/>
      <c r="BN316" s="487"/>
      <c r="BO316" s="487"/>
      <c r="BP316" s="486"/>
      <c r="BQ316" s="487"/>
      <c r="BR316" s="487"/>
      <c r="BS316" s="487"/>
      <c r="BT316" s="487"/>
      <c r="BU316" s="486"/>
      <c r="BV316" s="487"/>
      <c r="BW316" s="487"/>
      <c r="BX316" s="487"/>
      <c r="BY316" s="487"/>
      <c r="BZ316" s="486"/>
      <c r="CA316" s="487"/>
      <c r="CB316" s="487"/>
      <c r="CC316" s="487"/>
      <c r="CD316" s="487"/>
      <c r="CE316" s="486"/>
      <c r="CF316" s="487"/>
      <c r="CG316" s="487"/>
      <c r="CH316" s="487"/>
      <c r="CI316" s="487"/>
      <c r="CJ316" s="486"/>
      <c r="CK316" s="487"/>
      <c r="CL316" s="487"/>
      <c r="CM316" s="487"/>
      <c r="CN316" s="487"/>
      <c r="CO316" s="486"/>
      <c r="CP316" s="487"/>
      <c r="CQ316" s="487"/>
      <c r="CR316" s="487"/>
      <c r="CS316" s="487"/>
      <c r="CT316" s="486"/>
      <c r="CU316" s="487"/>
      <c r="CV316" s="487"/>
      <c r="CW316" s="487"/>
      <c r="CX316" s="487"/>
      <c r="CY316" s="486"/>
      <c r="CZ316" s="487"/>
      <c r="DA316" s="487"/>
      <c r="DB316" s="487"/>
      <c r="DC316" s="487"/>
      <c r="DD316" s="486"/>
      <c r="DE316" s="487"/>
      <c r="DF316" s="487"/>
      <c r="DG316" s="487"/>
      <c r="DH316" s="487"/>
      <c r="DI316" s="486"/>
    </row>
    <row r="317" spans="1:113" s="117" customFormat="1" ht="12" customHeight="1">
      <c r="A317" s="239"/>
      <c r="B317" s="450" t="s">
        <v>153</v>
      </c>
      <c r="C317" s="443"/>
      <c r="D317" s="267">
        <f>'2. Consolidated'!D122</f>
        <v>323.16000000000082</v>
      </c>
      <c r="E317" s="443">
        <f>'2. Consolidated'!E122</f>
        <v>517.49999999999886</v>
      </c>
      <c r="F317" s="267">
        <f>'2. Consolidated'!F122</f>
        <v>961.00000000000148</v>
      </c>
      <c r="G317" s="443">
        <f>'2. Consolidated'!G122</f>
        <v>759.90000000000043</v>
      </c>
      <c r="H317" s="267">
        <f>'2. Consolidated'!H122</f>
        <v>656.49999999999989</v>
      </c>
      <c r="I317" s="443">
        <f>'2. Consolidated'!I122</f>
        <v>1081.5</v>
      </c>
      <c r="J317" s="267">
        <f>'2. Consolidated'!J122</f>
        <v>917.4</v>
      </c>
      <c r="K317" s="443">
        <f>'2. Consolidated'!K122</f>
        <v>1518.5000000000002</v>
      </c>
      <c r="L317" s="267">
        <f>'2. Consolidated'!L122</f>
        <v>1570.6999999999987</v>
      </c>
      <c r="M317" s="443">
        <f>'2. Consolidated'!M122</f>
        <v>1667.9</v>
      </c>
      <c r="N317" s="267">
        <f>'2. Consolidated'!N122</f>
        <v>1878.7000000000007</v>
      </c>
      <c r="O317" s="267">
        <f>'2. Consolidated'!O122</f>
        <v>1936.3000000000002</v>
      </c>
      <c r="P317" s="443">
        <f>'2. Consolidated'!P122</f>
        <v>1736.0999999999983</v>
      </c>
      <c r="Q317" s="267">
        <f>'2. Consolidated'!Q122</f>
        <v>3164.2000000000012</v>
      </c>
      <c r="R317" s="443"/>
      <c r="S317" s="443"/>
      <c r="T317" s="443"/>
      <c r="U317" s="443"/>
      <c r="V317" s="267">
        <f>'2. Consolidated'!V122</f>
        <v>1812</v>
      </c>
      <c r="W317" s="443"/>
      <c r="X317" s="443"/>
      <c r="Y317" s="443"/>
      <c r="Z317" s="443"/>
      <c r="AA317" s="267">
        <f>'2. Consolidated'!AA122</f>
        <v>1899</v>
      </c>
      <c r="AB317" s="267"/>
      <c r="AC317" s="443"/>
      <c r="AD317" s="443"/>
      <c r="AE317" s="443"/>
      <c r="AF317" s="443"/>
      <c r="AG317" s="267">
        <f>'2. Consolidated'!AG122</f>
        <v>3027</v>
      </c>
      <c r="AH317" s="443"/>
      <c r="AI317" s="443"/>
      <c r="AJ317" s="443"/>
      <c r="AK317" s="443"/>
      <c r="AL317" s="267">
        <f>'2. Consolidated'!AL122</f>
        <v>3003</v>
      </c>
      <c r="AM317" s="443"/>
      <c r="AN317" s="443"/>
      <c r="AO317" s="443"/>
      <c r="AP317" s="443"/>
      <c r="AQ317" s="267">
        <f>'2. Consolidated'!AQ122</f>
        <v>4680</v>
      </c>
      <c r="AR317" s="443"/>
      <c r="AS317" s="443"/>
      <c r="AT317" s="443"/>
      <c r="AU317" s="443"/>
      <c r="AV317" s="267">
        <f>'2. Consolidated'!AV122</f>
        <v>3096</v>
      </c>
      <c r="AW317" s="443"/>
      <c r="AX317" s="443"/>
      <c r="AY317" s="443"/>
      <c r="AZ317" s="443"/>
      <c r="BA317" s="267">
        <f>'2. Consolidated'!BA122</f>
        <v>3640</v>
      </c>
      <c r="BB317" s="443"/>
      <c r="BC317" s="443"/>
      <c r="BD317" s="443"/>
      <c r="BE317" s="443"/>
      <c r="BF317" s="267">
        <f>'2. Consolidated'!BF122</f>
        <v>4955</v>
      </c>
      <c r="BG317" s="443"/>
      <c r="BH317" s="443"/>
      <c r="BI317" s="443"/>
      <c r="BJ317" s="443"/>
      <c r="BK317" s="267">
        <f>'2. Consolidated'!BK122</f>
        <v>5903</v>
      </c>
      <c r="BL317" s="443"/>
      <c r="BM317" s="443"/>
      <c r="BN317" s="443"/>
      <c r="BO317" s="443"/>
      <c r="BP317" s="267">
        <f>'2. Consolidated'!BP122</f>
        <v>2485</v>
      </c>
      <c r="BQ317" s="443"/>
      <c r="BR317" s="443"/>
      <c r="BS317" s="443"/>
      <c r="BT317" s="443"/>
      <c r="BU317" s="267">
        <f>'2. Consolidated'!BU122</f>
        <v>6657</v>
      </c>
      <c r="BV317" s="443"/>
      <c r="BW317" s="443"/>
      <c r="BX317" s="443"/>
      <c r="BY317" s="443"/>
      <c r="BZ317" s="267">
        <f>'2. Consolidated'!BZ122</f>
        <v>5188</v>
      </c>
      <c r="CA317" s="443"/>
      <c r="CB317" s="443"/>
      <c r="CC317" s="443"/>
      <c r="CD317" s="443"/>
      <c r="CE317" s="267">
        <f>'2. Consolidated'!CE122</f>
        <v>5841</v>
      </c>
      <c r="CF317" s="443"/>
      <c r="CG317" s="443"/>
      <c r="CH317" s="443"/>
      <c r="CI317" s="443"/>
      <c r="CJ317" s="267">
        <f>'2. Consolidated'!CJ122</f>
        <v>7429</v>
      </c>
      <c r="CK317" s="443"/>
      <c r="CL317" s="443"/>
      <c r="CM317" s="443"/>
      <c r="CN317" s="443"/>
      <c r="CO317" s="267">
        <f>'2. Consolidated'!CO122</f>
        <v>3698</v>
      </c>
      <c r="CP317" s="443"/>
      <c r="CQ317" s="443"/>
      <c r="CR317" s="443"/>
      <c r="CS317" s="443"/>
      <c r="CT317" s="267">
        <f>'2. Consolidated'!CT122</f>
        <v>2712.0050000000001</v>
      </c>
      <c r="CU317" s="443"/>
      <c r="CV317" s="443"/>
      <c r="CW317" s="443"/>
      <c r="CX317" s="443"/>
      <c r="CY317" s="267">
        <f>'2. Consolidated'!CY122</f>
        <v>2399.1678911608933</v>
      </c>
      <c r="CZ317" s="443"/>
      <c r="DA317" s="443"/>
      <c r="DB317" s="443"/>
      <c r="DC317" s="443"/>
      <c r="DD317" s="267">
        <f>'2. Consolidated'!DD122</f>
        <v>3178.9914424748986</v>
      </c>
      <c r="DE317" s="443"/>
      <c r="DF317" s="443"/>
      <c r="DG317" s="443"/>
      <c r="DH317" s="443"/>
      <c r="DI317" s="267">
        <f>'2. Consolidated'!DI122</f>
        <v>2979.219974316853</v>
      </c>
    </row>
    <row r="318" spans="1:113" s="117" customFormat="1" ht="12" customHeight="1">
      <c r="A318" s="239"/>
      <c r="B318" s="450" t="s">
        <v>154</v>
      </c>
      <c r="C318" s="443"/>
      <c r="D318" s="267">
        <f>-'2. Consolidated'!D119</f>
        <v>593.89999999999986</v>
      </c>
      <c r="E318" s="443">
        <f>-'2. Consolidated'!E119</f>
        <v>60.999999999999993</v>
      </c>
      <c r="F318" s="267">
        <f>-'2. Consolidated'!F119</f>
        <v>-214.9</v>
      </c>
      <c r="G318" s="443">
        <f>-'2. Consolidated'!G119</f>
        <v>79.599999999999994</v>
      </c>
      <c r="H318" s="267">
        <f>-'2. Consolidated'!H119</f>
        <v>259.5</v>
      </c>
      <c r="I318" s="443">
        <f>-'2. Consolidated'!I119</f>
        <v>-112.50000000000003</v>
      </c>
      <c r="J318" s="267">
        <f>-'2. Consolidated'!J119</f>
        <v>148.10000000000002</v>
      </c>
      <c r="K318" s="443">
        <f>-'2. Consolidated'!K119</f>
        <v>-193.2</v>
      </c>
      <c r="L318" s="267">
        <f>-'2. Consolidated'!L119</f>
        <v>13</v>
      </c>
      <c r="M318" s="443">
        <f>-'2. Consolidated'!M119</f>
        <v>43.199999999999989</v>
      </c>
      <c r="N318" s="267">
        <f>-'2. Consolidated'!N119</f>
        <v>64.799999999999983</v>
      </c>
      <c r="O318" s="267">
        <f>-'2. Consolidated'!O119</f>
        <v>48.400000000000034</v>
      </c>
      <c r="P318" s="443">
        <f>-'2. Consolidated'!P119</f>
        <v>411.70000000000005</v>
      </c>
      <c r="Q318" s="267">
        <f>-'2. Consolidated'!Q119</f>
        <v>-694.7</v>
      </c>
      <c r="R318" s="443"/>
      <c r="S318" s="443"/>
      <c r="T318" s="443"/>
      <c r="U318" s="443"/>
      <c r="V318" s="267">
        <f>-'2. Consolidated'!V119</f>
        <v>708</v>
      </c>
      <c r="W318" s="443"/>
      <c r="X318" s="443"/>
      <c r="Y318" s="443"/>
      <c r="Z318" s="443"/>
      <c r="AA318" s="267">
        <f>-'2. Consolidated'!AA119</f>
        <v>799</v>
      </c>
      <c r="AB318" s="267"/>
      <c r="AC318" s="443"/>
      <c r="AD318" s="443"/>
      <c r="AE318" s="443"/>
      <c r="AF318" s="443"/>
      <c r="AG318" s="267">
        <f>-'2. Consolidated'!AG119</f>
        <v>42</v>
      </c>
      <c r="AH318" s="443"/>
      <c r="AI318" s="443"/>
      <c r="AJ318" s="443"/>
      <c r="AK318" s="443"/>
      <c r="AL318" s="267">
        <f>-'2. Consolidated'!AL119</f>
        <v>488</v>
      </c>
      <c r="AM318" s="443"/>
      <c r="AN318" s="443"/>
      <c r="AO318" s="443"/>
      <c r="AP318" s="443"/>
      <c r="AQ318" s="267">
        <f>-'2. Consolidated'!AQ119</f>
        <v>-256</v>
      </c>
      <c r="AR318" s="443"/>
      <c r="AS318" s="443"/>
      <c r="AT318" s="443"/>
      <c r="AU318" s="443"/>
      <c r="AV318" s="267">
        <f>-'2. Consolidated'!AV119</f>
        <v>1580</v>
      </c>
      <c r="AW318" s="443"/>
      <c r="AX318" s="443"/>
      <c r="AY318" s="443"/>
      <c r="AZ318" s="443"/>
      <c r="BA318" s="267">
        <f>-'2. Consolidated'!BA119</f>
        <v>1141</v>
      </c>
      <c r="BB318" s="443"/>
      <c r="BC318" s="443"/>
      <c r="BD318" s="443"/>
      <c r="BE318" s="443"/>
      <c r="BF318" s="267">
        <f>-'2. Consolidated'!BF119</f>
        <v>-1482</v>
      </c>
      <c r="BG318" s="443"/>
      <c r="BH318" s="443"/>
      <c r="BI318" s="443"/>
      <c r="BJ318" s="443"/>
      <c r="BK318" s="267">
        <f>-'2. Consolidated'!BK119</f>
        <v>-562</v>
      </c>
      <c r="BL318" s="443"/>
      <c r="BM318" s="443"/>
      <c r="BN318" s="443"/>
      <c r="BO318" s="443"/>
      <c r="BP318" s="267">
        <f>-'2. Consolidated'!BP119</f>
        <v>1245</v>
      </c>
      <c r="BQ318" s="443"/>
      <c r="BR318" s="443"/>
      <c r="BS318" s="443"/>
      <c r="BT318" s="443"/>
      <c r="BU318" s="267">
        <f>-'2. Consolidated'!BU119</f>
        <v>-45</v>
      </c>
      <c r="BV318" s="443"/>
      <c r="BW318" s="443"/>
      <c r="BX318" s="443"/>
      <c r="BY318" s="443"/>
      <c r="BZ318" s="267">
        <f>-'2. Consolidated'!BZ119</f>
        <v>1660</v>
      </c>
      <c r="CA318" s="443"/>
      <c r="CB318" s="443"/>
      <c r="CC318" s="443"/>
      <c r="CD318" s="443"/>
      <c r="CE318" s="267">
        <f>-'2. Consolidated'!CE119</f>
        <v>513</v>
      </c>
      <c r="CF318" s="443"/>
      <c r="CG318" s="443"/>
      <c r="CH318" s="443"/>
      <c r="CI318" s="443"/>
      <c r="CJ318" s="267">
        <f>-'2. Consolidated'!CJ119</f>
        <v>-716</v>
      </c>
      <c r="CK318" s="443"/>
      <c r="CL318" s="443"/>
      <c r="CM318" s="443"/>
      <c r="CN318" s="443"/>
      <c r="CO318" s="267">
        <f>-'2. Consolidated'!CO119</f>
        <v>787</v>
      </c>
      <c r="CP318" s="443"/>
      <c r="CQ318" s="443"/>
      <c r="CR318" s="443"/>
      <c r="CS318" s="443"/>
      <c r="CT318" s="267">
        <f>-'2. Consolidated'!CT119</f>
        <v>1534</v>
      </c>
      <c r="CU318" s="443"/>
      <c r="CV318" s="443"/>
      <c r="CW318" s="443"/>
      <c r="CX318" s="443"/>
      <c r="CY318" s="267">
        <f>-'2. Consolidated'!CY119</f>
        <v>404.27461206126827</v>
      </c>
      <c r="CZ318" s="443"/>
      <c r="DA318" s="443"/>
      <c r="DB318" s="443"/>
      <c r="DC318" s="443"/>
      <c r="DD318" s="267">
        <f>-'2. Consolidated'!DD119</f>
        <v>-288.75392111816291</v>
      </c>
      <c r="DE318" s="443"/>
      <c r="DF318" s="443"/>
      <c r="DG318" s="443"/>
      <c r="DH318" s="443"/>
      <c r="DI318" s="267">
        <f>-'2. Consolidated'!DI119</f>
        <v>133.44452271854334</v>
      </c>
    </row>
    <row r="319" spans="1:113" s="117" customFormat="1" ht="12" customHeight="1">
      <c r="A319" s="239"/>
      <c r="B319" s="450" t="s">
        <v>72</v>
      </c>
      <c r="C319" s="443"/>
      <c r="D319" s="267">
        <f t="shared" ref="D319:Q319" si="739">D300</f>
        <v>51.992984708412934</v>
      </c>
      <c r="E319" s="443">
        <f t="shared" si="739"/>
        <v>54.650932311621936</v>
      </c>
      <c r="F319" s="267">
        <f t="shared" si="739"/>
        <v>41.16582406471187</v>
      </c>
      <c r="G319" s="443">
        <f t="shared" si="739"/>
        <v>42.897480091633042</v>
      </c>
      <c r="H319" s="267">
        <f t="shared" si="739"/>
        <v>59.45277325518289</v>
      </c>
      <c r="I319" s="443">
        <f t="shared" si="739"/>
        <v>33.240912218617908</v>
      </c>
      <c r="J319" s="267">
        <f t="shared" si="739"/>
        <v>72.230596616206583</v>
      </c>
      <c r="K319" s="443">
        <f t="shared" si="739"/>
        <v>65.018151724137923</v>
      </c>
      <c r="L319" s="267">
        <f t="shared" si="739"/>
        <v>22.084761802344332</v>
      </c>
      <c r="M319" s="443">
        <f t="shared" si="739"/>
        <v>-21.059394844975717</v>
      </c>
      <c r="N319" s="267">
        <f t="shared" si="739"/>
        <v>-46.170803218328125</v>
      </c>
      <c r="O319" s="267">
        <f t="shared" si="739"/>
        <v>-30.277965964671179</v>
      </c>
      <c r="P319" s="443">
        <f t="shared" si="739"/>
        <v>-6.9660764768097758</v>
      </c>
      <c r="Q319" s="267">
        <f t="shared" si="739"/>
        <v>4.7726210814891346</v>
      </c>
      <c r="R319" s="443"/>
      <c r="S319" s="443"/>
      <c r="T319" s="443"/>
      <c r="U319" s="443"/>
      <c r="V319" s="267">
        <f>V300</f>
        <v>3</v>
      </c>
      <c r="W319" s="443"/>
      <c r="X319" s="443"/>
      <c r="Y319" s="443"/>
      <c r="Z319" s="443"/>
      <c r="AA319" s="267">
        <f>AA300</f>
        <v>2.2356687898089174</v>
      </c>
      <c r="AB319" s="267"/>
      <c r="AC319" s="443"/>
      <c r="AD319" s="443"/>
      <c r="AE319" s="443"/>
      <c r="AF319" s="443"/>
      <c r="AG319" s="267">
        <f>AG300</f>
        <v>-2.2582923832923831</v>
      </c>
      <c r="AH319" s="443"/>
      <c r="AI319" s="443"/>
      <c r="AJ319" s="443"/>
      <c r="AK319" s="443"/>
      <c r="AL319" s="267">
        <f>AL300</f>
        <v>25.075902934537243</v>
      </c>
      <c r="AM319" s="443"/>
      <c r="AN319" s="443"/>
      <c r="AO319" s="443"/>
      <c r="AP319" s="443"/>
      <c r="AQ319" s="267">
        <f>AQ300</f>
        <v>21.794054696789537</v>
      </c>
      <c r="AR319" s="443"/>
      <c r="AS319" s="443"/>
      <c r="AT319" s="443"/>
      <c r="AU319" s="443"/>
      <c r="AV319" s="267">
        <f>AV300</f>
        <v>15.453168937919099</v>
      </c>
      <c r="AW319" s="443"/>
      <c r="AX319" s="443"/>
      <c r="AY319" s="443"/>
      <c r="AZ319" s="443"/>
      <c r="BA319" s="267">
        <f>BA300</f>
        <v>51.199345067539909</v>
      </c>
      <c r="BB319" s="443"/>
      <c r="BC319" s="443"/>
      <c r="BD319" s="443"/>
      <c r="BE319" s="443"/>
      <c r="BF319" s="267">
        <f>BF300</f>
        <v>49.480231213872834</v>
      </c>
      <c r="BG319" s="443"/>
      <c r="BH319" s="443"/>
      <c r="BI319" s="443"/>
      <c r="BJ319" s="443"/>
      <c r="BK319" s="267">
        <f>BK300</f>
        <v>41.120808164965638</v>
      </c>
      <c r="BL319" s="443"/>
      <c r="BM319" s="443"/>
      <c r="BN319" s="443"/>
      <c r="BO319" s="443"/>
      <c r="BP319" s="267">
        <f>BP300</f>
        <v>79.577426224520835</v>
      </c>
      <c r="BQ319" s="443"/>
      <c r="BR319" s="443"/>
      <c r="BS319" s="443"/>
      <c r="BT319" s="443"/>
      <c r="BU319" s="267">
        <f>BU300</f>
        <v>225.26257318720911</v>
      </c>
      <c r="BV319" s="443"/>
      <c r="BW319" s="443"/>
      <c r="BX319" s="443"/>
      <c r="BY319" s="443"/>
      <c r="BZ319" s="267">
        <f>BZ300</f>
        <v>186.35242820628477</v>
      </c>
      <c r="CA319" s="443"/>
      <c r="CB319" s="443"/>
      <c r="CC319" s="443"/>
      <c r="CD319" s="443"/>
      <c r="CE319" s="267">
        <f>CE300</f>
        <v>-4.9056603773584904</v>
      </c>
      <c r="CF319" s="443"/>
      <c r="CG319" s="443"/>
      <c r="CH319" s="443"/>
      <c r="CI319" s="443"/>
      <c r="CJ319" s="267">
        <f>CJ300</f>
        <v>-136.40935181296376</v>
      </c>
      <c r="CK319" s="443"/>
      <c r="CL319" s="443"/>
      <c r="CM319" s="443"/>
      <c r="CN319" s="443"/>
      <c r="CO319" s="267">
        <f>CO300</f>
        <v>-88.657142857142844</v>
      </c>
      <c r="CP319" s="443"/>
      <c r="CQ319" s="443"/>
      <c r="CR319" s="443"/>
      <c r="CS319" s="443"/>
      <c r="CT319" s="267">
        <f>CT300</f>
        <v>-39.846153846153847</v>
      </c>
      <c r="CU319" s="443"/>
      <c r="CV319" s="443"/>
      <c r="CW319" s="443"/>
      <c r="CX319" s="443"/>
      <c r="CY319" s="267">
        <f>CY300</f>
        <v>-32.661748170825994</v>
      </c>
      <c r="CZ319" s="443"/>
      <c r="DA319" s="443"/>
      <c r="DB319" s="443"/>
      <c r="DC319" s="443"/>
      <c r="DD319" s="267">
        <f>DD300</f>
        <v>-29.993400000000001</v>
      </c>
      <c r="DE319" s="443"/>
      <c r="DF319" s="443"/>
      <c r="DG319" s="443"/>
      <c r="DH319" s="443"/>
      <c r="DI319" s="267">
        <f>DI300</f>
        <v>-30.388050000000003</v>
      </c>
    </row>
    <row r="320" spans="1:113" s="117" customFormat="1" ht="12" customHeight="1">
      <c r="A320" s="239"/>
      <c r="B320" s="450" t="s">
        <v>148</v>
      </c>
      <c r="C320" s="443"/>
      <c r="D320" s="267">
        <f t="shared" ref="D320:Q320" si="740">D301</f>
        <v>0</v>
      </c>
      <c r="E320" s="443">
        <f t="shared" si="740"/>
        <v>0</v>
      </c>
      <c r="F320" s="267">
        <f t="shared" si="740"/>
        <v>0</v>
      </c>
      <c r="G320" s="443">
        <f t="shared" si="740"/>
        <v>0</v>
      </c>
      <c r="H320" s="267">
        <f t="shared" si="740"/>
        <v>0</v>
      </c>
      <c r="I320" s="443">
        <f t="shared" si="740"/>
        <v>0</v>
      </c>
      <c r="J320" s="267">
        <f t="shared" si="740"/>
        <v>0</v>
      </c>
      <c r="K320" s="443">
        <f t="shared" si="740"/>
        <v>134.99255172413794</v>
      </c>
      <c r="L320" s="267">
        <f t="shared" si="740"/>
        <v>151.79202064738141</v>
      </c>
      <c r="M320" s="443">
        <f t="shared" si="740"/>
        <v>163.79529323870003</v>
      </c>
      <c r="N320" s="267">
        <f t="shared" si="740"/>
        <v>193.22582844674761</v>
      </c>
      <c r="O320" s="267">
        <f t="shared" si="740"/>
        <v>259.09503213549459</v>
      </c>
      <c r="P320" s="443">
        <f t="shared" si="740"/>
        <v>291.10866960984015</v>
      </c>
      <c r="Q320" s="267">
        <f t="shared" si="740"/>
        <v>315.14450315864758</v>
      </c>
      <c r="R320" s="443"/>
      <c r="S320" s="443"/>
      <c r="T320" s="443"/>
      <c r="U320" s="443"/>
      <c r="V320" s="267">
        <f>V301</f>
        <v>334.5</v>
      </c>
      <c r="W320" s="443"/>
      <c r="X320" s="443"/>
      <c r="Y320" s="443"/>
      <c r="Z320" s="443"/>
      <c r="AA320" s="267">
        <f>AA301</f>
        <v>321.19108280254778</v>
      </c>
      <c r="AB320" s="267"/>
      <c r="AC320" s="443"/>
      <c r="AD320" s="443"/>
      <c r="AE320" s="443"/>
      <c r="AF320" s="443"/>
      <c r="AG320" s="267">
        <f>AG301</f>
        <v>362.83230958230956</v>
      </c>
      <c r="AH320" s="443"/>
      <c r="AI320" s="443"/>
      <c r="AJ320" s="443"/>
      <c r="AK320" s="443"/>
      <c r="AL320" s="267">
        <f>AL301</f>
        <v>405.01382618510155</v>
      </c>
      <c r="AM320" s="443"/>
      <c r="AN320" s="443"/>
      <c r="AO320" s="443"/>
      <c r="AP320" s="443"/>
      <c r="AQ320" s="267">
        <f>AQ301</f>
        <v>462.34530321046373</v>
      </c>
      <c r="AR320" s="443"/>
      <c r="AS320" s="443"/>
      <c r="AT320" s="443"/>
      <c r="AU320" s="443"/>
      <c r="AV320" s="267">
        <f>AV301</f>
        <v>537.60761410339603</v>
      </c>
      <c r="AW320" s="443"/>
      <c r="AX320" s="443"/>
      <c r="AY320" s="443"/>
      <c r="AZ320" s="443"/>
      <c r="BA320" s="267">
        <f>BA301</f>
        <v>634.35120753172328</v>
      </c>
      <c r="BB320" s="443"/>
      <c r="BC320" s="443"/>
      <c r="BD320" s="443"/>
      <c r="BE320" s="443"/>
      <c r="BF320" s="267">
        <f>BF301</f>
        <v>751.36647398843934</v>
      </c>
      <c r="BG320" s="443"/>
      <c r="BH320" s="443"/>
      <c r="BI320" s="443"/>
      <c r="BJ320" s="443"/>
      <c r="BK320" s="267">
        <f>BK301</f>
        <v>695.69693813788797</v>
      </c>
      <c r="BL320" s="443"/>
      <c r="BM320" s="443"/>
      <c r="BN320" s="443"/>
      <c r="BO320" s="443"/>
      <c r="BP320" s="267">
        <f>BP301</f>
        <v>810.08031639793126</v>
      </c>
      <c r="BQ320" s="443"/>
      <c r="BR320" s="443"/>
      <c r="BS320" s="443"/>
      <c r="BT320" s="443"/>
      <c r="BU320" s="267">
        <f>BU301</f>
        <v>804.75484161537304</v>
      </c>
      <c r="BV320" s="443"/>
      <c r="BW320" s="443"/>
      <c r="BX320" s="443"/>
      <c r="BY320" s="443"/>
      <c r="BZ320" s="267">
        <f>BZ301</f>
        <v>871.76574951135171</v>
      </c>
      <c r="CA320" s="443"/>
      <c r="CB320" s="443"/>
      <c r="CC320" s="443"/>
      <c r="CD320" s="443"/>
      <c r="CE320" s="267">
        <f>CE301</f>
        <v>807.79874213836479</v>
      </c>
      <c r="CF320" s="443"/>
      <c r="CG320" s="443"/>
      <c r="CH320" s="443"/>
      <c r="CI320" s="443"/>
      <c r="CJ320" s="267">
        <f>CJ301</f>
        <v>890.47347053058945</v>
      </c>
      <c r="CK320" s="443"/>
      <c r="CL320" s="443"/>
      <c r="CM320" s="443"/>
      <c r="CN320" s="443"/>
      <c r="CO320" s="267">
        <f>CO301</f>
        <v>907.28571428571422</v>
      </c>
      <c r="CP320" s="443"/>
      <c r="CQ320" s="443"/>
      <c r="CR320" s="443"/>
      <c r="CS320" s="443"/>
      <c r="CT320" s="267">
        <f>CT301</f>
        <v>913.27384615384619</v>
      </c>
      <c r="CU320" s="443"/>
      <c r="CV320" s="443"/>
      <c r="CW320" s="443"/>
      <c r="CX320" s="443"/>
      <c r="CY320" s="267">
        <f>CY301</f>
        <v>944.37110568865512</v>
      </c>
      <c r="CZ320" s="443"/>
      <c r="DA320" s="443"/>
      <c r="DB320" s="443"/>
      <c r="DC320" s="443"/>
      <c r="DD320" s="267">
        <f>DD301</f>
        <v>1053.8616000000002</v>
      </c>
      <c r="DE320" s="443"/>
      <c r="DF320" s="443"/>
      <c r="DG320" s="443"/>
      <c r="DH320" s="443"/>
      <c r="DI320" s="267">
        <f>DI301</f>
        <v>1174.5010200000004</v>
      </c>
    </row>
    <row r="321" spans="1:113" s="4" customFormat="1" ht="12" customHeight="1">
      <c r="A321" s="219"/>
      <c r="B321" s="449"/>
      <c r="C321" s="414"/>
      <c r="D321" s="481" t="s">
        <v>4</v>
      </c>
      <c r="E321" s="414" t="s">
        <v>4</v>
      </c>
      <c r="F321" s="481" t="s">
        <v>4</v>
      </c>
      <c r="G321" s="414" t="s">
        <v>4</v>
      </c>
      <c r="H321" s="481" t="s">
        <v>4</v>
      </c>
      <c r="I321" s="414" t="s">
        <v>4</v>
      </c>
      <c r="J321" s="481" t="s">
        <v>4</v>
      </c>
      <c r="K321" s="414" t="s">
        <v>4</v>
      </c>
      <c r="L321" s="481" t="s">
        <v>4</v>
      </c>
      <c r="M321" s="414" t="s">
        <v>4</v>
      </c>
      <c r="N321" s="481" t="s">
        <v>4</v>
      </c>
      <c r="O321" s="481" t="s">
        <v>4</v>
      </c>
      <c r="P321" s="414" t="s">
        <v>4</v>
      </c>
      <c r="Q321" s="481" t="s">
        <v>4</v>
      </c>
      <c r="R321" s="414"/>
      <c r="S321" s="414"/>
      <c r="T321" s="414"/>
      <c r="U321" s="414"/>
      <c r="V321" s="481" t="s">
        <v>4</v>
      </c>
      <c r="W321" s="414"/>
      <c r="X321" s="414"/>
      <c r="Y321" s="414"/>
      <c r="Z321" s="414"/>
      <c r="AA321" s="481" t="s">
        <v>4</v>
      </c>
      <c r="AB321" s="481"/>
      <c r="AC321" s="414"/>
      <c r="AD321" s="414"/>
      <c r="AE321" s="414"/>
      <c r="AF321" s="414"/>
      <c r="AG321" s="481" t="s">
        <v>4</v>
      </c>
      <c r="AH321" s="414"/>
      <c r="AI321" s="414"/>
      <c r="AJ321" s="414"/>
      <c r="AK321" s="414"/>
      <c r="AL321" s="481" t="s">
        <v>4</v>
      </c>
      <c r="AM321" s="414"/>
      <c r="AN321" s="414"/>
      <c r="AO321" s="414"/>
      <c r="AP321" s="414"/>
      <c r="AQ321" s="481" t="s">
        <v>4</v>
      </c>
      <c r="AR321" s="414"/>
      <c r="AS321" s="414"/>
      <c r="AT321" s="414"/>
      <c r="AU321" s="414"/>
      <c r="AV321" s="481" t="s">
        <v>4</v>
      </c>
      <c r="AW321" s="414"/>
      <c r="AX321" s="414"/>
      <c r="AY321" s="414"/>
      <c r="AZ321" s="414"/>
      <c r="BA321" s="481" t="s">
        <v>4</v>
      </c>
      <c r="BB321" s="414"/>
      <c r="BC321" s="414"/>
      <c r="BD321" s="414"/>
      <c r="BE321" s="414"/>
      <c r="BF321" s="481" t="s">
        <v>4</v>
      </c>
      <c r="BG321" s="414"/>
      <c r="BH321" s="414"/>
      <c r="BI321" s="414"/>
      <c r="BJ321" s="414"/>
      <c r="BK321" s="481" t="s">
        <v>4</v>
      </c>
      <c r="BL321" s="414"/>
      <c r="BM321" s="414"/>
      <c r="BN321" s="414"/>
      <c r="BO321" s="414"/>
      <c r="BP321" s="481" t="s">
        <v>4</v>
      </c>
      <c r="BQ321" s="414"/>
      <c r="BR321" s="414"/>
      <c r="BS321" s="414"/>
      <c r="BT321" s="414"/>
      <c r="BU321" s="481" t="s">
        <v>4</v>
      </c>
      <c r="BV321" s="414"/>
      <c r="BW321" s="414"/>
      <c r="BX321" s="414"/>
      <c r="BY321" s="414"/>
      <c r="BZ321" s="481" t="s">
        <v>4</v>
      </c>
      <c r="CA321" s="414"/>
      <c r="CB321" s="414"/>
      <c r="CC321" s="414"/>
      <c r="CD321" s="414"/>
      <c r="CE321" s="481" t="s">
        <v>4</v>
      </c>
      <c r="CF321" s="414"/>
      <c r="CG321" s="414"/>
      <c r="CH321" s="414"/>
      <c r="CI321" s="414"/>
      <c r="CJ321" s="481" t="s">
        <v>4</v>
      </c>
      <c r="CK321" s="414"/>
      <c r="CL321" s="414"/>
      <c r="CM321" s="414"/>
      <c r="CN321" s="414"/>
      <c r="CO321" s="481" t="s">
        <v>4</v>
      </c>
      <c r="CP321" s="414"/>
      <c r="CQ321" s="414"/>
      <c r="CR321" s="414"/>
      <c r="CS321" s="414"/>
      <c r="CT321" s="481" t="s">
        <v>4</v>
      </c>
      <c r="CU321" s="414"/>
      <c r="CV321" s="414"/>
      <c r="CW321" s="414"/>
      <c r="CX321" s="414"/>
      <c r="CY321" s="481" t="s">
        <v>4</v>
      </c>
      <c r="CZ321" s="414"/>
      <c r="DA321" s="414"/>
      <c r="DB321" s="414"/>
      <c r="DC321" s="414"/>
      <c r="DD321" s="481" t="s">
        <v>4</v>
      </c>
      <c r="DE321" s="414"/>
      <c r="DF321" s="414"/>
      <c r="DG321" s="414"/>
      <c r="DH321" s="414"/>
      <c r="DI321" s="481" t="s">
        <v>4</v>
      </c>
    </row>
    <row r="322" spans="1:113" s="117" customFormat="1" ht="12" customHeight="1">
      <c r="A322" s="239"/>
      <c r="B322" s="450" t="s">
        <v>155</v>
      </c>
      <c r="C322" s="443"/>
      <c r="D322" s="267">
        <f t="shared" ref="D322:Q322" si="741">SUM(D317:D320)</f>
        <v>969.05298470841353</v>
      </c>
      <c r="E322" s="443">
        <f t="shared" si="741"/>
        <v>633.15093231162075</v>
      </c>
      <c r="F322" s="267">
        <f t="shared" si="741"/>
        <v>787.26582406471334</v>
      </c>
      <c r="G322" s="443">
        <f t="shared" si="741"/>
        <v>882.3974800916335</v>
      </c>
      <c r="H322" s="267">
        <f t="shared" si="741"/>
        <v>975.45277325518282</v>
      </c>
      <c r="I322" s="443">
        <f t="shared" si="741"/>
        <v>1002.240912218618</v>
      </c>
      <c r="J322" s="267">
        <f t="shared" si="741"/>
        <v>1137.7305966162066</v>
      </c>
      <c r="K322" s="443">
        <f t="shared" si="741"/>
        <v>1525.3107034482759</v>
      </c>
      <c r="L322" s="267">
        <f t="shared" si="741"/>
        <v>1757.5767824497243</v>
      </c>
      <c r="M322" s="443">
        <f t="shared" si="741"/>
        <v>1853.8358983937244</v>
      </c>
      <c r="N322" s="267">
        <f t="shared" si="741"/>
        <v>2090.5550252284202</v>
      </c>
      <c r="O322" s="267">
        <f t="shared" si="741"/>
        <v>2213.5170661708235</v>
      </c>
      <c r="P322" s="443">
        <f t="shared" si="741"/>
        <v>2431.9425931330288</v>
      </c>
      <c r="Q322" s="267">
        <f t="shared" si="741"/>
        <v>2789.4171242401376</v>
      </c>
      <c r="R322" s="443"/>
      <c r="S322" s="443"/>
      <c r="T322" s="443"/>
      <c r="U322" s="443"/>
      <c r="V322" s="267">
        <f>SUM(V317:V320)</f>
        <v>2857.5</v>
      </c>
      <c r="W322" s="443"/>
      <c r="X322" s="443"/>
      <c r="Y322" s="443"/>
      <c r="Z322" s="443"/>
      <c r="AA322" s="267">
        <f>SUM(AA317:AA320)</f>
        <v>3021.426751592357</v>
      </c>
      <c r="AB322" s="267"/>
      <c r="AC322" s="443"/>
      <c r="AD322" s="443"/>
      <c r="AE322" s="443"/>
      <c r="AF322" s="443"/>
      <c r="AG322" s="267">
        <f>SUM(AG317:AG320)</f>
        <v>3429.5740171990174</v>
      </c>
      <c r="AH322" s="443"/>
      <c r="AI322" s="443"/>
      <c r="AJ322" s="443"/>
      <c r="AK322" s="443"/>
      <c r="AL322" s="267">
        <f>SUM(AL317:AL320)</f>
        <v>3921.0897291196388</v>
      </c>
      <c r="AM322" s="443"/>
      <c r="AN322" s="443"/>
      <c r="AO322" s="443"/>
      <c r="AP322" s="443"/>
      <c r="AQ322" s="267">
        <f>SUM(AQ317:AQ320)</f>
        <v>4908.1393579072528</v>
      </c>
      <c r="AR322" s="443"/>
      <c r="AS322" s="443"/>
      <c r="AT322" s="443"/>
      <c r="AU322" s="443"/>
      <c r="AV322" s="267">
        <f>SUM(AV317:AV320)</f>
        <v>5229.0607830413155</v>
      </c>
      <c r="AW322" s="443"/>
      <c r="AX322" s="443"/>
      <c r="AY322" s="443"/>
      <c r="AZ322" s="443"/>
      <c r="BA322" s="267">
        <f>SUM(BA317:BA320)</f>
        <v>5466.550552599263</v>
      </c>
      <c r="BB322" s="443"/>
      <c r="BC322" s="443"/>
      <c r="BD322" s="443"/>
      <c r="BE322" s="443"/>
      <c r="BF322" s="267">
        <f>SUM(BF317:BF320)</f>
        <v>4273.8467052023116</v>
      </c>
      <c r="BG322" s="443"/>
      <c r="BH322" s="443"/>
      <c r="BI322" s="443"/>
      <c r="BJ322" s="443"/>
      <c r="BK322" s="267">
        <f>SUM(BK317:BK320)</f>
        <v>6077.8177463028533</v>
      </c>
      <c r="BL322" s="443"/>
      <c r="BM322" s="443"/>
      <c r="BN322" s="443"/>
      <c r="BO322" s="443"/>
      <c r="BP322" s="267">
        <f>SUM(BP317:BP320)</f>
        <v>4619.6577426224521</v>
      </c>
      <c r="BQ322" s="443"/>
      <c r="BR322" s="443"/>
      <c r="BS322" s="443"/>
      <c r="BT322" s="443"/>
      <c r="BU322" s="267">
        <f>SUM(BU317:BU320)</f>
        <v>7642.0174148025826</v>
      </c>
      <c r="BV322" s="443"/>
      <c r="BW322" s="443"/>
      <c r="BX322" s="443"/>
      <c r="BY322" s="443"/>
      <c r="BZ322" s="267">
        <f>SUM(BZ317:BZ320)</f>
        <v>7906.1181777176362</v>
      </c>
      <c r="CA322" s="443"/>
      <c r="CB322" s="443"/>
      <c r="CC322" s="443"/>
      <c r="CD322" s="443"/>
      <c r="CE322" s="267">
        <f>SUM(CE317:CE320)</f>
        <v>7156.8930817610062</v>
      </c>
      <c r="CF322" s="443"/>
      <c r="CG322" s="443"/>
      <c r="CH322" s="443"/>
      <c r="CI322" s="443"/>
      <c r="CJ322" s="267">
        <f>SUM(CJ317:CJ320)</f>
        <v>7467.0641187176252</v>
      </c>
      <c r="CK322" s="443"/>
      <c r="CL322" s="443"/>
      <c r="CM322" s="443"/>
      <c r="CN322" s="443"/>
      <c r="CO322" s="267">
        <f>SUM(CO317:CO320)</f>
        <v>5303.6285714285714</v>
      </c>
      <c r="CP322" s="443"/>
      <c r="CQ322" s="443"/>
      <c r="CR322" s="443"/>
      <c r="CS322" s="443"/>
      <c r="CT322" s="267">
        <f>SUM(CT317:CT320)</f>
        <v>5119.4326923076924</v>
      </c>
      <c r="CU322" s="443"/>
      <c r="CV322" s="443"/>
      <c r="CW322" s="443"/>
      <c r="CX322" s="443"/>
      <c r="CY322" s="267">
        <f>SUM(CY317:CY320)</f>
        <v>3715.1518607399908</v>
      </c>
      <c r="CZ322" s="443"/>
      <c r="DA322" s="443"/>
      <c r="DB322" s="443"/>
      <c r="DC322" s="443"/>
      <c r="DD322" s="267">
        <f>SUM(DD317:DD320)</f>
        <v>3914.105721356736</v>
      </c>
      <c r="DE322" s="443"/>
      <c r="DF322" s="443"/>
      <c r="DG322" s="443"/>
      <c r="DH322" s="443"/>
      <c r="DI322" s="267">
        <f>SUM(DI317:DI320)</f>
        <v>4256.7774670353965</v>
      </c>
    </row>
    <row r="323" spans="1:113" s="4" customFormat="1" ht="12" customHeight="1">
      <c r="A323" s="219"/>
      <c r="B323" s="449"/>
      <c r="C323" s="501"/>
      <c r="D323" s="502"/>
      <c r="E323" s="501"/>
      <c r="F323" s="502"/>
      <c r="G323" s="501"/>
      <c r="H323" s="502"/>
      <c r="I323" s="501"/>
      <c r="J323" s="502"/>
      <c r="K323" s="501"/>
      <c r="L323" s="502"/>
      <c r="M323" s="501"/>
      <c r="N323" s="502"/>
      <c r="O323" s="502"/>
      <c r="P323" s="501"/>
      <c r="Q323" s="502"/>
      <c r="R323" s="501"/>
      <c r="S323" s="501"/>
      <c r="T323" s="501"/>
      <c r="U323" s="501"/>
      <c r="V323" s="502"/>
      <c r="W323" s="501"/>
      <c r="X323" s="501"/>
      <c r="Y323" s="501"/>
      <c r="Z323" s="501"/>
      <c r="AA323" s="502"/>
      <c r="AB323" s="502"/>
      <c r="AC323" s="501"/>
      <c r="AD323" s="501"/>
      <c r="AE323" s="501"/>
      <c r="AF323" s="501"/>
      <c r="AG323" s="502"/>
      <c r="AH323" s="501"/>
      <c r="AI323" s="501"/>
      <c r="AJ323" s="501"/>
      <c r="AK323" s="501"/>
      <c r="AL323" s="502"/>
      <c r="AM323" s="501"/>
      <c r="AN323" s="501"/>
      <c r="AO323" s="501"/>
      <c r="AP323" s="501"/>
      <c r="AQ323" s="502"/>
      <c r="AR323" s="501"/>
      <c r="AS323" s="501"/>
      <c r="AT323" s="501"/>
      <c r="AU323" s="501"/>
      <c r="AV323" s="502"/>
      <c r="AW323" s="501"/>
      <c r="AX323" s="501"/>
      <c r="AY323" s="501"/>
      <c r="AZ323" s="501"/>
      <c r="BA323" s="502"/>
      <c r="BB323" s="501"/>
      <c r="BC323" s="501"/>
      <c r="BD323" s="501"/>
      <c r="BE323" s="501"/>
      <c r="BF323" s="502"/>
      <c r="BG323" s="501"/>
      <c r="BH323" s="501"/>
      <c r="BI323" s="501"/>
      <c r="BJ323" s="501"/>
      <c r="BK323" s="502"/>
      <c r="BL323" s="501"/>
      <c r="BM323" s="501"/>
      <c r="BN323" s="501"/>
      <c r="BO323" s="501"/>
      <c r="BP323" s="502"/>
      <c r="BQ323" s="501"/>
      <c r="BR323" s="501"/>
      <c r="BS323" s="501"/>
      <c r="BT323" s="501"/>
      <c r="BU323" s="502"/>
      <c r="BV323" s="501"/>
      <c r="BW323" s="501"/>
      <c r="BX323" s="501"/>
      <c r="BY323" s="501"/>
      <c r="BZ323" s="502"/>
      <c r="CA323" s="501"/>
      <c r="CB323" s="501"/>
      <c r="CC323" s="501"/>
      <c r="CD323" s="501"/>
      <c r="CE323" s="502"/>
      <c r="CF323" s="501"/>
      <c r="CG323" s="501"/>
      <c r="CH323" s="501"/>
      <c r="CI323" s="501"/>
      <c r="CJ323" s="502"/>
      <c r="CK323" s="501"/>
      <c r="CL323" s="501"/>
      <c r="CM323" s="501"/>
      <c r="CN323" s="501"/>
      <c r="CO323" s="502"/>
      <c r="CP323" s="501"/>
      <c r="CQ323" s="501"/>
      <c r="CR323" s="501"/>
      <c r="CS323" s="501"/>
      <c r="CT323" s="502"/>
      <c r="CU323" s="501"/>
      <c r="CV323" s="501"/>
      <c r="CW323" s="501"/>
      <c r="CX323" s="501"/>
      <c r="CY323" s="502"/>
      <c r="CZ323" s="501"/>
      <c r="DA323" s="501"/>
      <c r="DB323" s="501"/>
      <c r="DC323" s="501"/>
      <c r="DD323" s="502"/>
      <c r="DE323" s="501"/>
      <c r="DF323" s="501"/>
      <c r="DG323" s="501"/>
      <c r="DH323" s="501"/>
      <c r="DI323" s="502"/>
    </row>
    <row r="324" spans="1:113" s="4" customFormat="1" ht="12" customHeight="1">
      <c r="A324" s="219"/>
      <c r="B324" s="465" t="s">
        <v>128</v>
      </c>
      <c r="C324" s="87"/>
      <c r="D324" s="14">
        <f t="shared" ref="D324:Q324" si="742">D322/D315</f>
        <v>0.24200168142125272</v>
      </c>
      <c r="E324" s="87">
        <f t="shared" si="742"/>
        <v>0.14898220074599866</v>
      </c>
      <c r="F324" s="14">
        <f t="shared" si="742"/>
        <v>0.17493973751692746</v>
      </c>
      <c r="G324" s="87">
        <f t="shared" si="742"/>
        <v>0.18533957973054849</v>
      </c>
      <c r="H324" s="14">
        <f t="shared" si="742"/>
        <v>0.18764297245289169</v>
      </c>
      <c r="I324" s="87">
        <f t="shared" si="742"/>
        <v>0.18516942067163136</v>
      </c>
      <c r="J324" s="14">
        <f t="shared" si="742"/>
        <v>0.20679195095844502</v>
      </c>
      <c r="K324" s="87">
        <f t="shared" si="742"/>
        <v>0.2290425956552806</v>
      </c>
      <c r="L324" s="14">
        <f t="shared" si="742"/>
        <v>0.21975790997549866</v>
      </c>
      <c r="M324" s="87">
        <f t="shared" si="742"/>
        <v>0.21843516278521205</v>
      </c>
      <c r="N324" s="14">
        <f t="shared" si="742"/>
        <v>0.23225270893925451</v>
      </c>
      <c r="O324" s="14">
        <f t="shared" si="742"/>
        <v>0.21831494572208809</v>
      </c>
      <c r="P324" s="87">
        <f t="shared" si="742"/>
        <v>0.21586949822764731</v>
      </c>
      <c r="Q324" s="14">
        <f t="shared" si="742"/>
        <v>0.24748731244838612</v>
      </c>
      <c r="R324" s="87"/>
      <c r="S324" s="87"/>
      <c r="T324" s="87"/>
      <c r="U324" s="87"/>
      <c r="V324" s="14">
        <f>V322/V315</f>
        <v>0.24264630956828911</v>
      </c>
      <c r="W324" s="87"/>
      <c r="X324" s="87"/>
      <c r="Y324" s="87"/>
      <c r="Z324" s="87"/>
      <c r="AA324" s="14">
        <f>AA322/AA315</f>
        <v>0.22798919083888752</v>
      </c>
      <c r="AB324" s="14"/>
      <c r="AC324" s="87"/>
      <c r="AD324" s="87"/>
      <c r="AE324" s="87"/>
      <c r="AF324" s="87"/>
      <c r="AG324" s="14">
        <f>AG322/AG315</f>
        <v>0.24266426216649101</v>
      </c>
      <c r="AH324" s="87"/>
      <c r="AI324" s="87"/>
      <c r="AJ324" s="87"/>
      <c r="AK324" s="87"/>
      <c r="AL324" s="14">
        <f>AL322/AL315</f>
        <v>0.26589067126328331</v>
      </c>
      <c r="AM324" s="87"/>
      <c r="AN324" s="87"/>
      <c r="AO324" s="87"/>
      <c r="AP324" s="87"/>
      <c r="AQ324" s="14">
        <f>AQ322/AQ315</f>
        <v>0.31434221582600569</v>
      </c>
      <c r="AR324" s="87"/>
      <c r="AS324" s="87"/>
      <c r="AT324" s="87"/>
      <c r="AU324" s="87"/>
      <c r="AV324" s="14">
        <f>AV322/AV315</f>
        <v>0.31103145271480581</v>
      </c>
      <c r="AW324" s="87"/>
      <c r="AX324" s="87"/>
      <c r="AY324" s="87"/>
      <c r="AZ324" s="87"/>
      <c r="BA324" s="14">
        <f>BA322/BA315</f>
        <v>0.29884108528627923</v>
      </c>
      <c r="BB324" s="87"/>
      <c r="BC324" s="87"/>
      <c r="BD324" s="87"/>
      <c r="BE324" s="87"/>
      <c r="BF324" s="14">
        <f>BF322/BF315</f>
        <v>0.21870617430608252</v>
      </c>
      <c r="BG324" s="87"/>
      <c r="BH324" s="87"/>
      <c r="BI324" s="87"/>
      <c r="BJ324" s="87"/>
      <c r="BK324" s="14">
        <f>BK322/BK315</f>
        <v>0.29891396971931605</v>
      </c>
      <c r="BL324" s="87"/>
      <c r="BM324" s="87"/>
      <c r="BN324" s="87"/>
      <c r="BO324" s="87"/>
      <c r="BP324" s="14">
        <f>BP322/BP315</f>
        <v>0.22142295121252198</v>
      </c>
      <c r="BQ324" s="87"/>
      <c r="BR324" s="87"/>
      <c r="BS324" s="87"/>
      <c r="BT324" s="87"/>
      <c r="BU324" s="14">
        <f>BU322/BU315</f>
        <v>0.3595820451618672</v>
      </c>
      <c r="BV324" s="87"/>
      <c r="BW324" s="87"/>
      <c r="BX324" s="87"/>
      <c r="BY324" s="87"/>
      <c r="BZ324" s="14">
        <f>BZ322/BZ315</f>
        <v>0.34718593789380098</v>
      </c>
      <c r="CA324" s="87"/>
      <c r="CB324" s="87"/>
      <c r="CC324" s="87"/>
      <c r="CD324" s="87"/>
      <c r="CE324" s="14">
        <f>CE322/CE315</f>
        <v>0.28705076032331317</v>
      </c>
      <c r="CF324" s="87"/>
      <c r="CG324" s="87"/>
      <c r="CH324" s="87"/>
      <c r="CI324" s="87"/>
      <c r="CJ324" s="14">
        <f>CJ322/CJ315</f>
        <v>0.28982549754376746</v>
      </c>
      <c r="CK324" s="87"/>
      <c r="CL324" s="87"/>
      <c r="CM324" s="87"/>
      <c r="CN324" s="87"/>
      <c r="CO324" s="14">
        <f>CO322/CO315</f>
        <v>0.20420955937964966</v>
      </c>
      <c r="CP324" s="87"/>
      <c r="CQ324" s="87"/>
      <c r="CR324" s="87"/>
      <c r="CS324" s="87"/>
      <c r="CT324" s="14">
        <f>CT322/CT315</f>
        <v>0.18763497626109413</v>
      </c>
      <c r="CU324" s="87"/>
      <c r="CV324" s="87"/>
      <c r="CW324" s="87"/>
      <c r="CX324" s="87"/>
      <c r="CY324" s="14">
        <f>CY322/CY315</f>
        <v>0.12582842514372009</v>
      </c>
      <c r="CZ324" s="87"/>
      <c r="DA324" s="87"/>
      <c r="DB324" s="87"/>
      <c r="DC324" s="87"/>
      <c r="DD324" s="14">
        <f>DD322/DD315</f>
        <v>0.12505354776458363</v>
      </c>
      <c r="DE324" s="87"/>
      <c r="DF324" s="87"/>
      <c r="DG324" s="87"/>
      <c r="DH324" s="87"/>
      <c r="DI324" s="14">
        <f>DI322/DI315</f>
        <v>0.12886951469303295</v>
      </c>
    </row>
    <row r="325" spans="1:113" s="4" customFormat="1" ht="12" customHeight="1">
      <c r="A325" s="219"/>
      <c r="B325" s="503"/>
      <c r="C325" s="501"/>
      <c r="D325" s="502"/>
      <c r="E325" s="501"/>
      <c r="F325" s="502"/>
      <c r="G325" s="501"/>
      <c r="H325" s="502"/>
      <c r="I325" s="501"/>
      <c r="J325" s="502"/>
      <c r="K325" s="501"/>
      <c r="L325" s="502"/>
      <c r="M325" s="501"/>
      <c r="N325" s="502"/>
      <c r="O325" s="502"/>
      <c r="P325" s="501"/>
      <c r="Q325" s="502"/>
      <c r="R325" s="501"/>
      <c r="S325" s="501"/>
      <c r="T325" s="501"/>
      <c r="U325" s="501"/>
      <c r="V325" s="502"/>
      <c r="W325" s="501"/>
      <c r="X325" s="501"/>
      <c r="Y325" s="501"/>
      <c r="Z325" s="501"/>
      <c r="AA325" s="502"/>
      <c r="AB325" s="502"/>
      <c r="AC325" s="501"/>
      <c r="AD325" s="501"/>
      <c r="AE325" s="501"/>
      <c r="AF325" s="501"/>
      <c r="AG325" s="502"/>
      <c r="AH325" s="501"/>
      <c r="AI325" s="501"/>
      <c r="AJ325" s="501"/>
      <c r="AK325" s="501"/>
      <c r="AL325" s="502"/>
      <c r="AM325" s="501"/>
      <c r="AN325" s="501"/>
      <c r="AO325" s="501"/>
      <c r="AP325" s="501"/>
      <c r="AQ325" s="502"/>
      <c r="AR325" s="501"/>
      <c r="AS325" s="501"/>
      <c r="AT325" s="501"/>
      <c r="AU325" s="501"/>
      <c r="AV325" s="502"/>
      <c r="AW325" s="501"/>
      <c r="AX325" s="501"/>
      <c r="AY325" s="501"/>
      <c r="AZ325" s="501"/>
      <c r="BA325" s="502"/>
      <c r="BB325" s="501"/>
      <c r="BC325" s="501"/>
      <c r="BD325" s="501"/>
      <c r="BE325" s="501"/>
      <c r="BF325" s="502"/>
      <c r="BG325" s="501"/>
      <c r="BH325" s="501"/>
      <c r="BI325" s="501"/>
      <c r="BJ325" s="501"/>
      <c r="BK325" s="502"/>
      <c r="BL325" s="501"/>
      <c r="BM325" s="501"/>
      <c r="BN325" s="501"/>
      <c r="BO325" s="501"/>
      <c r="BP325" s="502"/>
      <c r="BQ325" s="501"/>
      <c r="BR325" s="501"/>
      <c r="BS325" s="501"/>
      <c r="BT325" s="501"/>
      <c r="BU325" s="502"/>
      <c r="BV325" s="501"/>
      <c r="BW325" s="501"/>
      <c r="BX325" s="501"/>
      <c r="BY325" s="501"/>
      <c r="BZ325" s="502"/>
      <c r="CA325" s="501"/>
      <c r="CB325" s="501"/>
      <c r="CC325" s="501"/>
      <c r="CD325" s="501"/>
      <c r="CE325" s="502"/>
      <c r="CF325" s="501"/>
      <c r="CG325" s="501"/>
      <c r="CH325" s="501"/>
      <c r="CI325" s="501"/>
      <c r="CJ325" s="502"/>
      <c r="CK325" s="501"/>
      <c r="CL325" s="501"/>
      <c r="CM325" s="501"/>
      <c r="CN325" s="501"/>
      <c r="CO325" s="502"/>
      <c r="CP325" s="501"/>
      <c r="CQ325" s="501"/>
      <c r="CR325" s="501"/>
      <c r="CS325" s="501"/>
      <c r="CT325" s="502"/>
      <c r="CU325" s="501"/>
      <c r="CV325" s="501"/>
      <c r="CW325" s="501"/>
      <c r="CX325" s="501"/>
      <c r="CY325" s="502"/>
      <c r="CZ325" s="501"/>
      <c r="DA325" s="501"/>
      <c r="DB325" s="501"/>
      <c r="DC325" s="501"/>
      <c r="DD325" s="502"/>
      <c r="DE325" s="501"/>
      <c r="DF325" s="501"/>
      <c r="DG325" s="501"/>
      <c r="DH325" s="501"/>
      <c r="DI325" s="502"/>
    </row>
    <row r="326" spans="1:113" ht="12" hidden="1" customHeight="1" outlineLevel="1">
      <c r="A326" s="219"/>
      <c r="B326" s="449" t="s">
        <v>113</v>
      </c>
      <c r="C326" s="498" t="s">
        <v>1</v>
      </c>
      <c r="D326" s="504">
        <f>D303/'2. Consolidated'!D57</f>
        <v>9.2288835295687904E-2</v>
      </c>
      <c r="E326" s="498">
        <f>E303/'2. Consolidated'!E57</f>
        <v>6.1158255677384393E-2</v>
      </c>
      <c r="F326" s="504">
        <f>F303/'2. Consolidated'!F57</f>
        <v>6.1259194483782795E-2</v>
      </c>
      <c r="G326" s="498">
        <f>G303/'2. Consolidated'!G57</f>
        <v>6.8870549531593148E-2</v>
      </c>
      <c r="H326" s="504">
        <f>H303/'2. Consolidated'!H57</f>
        <v>6.8401986895622519E-2</v>
      </c>
      <c r="I326" s="498">
        <f>I303/'2. Consolidated'!I57</f>
        <v>7.0912858811141011E-2</v>
      </c>
      <c r="J326" s="504">
        <f>J303/'2. Consolidated'!J57</f>
        <v>7.5940038947013788E-2</v>
      </c>
      <c r="K326" s="498">
        <f>K303/'2. Consolidated'!K57</f>
        <v>9.3495580991608332E-2</v>
      </c>
      <c r="L326" s="504">
        <f>L303/'2. Consolidated'!L57</f>
        <v>0.10083748425727816</v>
      </c>
      <c r="M326" s="498">
        <f>M303/'2. Consolidated'!M57</f>
        <v>0.10262428357218867</v>
      </c>
      <c r="N326" s="504">
        <f>N303/'2. Consolidated'!N57</f>
        <v>0.10036537190773068</v>
      </c>
      <c r="O326" s="504">
        <f>O303/'2. Consolidated'!O57</f>
        <v>0.11231637226449905</v>
      </c>
      <c r="P326" s="498">
        <f>P303/'2. Consolidated'!P57</f>
        <v>0.112433567468517</v>
      </c>
      <c r="Q326" s="504">
        <f>Q303/'2. Consolidated'!Q57</f>
        <v>0.11710408773746389</v>
      </c>
      <c r="R326" s="498"/>
      <c r="S326" s="498"/>
      <c r="T326" s="498"/>
      <c r="U326" s="498"/>
      <c r="V326" s="504">
        <f>V303/'2. Consolidated'!V57</f>
        <v>0.11842105263157894</v>
      </c>
      <c r="W326" s="498"/>
      <c r="X326" s="498"/>
      <c r="Y326" s="498"/>
      <c r="Z326" s="498"/>
      <c r="AA326" s="504">
        <f>AA303/'2. Consolidated'!AA57</f>
        <v>0.10553824401493522</v>
      </c>
      <c r="AB326" s="504"/>
      <c r="AC326" s="498"/>
      <c r="AD326" s="498"/>
      <c r="AE326" s="498"/>
      <c r="AF326" s="498"/>
      <c r="AG326" s="504">
        <f>AG303/'2. Consolidated'!AG57</f>
        <v>0.11107233505309594</v>
      </c>
      <c r="AH326" s="498"/>
      <c r="AI326" s="498"/>
      <c r="AJ326" s="498"/>
      <c r="AK326" s="498"/>
      <c r="AL326" s="504">
        <f>AL303/'2. Consolidated'!AL57</f>
        <v>0.11234539836395693</v>
      </c>
      <c r="AM326" s="498"/>
      <c r="AN326" s="498"/>
      <c r="AO326" s="498"/>
      <c r="AP326" s="498"/>
      <c r="AQ326" s="504">
        <f>AQ303/'2. Consolidated'!AQ57</f>
        <v>0.12277831959436793</v>
      </c>
      <c r="AR326" s="498"/>
      <c r="AS326" s="498"/>
      <c r="AT326" s="498"/>
      <c r="AU326" s="498"/>
      <c r="AV326" s="504">
        <f>AV303/'2. Consolidated'!AV57</f>
        <v>0.13321783985178268</v>
      </c>
      <c r="AW326" s="498"/>
      <c r="AX326" s="498"/>
      <c r="AY326" s="498"/>
      <c r="AZ326" s="498"/>
      <c r="BA326" s="504">
        <f>BA303/'2. Consolidated'!BA57</f>
        <v>0.14339302918775146</v>
      </c>
      <c r="BB326" s="498"/>
      <c r="BC326" s="498"/>
      <c r="BD326" s="498"/>
      <c r="BE326" s="498"/>
      <c r="BF326" s="504">
        <f>BF303/'2. Consolidated'!BF57</f>
        <v>0.13088569676628051</v>
      </c>
      <c r="BG326" s="498"/>
      <c r="BH326" s="498"/>
      <c r="BI326" s="498"/>
      <c r="BJ326" s="498"/>
      <c r="BK326" s="504">
        <f>BK303/'2. Consolidated'!BK57</f>
        <v>0.12183495018285792</v>
      </c>
      <c r="BL326" s="498"/>
      <c r="BM326" s="498"/>
      <c r="BN326" s="498"/>
      <c r="BO326" s="498"/>
      <c r="BP326" s="504">
        <f>BP303/'2. Consolidated'!BP57</f>
        <v>0.10236231699656316</v>
      </c>
      <c r="BQ326" s="498"/>
      <c r="BR326" s="498"/>
      <c r="BS326" s="498"/>
      <c r="BT326" s="498"/>
      <c r="BU326" s="504">
        <f>BU303/'2. Consolidated'!BU57</f>
        <v>0.15171353484221525</v>
      </c>
      <c r="BV326" s="498"/>
      <c r="BW326" s="498"/>
      <c r="BX326" s="498"/>
      <c r="BY326" s="498"/>
      <c r="BZ326" s="504">
        <f>BZ303/'2. Consolidated'!BZ57</f>
        <v>0.15208987749341973</v>
      </c>
      <c r="CA326" s="498"/>
      <c r="CB326" s="498"/>
      <c r="CC326" s="498"/>
      <c r="CD326" s="498"/>
      <c r="CE326" s="504">
        <f>CE303/'2. Consolidated'!CE57</f>
        <v>0.11466687001895867</v>
      </c>
      <c r="CF326" s="498"/>
      <c r="CG326" s="498"/>
      <c r="CH326" s="498"/>
      <c r="CI326" s="498"/>
      <c r="CJ326" s="504">
        <f>CJ303/'2. Consolidated'!CJ57</f>
        <v>0.13251166462983577</v>
      </c>
      <c r="CK326" s="498"/>
      <c r="CL326" s="498"/>
      <c r="CM326" s="498"/>
      <c r="CN326" s="498"/>
      <c r="CO326" s="504">
        <f>CO303/'2. Consolidated'!CO57</f>
        <v>8.7188852521725174E-2</v>
      </c>
      <c r="CP326" s="498"/>
      <c r="CQ326" s="498"/>
      <c r="CR326" s="498"/>
      <c r="CS326" s="498"/>
      <c r="CT326" s="504">
        <f>CT303/'2. Consolidated'!CT57</f>
        <v>8.5810330020856335E-2</v>
      </c>
      <c r="CU326" s="498"/>
      <c r="CV326" s="498"/>
      <c r="CW326" s="498"/>
      <c r="CX326" s="498"/>
      <c r="CY326" s="504">
        <f>CY303/'2. Consolidated'!CY57</f>
        <v>6.5492653628679398E-2</v>
      </c>
      <c r="CZ326" s="498"/>
      <c r="DA326" s="498"/>
      <c r="DB326" s="498"/>
      <c r="DC326" s="498"/>
      <c r="DD326" s="504">
        <f>DD303/'2. Consolidated'!DD57</f>
        <v>6.868512332267665E-2</v>
      </c>
      <c r="DE326" s="498"/>
      <c r="DF326" s="498"/>
      <c r="DG326" s="498"/>
      <c r="DH326" s="498"/>
      <c r="DI326" s="504">
        <f>DI303/'2. Consolidated'!DI57</f>
        <v>7.631192301725076E-2</v>
      </c>
    </row>
    <row r="327" spans="1:113" ht="12" hidden="1" customHeight="1" outlineLevel="1">
      <c r="A327" s="219"/>
      <c r="B327" s="449" t="s">
        <v>111</v>
      </c>
      <c r="C327" s="414" t="s">
        <v>1</v>
      </c>
      <c r="D327" s="479">
        <f>'2. Consolidated'!D57/D310</f>
        <v>2.5488158662108331</v>
      </c>
      <c r="E327" s="480">
        <f>'2. Consolidated'!E57/E310</f>
        <v>2.4906929153525241</v>
      </c>
      <c r="F327" s="479">
        <f>'2. Consolidated'!F57/F310</f>
        <v>2.1699218750000004</v>
      </c>
      <c r="G327" s="480">
        <f>'2. Consolidated'!G57/G310</f>
        <v>2.1265765925505633</v>
      </c>
      <c r="H327" s="479">
        <f>'2. Consolidated'!H57/H310</f>
        <v>2.1024317287985377</v>
      </c>
      <c r="I327" s="480">
        <f>'2. Consolidated'!I57/I310</f>
        <v>2.1739512602456763</v>
      </c>
      <c r="J327" s="479">
        <f>'2. Consolidated'!J57/J310</f>
        <v>2.3995872449723521</v>
      </c>
      <c r="K327" s="480">
        <f>'2. Consolidated'!K57/K310</f>
        <v>2.2552478764620894</v>
      </c>
      <c r="L327" s="479">
        <f>'2. Consolidated'!L57/L310</f>
        <v>2.0549801452277503</v>
      </c>
      <c r="M327" s="480">
        <f>'2. Consolidated'!M57/M310</f>
        <v>2.1111260119850082</v>
      </c>
      <c r="N327" s="479">
        <f>'2. Consolidated'!N57/N310</f>
        <v>2.1874907882572052</v>
      </c>
      <c r="O327" s="479">
        <f>'2. Consolidated'!O57/O310</f>
        <v>2.1979150073452627</v>
      </c>
      <c r="P327" s="480">
        <f>'2. Consolidated'!P57/P310</f>
        <v>1.9820770562546834</v>
      </c>
      <c r="Q327" s="479">
        <f>'2. Consolidated'!Q57/Q310</f>
        <v>1.9550263734229929</v>
      </c>
      <c r="R327" s="480"/>
      <c r="S327" s="480"/>
      <c r="T327" s="480"/>
      <c r="U327" s="480"/>
      <c r="V327" s="479">
        <f>'2. Consolidated'!V57/V310</f>
        <v>2.1030241935483871</v>
      </c>
      <c r="W327" s="480"/>
      <c r="X327" s="480"/>
      <c r="Y327" s="480"/>
      <c r="Z327" s="480"/>
      <c r="AA327" s="479">
        <f>'2. Consolidated'!AA57/AA310</f>
        <v>2.2029673590504451</v>
      </c>
      <c r="AB327" s="479"/>
      <c r="AC327" s="480"/>
      <c r="AD327" s="480"/>
      <c r="AE327" s="480"/>
      <c r="AF327" s="480"/>
      <c r="AG327" s="479">
        <f>'2. Consolidated'!AG57/AG310</f>
        <v>2.1585230664279016</v>
      </c>
      <c r="AH327" s="480"/>
      <c r="AI327" s="480"/>
      <c r="AJ327" s="480"/>
      <c r="AK327" s="480"/>
      <c r="AL327" s="479">
        <f>'2. Consolidated'!AL57/AL310</f>
        <v>2.2610004066693778</v>
      </c>
      <c r="AM327" s="480"/>
      <c r="AN327" s="480"/>
      <c r="AO327" s="480"/>
      <c r="AP327" s="480"/>
      <c r="AQ327" s="479">
        <f>'2. Consolidated'!AQ57/AQ310</f>
        <v>2.2552140909425895</v>
      </c>
      <c r="AR327" s="480"/>
      <c r="AS327" s="480"/>
      <c r="AT327" s="480"/>
      <c r="AU327" s="480"/>
      <c r="AV327" s="479">
        <f>'2. Consolidated'!AV57/AV310</f>
        <v>2.1448872105733878</v>
      </c>
      <c r="AW327" s="480"/>
      <c r="AX327" s="480"/>
      <c r="AY327" s="480"/>
      <c r="AZ327" s="480"/>
      <c r="BA327" s="479">
        <f>'2. Consolidated'!BA57/BA310</f>
        <v>2.0386361613104245</v>
      </c>
      <c r="BB327" s="480"/>
      <c r="BC327" s="480"/>
      <c r="BD327" s="480"/>
      <c r="BE327" s="480"/>
      <c r="BF327" s="479">
        <f>'2. Consolidated'!BF57/BF310</f>
        <v>2.0255439924314098</v>
      </c>
      <c r="BG327" s="480"/>
      <c r="BH327" s="480"/>
      <c r="BI327" s="480"/>
      <c r="BJ327" s="480"/>
      <c r="BK327" s="479">
        <f>'2. Consolidated'!BK57/BK310</f>
        <v>2.1738912970990332</v>
      </c>
      <c r="BL327" s="480"/>
      <c r="BM327" s="480"/>
      <c r="BN327" s="480"/>
      <c r="BO327" s="480"/>
      <c r="BP327" s="479">
        <f>'2. Consolidated'!BP57/BP310</f>
        <v>2.0490303495124356</v>
      </c>
      <c r="BQ327" s="480"/>
      <c r="BR327" s="480"/>
      <c r="BS327" s="480"/>
      <c r="BT327" s="480"/>
      <c r="BU327" s="479">
        <f>'2. Consolidated'!BU57/BU310</f>
        <v>2.3665249734325187</v>
      </c>
      <c r="BV327" s="480"/>
      <c r="BW327" s="480"/>
      <c r="BX327" s="480"/>
      <c r="BY327" s="480"/>
      <c r="BZ327" s="479">
        <f>'2. Consolidated'!BZ57/BZ310</f>
        <v>2.2887522355881127</v>
      </c>
      <c r="CA327" s="480"/>
      <c r="CB327" s="480"/>
      <c r="CC327" s="480"/>
      <c r="CD327" s="480"/>
      <c r="CE327" s="479">
        <f>'2. Consolidated'!CE57/CE310</f>
        <v>2.3051511128113957</v>
      </c>
      <c r="CF327" s="480"/>
      <c r="CG327" s="480"/>
      <c r="CH327" s="480"/>
      <c r="CI327" s="480"/>
      <c r="CJ327" s="479">
        <f>'2. Consolidated'!CJ57/CJ310</f>
        <v>2.2717501879782387</v>
      </c>
      <c r="CK327" s="480"/>
      <c r="CL327" s="480"/>
      <c r="CM327" s="480"/>
      <c r="CN327" s="480"/>
      <c r="CO327" s="479">
        <f>'2. Consolidated'!CO57/CO310</f>
        <v>2.0335045887673999</v>
      </c>
      <c r="CP327" s="480"/>
      <c r="CQ327" s="480"/>
      <c r="CR327" s="480"/>
      <c r="CS327" s="480"/>
      <c r="CT327" s="479">
        <f>'2. Consolidated'!CT57/CT310</f>
        <v>1.9299931365820178</v>
      </c>
      <c r="CU327" s="480"/>
      <c r="CV327" s="480"/>
      <c r="CW327" s="480"/>
      <c r="CX327" s="480"/>
      <c r="CY327" s="479">
        <f>'2. Consolidated'!CY57/CY310</f>
        <v>1.6318443689145807</v>
      </c>
      <c r="CZ327" s="480"/>
      <c r="DA327" s="480"/>
      <c r="DB327" s="480"/>
      <c r="DC327" s="480"/>
      <c r="DD327" s="479">
        <f>'2. Consolidated'!DD57/DD310</f>
        <v>1.4950403146912088</v>
      </c>
      <c r="DE327" s="480"/>
      <c r="DF327" s="480"/>
      <c r="DG327" s="480"/>
      <c r="DH327" s="480"/>
      <c r="DI327" s="479">
        <f>'2. Consolidated'!DI57/DI310</f>
        <v>1.4517336295975802</v>
      </c>
    </row>
    <row r="328" spans="1:113" ht="12" hidden="1" customHeight="1" outlineLevel="1">
      <c r="A328" s="219"/>
      <c r="B328" s="449"/>
      <c r="C328" s="414" t="s">
        <v>4</v>
      </c>
      <c r="D328" s="481" t="s">
        <v>4</v>
      </c>
      <c r="E328" s="414" t="s">
        <v>4</v>
      </c>
      <c r="F328" s="481" t="s">
        <v>4</v>
      </c>
      <c r="G328" s="414" t="s">
        <v>4</v>
      </c>
      <c r="H328" s="481" t="s">
        <v>4</v>
      </c>
      <c r="I328" s="414" t="s">
        <v>4</v>
      </c>
      <c r="J328" s="481" t="s">
        <v>4</v>
      </c>
      <c r="K328" s="414" t="s">
        <v>4</v>
      </c>
      <c r="L328" s="481" t="s">
        <v>4</v>
      </c>
      <c r="M328" s="414" t="s">
        <v>4</v>
      </c>
      <c r="N328" s="481" t="s">
        <v>4</v>
      </c>
      <c r="O328" s="481" t="s">
        <v>4</v>
      </c>
      <c r="P328" s="414" t="s">
        <v>4</v>
      </c>
      <c r="Q328" s="481" t="s">
        <v>4</v>
      </c>
      <c r="R328" s="414"/>
      <c r="S328" s="414"/>
      <c r="T328" s="414"/>
      <c r="U328" s="414"/>
      <c r="V328" s="481" t="s">
        <v>4</v>
      </c>
      <c r="W328" s="414"/>
      <c r="X328" s="414"/>
      <c r="Y328" s="414"/>
      <c r="Z328" s="414"/>
      <c r="AA328" s="481" t="s">
        <v>4</v>
      </c>
      <c r="AB328" s="481"/>
      <c r="AC328" s="414"/>
      <c r="AD328" s="414"/>
      <c r="AE328" s="414"/>
      <c r="AF328" s="414"/>
      <c r="AG328" s="481" t="s">
        <v>4</v>
      </c>
      <c r="AH328" s="414"/>
      <c r="AI328" s="414"/>
      <c r="AJ328" s="414"/>
      <c r="AK328" s="414"/>
      <c r="AL328" s="481" t="s">
        <v>4</v>
      </c>
      <c r="AM328" s="414"/>
      <c r="AN328" s="414"/>
      <c r="AO328" s="414"/>
      <c r="AP328" s="414"/>
      <c r="AQ328" s="481" t="s">
        <v>4</v>
      </c>
      <c r="AR328" s="414"/>
      <c r="AS328" s="414"/>
      <c r="AT328" s="414"/>
      <c r="AU328" s="414"/>
      <c r="AV328" s="481" t="s">
        <v>4</v>
      </c>
      <c r="AW328" s="414"/>
      <c r="AX328" s="414"/>
      <c r="AY328" s="414"/>
      <c r="AZ328" s="414"/>
      <c r="BA328" s="481" t="s">
        <v>4</v>
      </c>
      <c r="BB328" s="414"/>
      <c r="BC328" s="414"/>
      <c r="BD328" s="414"/>
      <c r="BE328" s="414"/>
      <c r="BF328" s="481" t="s">
        <v>4</v>
      </c>
      <c r="BG328" s="414"/>
      <c r="BH328" s="414"/>
      <c r="BI328" s="414"/>
      <c r="BJ328" s="414"/>
      <c r="BK328" s="481" t="s">
        <v>4</v>
      </c>
      <c r="BL328" s="414"/>
      <c r="BM328" s="414"/>
      <c r="BN328" s="414"/>
      <c r="BO328" s="414"/>
      <c r="BP328" s="481" t="s">
        <v>4</v>
      </c>
      <c r="BQ328" s="414"/>
      <c r="BR328" s="414"/>
      <c r="BS328" s="414"/>
      <c r="BT328" s="414"/>
      <c r="BU328" s="481" t="s">
        <v>4</v>
      </c>
      <c r="BV328" s="414"/>
      <c r="BW328" s="414"/>
      <c r="BX328" s="414"/>
      <c r="BY328" s="414"/>
      <c r="BZ328" s="481" t="s">
        <v>4</v>
      </c>
      <c r="CA328" s="414"/>
      <c r="CB328" s="414"/>
      <c r="CC328" s="414"/>
      <c r="CD328" s="414"/>
      <c r="CE328" s="481" t="s">
        <v>4</v>
      </c>
      <c r="CF328" s="414"/>
      <c r="CG328" s="414"/>
      <c r="CH328" s="414"/>
      <c r="CI328" s="414"/>
      <c r="CJ328" s="481" t="s">
        <v>4</v>
      </c>
      <c r="CK328" s="414"/>
      <c r="CL328" s="414"/>
      <c r="CM328" s="414"/>
      <c r="CN328" s="414"/>
      <c r="CO328" s="481" t="s">
        <v>4</v>
      </c>
      <c r="CP328" s="414"/>
      <c r="CQ328" s="414"/>
      <c r="CR328" s="414"/>
      <c r="CS328" s="414"/>
      <c r="CT328" s="481" t="s">
        <v>4</v>
      </c>
      <c r="CU328" s="414"/>
      <c r="CV328" s="414"/>
      <c r="CW328" s="414"/>
      <c r="CX328" s="414"/>
      <c r="CY328" s="481" t="s">
        <v>4</v>
      </c>
      <c r="CZ328" s="414"/>
      <c r="DA328" s="414"/>
      <c r="DB328" s="414"/>
      <c r="DC328" s="414"/>
      <c r="DD328" s="481" t="s">
        <v>4</v>
      </c>
      <c r="DE328" s="414"/>
      <c r="DF328" s="414"/>
      <c r="DG328" s="414"/>
      <c r="DH328" s="414"/>
      <c r="DI328" s="481" t="s">
        <v>4</v>
      </c>
    </row>
    <row r="329" spans="1:113" ht="12" hidden="1" customHeight="1" outlineLevel="1">
      <c r="A329" s="219"/>
      <c r="B329" s="505" t="s">
        <v>112</v>
      </c>
      <c r="C329" s="498" t="s">
        <v>1</v>
      </c>
      <c r="D329" s="504">
        <f t="shared" ref="D329:Q329" si="743">D326*D327</f>
        <v>0.23522724767576766</v>
      </c>
      <c r="E329" s="498">
        <f t="shared" si="743"/>
        <v>0.1523264341309796</v>
      </c>
      <c r="F329" s="504">
        <f t="shared" si="743"/>
        <v>0.13292766615523965</v>
      </c>
      <c r="G329" s="498">
        <f t="shared" si="743"/>
        <v>0.14645849854998014</v>
      </c>
      <c r="H329" s="504">
        <f t="shared" si="743"/>
        <v>0.14381050756221858</v>
      </c>
      <c r="I329" s="498">
        <f t="shared" si="743"/>
        <v>0.1541610987801037</v>
      </c>
      <c r="J329" s="504">
        <f t="shared" si="743"/>
        <v>0.18222474883995793</v>
      </c>
      <c r="K329" s="498">
        <f t="shared" si="743"/>
        <v>0.21085571048991397</v>
      </c>
      <c r="L329" s="504">
        <f t="shared" si="743"/>
        <v>0.20721902804342246</v>
      </c>
      <c r="M329" s="498">
        <f t="shared" si="743"/>
        <v>0.21665279451057326</v>
      </c>
      <c r="N329" s="504">
        <f t="shared" si="743"/>
        <v>0.21954832650816933</v>
      </c>
      <c r="O329" s="504">
        <f t="shared" si="743"/>
        <v>0.24686184017071969</v>
      </c>
      <c r="P329" s="498">
        <f t="shared" si="743"/>
        <v>0.22285199443221052</v>
      </c>
      <c r="Q329" s="504">
        <f t="shared" si="743"/>
        <v>0.22894157996238201</v>
      </c>
      <c r="R329" s="498"/>
      <c r="S329" s="498"/>
      <c r="T329" s="498"/>
      <c r="U329" s="498"/>
      <c r="V329" s="504">
        <f>V326*V327</f>
        <v>0.2490423387096774</v>
      </c>
      <c r="W329" s="498"/>
      <c r="X329" s="498"/>
      <c r="Y329" s="498"/>
      <c r="Z329" s="498"/>
      <c r="AA329" s="504">
        <f>AA326*AA327</f>
        <v>0.23249730669640328</v>
      </c>
      <c r="AB329" s="504"/>
      <c r="AC329" s="498"/>
      <c r="AD329" s="498"/>
      <c r="AE329" s="498"/>
      <c r="AF329" s="498"/>
      <c r="AG329" s="504">
        <f>AG326*AG327</f>
        <v>0.23975219725411595</v>
      </c>
      <c r="AH329" s="498"/>
      <c r="AI329" s="498"/>
      <c r="AJ329" s="498"/>
      <c r="AK329" s="498"/>
      <c r="AL329" s="504">
        <f>AL326*AL327</f>
        <v>0.25401299138833988</v>
      </c>
      <c r="AM329" s="498"/>
      <c r="AN329" s="498"/>
      <c r="AO329" s="498"/>
      <c r="AP329" s="498"/>
      <c r="AQ329" s="504">
        <f>AQ326*AQ327</f>
        <v>0.2768913964114712</v>
      </c>
      <c r="AR329" s="498"/>
      <c r="AS329" s="498"/>
      <c r="AT329" s="498"/>
      <c r="AU329" s="498"/>
      <c r="AV329" s="504">
        <f>AV326*AV327</f>
        <v>0.28573724091830244</v>
      </c>
      <c r="AW329" s="498"/>
      <c r="AX329" s="498"/>
      <c r="AY329" s="498"/>
      <c r="AZ329" s="498"/>
      <c r="BA329" s="504">
        <f>BA326*BA327</f>
        <v>0.29232621458199126</v>
      </c>
      <c r="BB329" s="498"/>
      <c r="BC329" s="498"/>
      <c r="BD329" s="498"/>
      <c r="BE329" s="498"/>
      <c r="BF329" s="504">
        <f>BF326*BF327</f>
        <v>0.26511473678013869</v>
      </c>
      <c r="BG329" s="498"/>
      <c r="BH329" s="498"/>
      <c r="BI329" s="498"/>
      <c r="BJ329" s="498"/>
      <c r="BK329" s="504">
        <f>BK326*BK327</f>
        <v>0.26485593788500911</v>
      </c>
      <c r="BL329" s="498"/>
      <c r="BM329" s="498"/>
      <c r="BN329" s="498"/>
      <c r="BO329" s="498"/>
      <c r="BP329" s="504">
        <f>BP326*BP327</f>
        <v>0.20974349417237054</v>
      </c>
      <c r="BQ329" s="498"/>
      <c r="BR329" s="498"/>
      <c r="BS329" s="498"/>
      <c r="BT329" s="498"/>
      <c r="BU329" s="504">
        <f>BU326*BU327</f>
        <v>0.35903386901182693</v>
      </c>
      <c r="BV329" s="498"/>
      <c r="BW329" s="498"/>
      <c r="BX329" s="498"/>
      <c r="BY329" s="498"/>
      <c r="BZ329" s="504">
        <f>BZ326*BZ327</f>
        <v>0.3480960471233866</v>
      </c>
      <c r="CA329" s="498"/>
      <c r="CB329" s="498"/>
      <c r="CC329" s="498"/>
      <c r="CD329" s="498"/>
      <c r="CE329" s="504">
        <f>CE326*CE327</f>
        <v>0.26432446302680224</v>
      </c>
      <c r="CF329" s="498"/>
      <c r="CG329" s="498"/>
      <c r="CH329" s="498"/>
      <c r="CI329" s="498"/>
      <c r="CJ329" s="504">
        <f>CJ326*CJ327</f>
        <v>0.30103339903213872</v>
      </c>
      <c r="CK329" s="498"/>
      <c r="CL329" s="498"/>
      <c r="CM329" s="498"/>
      <c r="CN329" s="498"/>
      <c r="CO329" s="504">
        <f>CO326*CO327</f>
        <v>0.17729893169229222</v>
      </c>
      <c r="CP329" s="498"/>
      <c r="CQ329" s="498"/>
      <c r="CR329" s="498"/>
      <c r="CS329" s="498"/>
      <c r="CT329" s="504">
        <f>CT326*CT327</f>
        <v>0.1656133479880906</v>
      </c>
      <c r="CU329" s="498"/>
      <c r="CV329" s="498"/>
      <c r="CW329" s="498"/>
      <c r="CX329" s="498"/>
      <c r="CY329" s="504">
        <f>CY326*CY327</f>
        <v>0.10687381802923356</v>
      </c>
      <c r="CZ329" s="498"/>
      <c r="DA329" s="498"/>
      <c r="DB329" s="498"/>
      <c r="DC329" s="498"/>
      <c r="DD329" s="504">
        <f>DD326*DD327</f>
        <v>0.10268702838693898</v>
      </c>
      <c r="DE329" s="498"/>
      <c r="DF329" s="498"/>
      <c r="DG329" s="498"/>
      <c r="DH329" s="498"/>
      <c r="DI329" s="504">
        <f>DI326*DI327</f>
        <v>0.11078458498340457</v>
      </c>
    </row>
    <row r="330" spans="1:113" ht="12" hidden="1" customHeight="1" outlineLevel="1">
      <c r="A330" s="219"/>
      <c r="B330" s="449"/>
      <c r="C330" s="498"/>
      <c r="D330" s="60"/>
      <c r="E330" s="88"/>
      <c r="F330" s="60"/>
      <c r="G330" s="88"/>
      <c r="H330" s="60"/>
      <c r="I330" s="88"/>
      <c r="J330" s="60"/>
      <c r="K330" s="88"/>
      <c r="L330" s="60"/>
      <c r="M330" s="88"/>
      <c r="N330" s="60"/>
      <c r="O330" s="60"/>
      <c r="P330" s="88"/>
      <c r="Q330" s="60"/>
      <c r="R330" s="498"/>
      <c r="S330" s="498"/>
      <c r="T330" s="498"/>
      <c r="U330" s="498"/>
      <c r="V330" s="60"/>
      <c r="W330" s="498"/>
      <c r="X330" s="498"/>
      <c r="Y330" s="498"/>
      <c r="Z330" s="498"/>
      <c r="AA330" s="60"/>
      <c r="AB330" s="504"/>
      <c r="AC330" s="498"/>
      <c r="AD330" s="498"/>
      <c r="AE330" s="498"/>
      <c r="AF330" s="498"/>
      <c r="AG330" s="60"/>
      <c r="AH330" s="498"/>
      <c r="AI330" s="498"/>
      <c r="AJ330" s="498"/>
      <c r="AK330" s="498"/>
      <c r="AL330" s="60"/>
      <c r="AM330" s="498"/>
      <c r="AN330" s="498"/>
      <c r="AO330" s="498"/>
      <c r="AP330" s="498"/>
      <c r="AQ330" s="60"/>
      <c r="AR330" s="498"/>
      <c r="AS330" s="498"/>
      <c r="AT330" s="498"/>
      <c r="AU330" s="498"/>
      <c r="AV330" s="60"/>
      <c r="AW330" s="498"/>
      <c r="AX330" s="498"/>
      <c r="AY330" s="498"/>
      <c r="AZ330" s="498"/>
      <c r="BA330" s="60"/>
      <c r="BB330" s="498"/>
      <c r="BC330" s="498"/>
      <c r="BD330" s="498"/>
      <c r="BE330" s="498"/>
      <c r="BF330" s="60"/>
      <c r="BG330" s="498"/>
      <c r="BH330" s="498"/>
      <c r="BI330" s="498"/>
      <c r="BJ330" s="498"/>
      <c r="BK330" s="60"/>
      <c r="BL330" s="498"/>
      <c r="BM330" s="498"/>
      <c r="BN330" s="498"/>
      <c r="BO330" s="498"/>
      <c r="BP330" s="60"/>
      <c r="BQ330" s="498"/>
      <c r="BR330" s="498"/>
      <c r="BS330" s="498"/>
      <c r="BT330" s="498"/>
      <c r="BU330" s="60"/>
      <c r="BV330" s="498"/>
      <c r="BW330" s="498"/>
      <c r="BX330" s="498"/>
      <c r="BY330" s="498"/>
      <c r="BZ330" s="60"/>
      <c r="CA330" s="498"/>
      <c r="CB330" s="498"/>
      <c r="CC330" s="498"/>
      <c r="CD330" s="498"/>
      <c r="CE330" s="60"/>
      <c r="CF330" s="498"/>
      <c r="CG330" s="498"/>
      <c r="CH330" s="498"/>
      <c r="CI330" s="498"/>
      <c r="CJ330" s="60"/>
      <c r="CK330" s="498"/>
      <c r="CL330" s="498"/>
      <c r="CM330" s="498"/>
      <c r="CN330" s="498"/>
      <c r="CO330" s="60"/>
      <c r="CP330" s="498"/>
      <c r="CQ330" s="498"/>
      <c r="CR330" s="498"/>
      <c r="CS330" s="498"/>
      <c r="CT330" s="60"/>
      <c r="CU330" s="498"/>
      <c r="CV330" s="498"/>
      <c r="CW330" s="498"/>
      <c r="CX330" s="498"/>
      <c r="CY330" s="60"/>
      <c r="CZ330" s="498"/>
      <c r="DA330" s="498"/>
      <c r="DB330" s="498"/>
      <c r="DC330" s="498"/>
      <c r="DD330" s="60"/>
      <c r="DE330" s="498"/>
      <c r="DF330" s="498"/>
      <c r="DG330" s="498"/>
      <c r="DH330" s="498"/>
      <c r="DI330" s="60"/>
    </row>
    <row r="331" spans="1:113" ht="12" customHeight="1" collapsed="1">
      <c r="A331" s="219"/>
      <c r="B331" s="449" t="s">
        <v>147</v>
      </c>
      <c r="C331" s="498" t="s">
        <v>1</v>
      </c>
      <c r="D331" s="504">
        <f>D303/AVERAGE(C203:D203)</f>
        <v>0.18207452074656399</v>
      </c>
      <c r="E331" s="498">
        <f>E303/AVERAGE(D203:E203)</f>
        <v>0.10861067643785448</v>
      </c>
      <c r="F331" s="504">
        <f>F303/AVERAGE(E203:F203)</f>
        <v>0.10101638564084209</v>
      </c>
      <c r="G331" s="498">
        <f>G303/AVERAGE(F203:G203)</f>
        <v>0.11157492932507855</v>
      </c>
      <c r="H331" s="504">
        <f>H303/AVERAGE(G203:H203)</f>
        <v>0.11117248717598302</v>
      </c>
      <c r="I331" s="498">
        <f>I303/AVERAGE(H203+'2. Consolidated'!H101,I203+'2. Consolidated'!I101)</f>
        <v>0.11441960305622266</v>
      </c>
      <c r="J331" s="504">
        <f>J303/AVERAGE(I203+'2. Consolidated'!I101,J203+'2. Consolidated'!J101)</f>
        <v>0.12294068809931238</v>
      </c>
      <c r="K331" s="498">
        <f>K303/AVERAGE(J203+'2. Consolidated'!J101,K203+'2. Consolidated'!K101)</f>
        <v>0.14039690966056476</v>
      </c>
      <c r="L331" s="504">
        <f>L303/AVERAGE(K203+'2. Consolidated'!K101,L203+'2. Consolidated'!L101)</f>
        <v>0.13714061552963838</v>
      </c>
      <c r="M331" s="498">
        <f>M303/AVERAGE(L203+'2. Consolidated'!L101,M203+'2. Consolidated'!M101)</f>
        <v>0.13615954242465347</v>
      </c>
      <c r="N331" s="504">
        <f>N303/AVERAGE(M203+'2. Consolidated'!M101,N203+'2. Consolidated'!N101)</f>
        <v>0.13185496241864819</v>
      </c>
      <c r="O331" s="504">
        <f>O303/AVERAGE(N203+'2. Consolidated'!N101,O203+'2. Consolidated'!O101)</f>
        <v>0.14857203182692355</v>
      </c>
      <c r="P331" s="498">
        <f>P303/AVERAGE(O203+'2. Consolidated'!O101,P203+'2. Consolidated'!P101)</f>
        <v>0.13637045398892667</v>
      </c>
      <c r="Q331" s="504">
        <f>Q303/AVERAGE(P203+'2. Consolidated'!P101,Q203+'2. Consolidated'!Q101)</f>
        <v>0.13031593289595397</v>
      </c>
      <c r="R331" s="498"/>
      <c r="S331" s="498"/>
      <c r="T331" s="498"/>
      <c r="U331" s="498"/>
      <c r="V331" s="504">
        <f>V303/AVERAGE(Q203+'2. Consolidated'!Q101,V203+'2. Consolidated'!V101)</f>
        <v>0.13606697326026493</v>
      </c>
      <c r="W331" s="498"/>
      <c r="X331" s="498"/>
      <c r="Y331" s="498"/>
      <c r="Z331" s="498"/>
      <c r="AA331" s="504">
        <f>AA303/AVERAGE(V203+'2. Consolidated'!V101,AA203+'2. Consolidated'!AA101)</f>
        <v>0.13588552264427317</v>
      </c>
      <c r="AB331" s="504"/>
      <c r="AC331" s="498"/>
      <c r="AD331" s="498"/>
      <c r="AE331" s="498"/>
      <c r="AF331" s="498"/>
      <c r="AG331" s="504">
        <f>AG303/AVERAGE(AB203+'2. Consolidated'!AB101,AG203+'2. Consolidated'!AG101)</f>
        <v>0.15236818952440143</v>
      </c>
      <c r="AH331" s="498"/>
      <c r="AI331" s="498"/>
      <c r="AJ331" s="498"/>
      <c r="AK331" s="498"/>
      <c r="AL331" s="504">
        <f>AL303/AVERAGE(AG203+'2. Consolidated'!AG101,AL203+'2. Consolidated'!AL101)</f>
        <v>0.14100364482006586</v>
      </c>
      <c r="AM331" s="498"/>
      <c r="AN331" s="498"/>
      <c r="AO331" s="498"/>
      <c r="AP331" s="498"/>
      <c r="AQ331" s="504">
        <f>AQ303/AVERAGE(AL203+'2. Consolidated'!AL101,AQ203+'2. Consolidated'!AQ101)</f>
        <v>0.152698205970626</v>
      </c>
      <c r="AR331" s="498"/>
      <c r="AS331" s="498"/>
      <c r="AT331" s="498"/>
      <c r="AU331" s="498"/>
      <c r="AV331" s="504">
        <f>AV303/AVERAGE(AQ203+'2. Consolidated'!AQ101,AV203+'2. Consolidated'!AV101)</f>
        <v>0.16264653378992819</v>
      </c>
      <c r="AW331" s="498"/>
      <c r="AX331" s="498"/>
      <c r="AY331" s="498"/>
      <c r="AZ331" s="498"/>
      <c r="BA331" s="504">
        <f>BA303/AVERAGE(AV203+'2. Consolidated'!AV101,BA203+'2. Consolidated'!BA101)</f>
        <v>0.1765715098348932</v>
      </c>
      <c r="BB331" s="498"/>
      <c r="BC331" s="498"/>
      <c r="BD331" s="498"/>
      <c r="BE331" s="498"/>
      <c r="BF331" s="504">
        <f>BF303/AVERAGE(BA203+'2. Consolidated'!BA101,BF203+'2. Consolidated'!BF101)</f>
        <v>0.16369763432133436</v>
      </c>
      <c r="BG331" s="498"/>
      <c r="BH331" s="498"/>
      <c r="BI331" s="498"/>
      <c r="BJ331" s="498"/>
      <c r="BK331" s="504">
        <f>BK303/AVERAGE(BF203+'2. Consolidated'!BF101,BK203+'2. Consolidated'!BK101)</f>
        <v>0.16034377142914807</v>
      </c>
      <c r="BL331" s="498"/>
      <c r="BM331" s="498"/>
      <c r="BN331" s="498"/>
      <c r="BO331" s="498"/>
      <c r="BP331" s="504">
        <f>BP303/AVERAGE(BK203+'2. Consolidated'!BK101,BP203+'2. Consolidated'!BP101)</f>
        <v>0.11107378240538598</v>
      </c>
      <c r="BQ331" s="498"/>
      <c r="BR331" s="498"/>
      <c r="BS331" s="498"/>
      <c r="BT331" s="498"/>
      <c r="BU331" s="504">
        <f>BU303/AVERAGE(BP203+'2. Consolidated'!BP101,BU203+'2. Consolidated'!BU101)</f>
        <v>0.16123070020288202</v>
      </c>
      <c r="BV331" s="498"/>
      <c r="BW331" s="498"/>
      <c r="BX331" s="498"/>
      <c r="BY331" s="498"/>
      <c r="BZ331" s="504">
        <f>BZ303/AVERAGE(BU203+'2. Consolidated'!BU101,BZ203+'2. Consolidated'!BZ101)</f>
        <v>0.15241454560061865</v>
      </c>
      <c r="CA331" s="498"/>
      <c r="CB331" s="498"/>
      <c r="CC331" s="498"/>
      <c r="CD331" s="498"/>
      <c r="CE331" s="504">
        <f>CE303/AVERAGE(BZ203+'2. Consolidated'!BZ101,CE203+'2. Consolidated'!CE101)</f>
        <v>0.12572019269942644</v>
      </c>
      <c r="CF331" s="498"/>
      <c r="CG331" s="498"/>
      <c r="CH331" s="498"/>
      <c r="CI331" s="498"/>
      <c r="CJ331" s="504">
        <f>CJ303/AVERAGE(CE203+'2. Consolidated'!CE101,CJ203+'2. Consolidated'!CJ101)</f>
        <v>0.14803354145525704</v>
      </c>
      <c r="CK331" s="498"/>
      <c r="CL331" s="498"/>
      <c r="CM331" s="498"/>
      <c r="CN331" s="498"/>
      <c r="CO331" s="504">
        <f>CO303/AVERAGE(CJ203+'2. Consolidated'!CJ101,CO203+'2. Consolidated'!CO101)</f>
        <v>8.7911178711008883E-2</v>
      </c>
      <c r="CP331" s="498"/>
      <c r="CQ331" s="498"/>
      <c r="CR331" s="498"/>
      <c r="CS331" s="498"/>
      <c r="CT331" s="504">
        <f>CT303/AVERAGE(CO203+'2. Consolidated'!CO101,CT203+'2. Consolidated'!CT101)</f>
        <v>8.5698584592866583E-2</v>
      </c>
      <c r="CU331" s="498"/>
      <c r="CV331" s="498"/>
      <c r="CW331" s="498"/>
      <c r="CX331" s="498"/>
      <c r="CY331" s="504">
        <f>CY303/AVERAGE(CT203+'2. Consolidated'!CT101,CY203+'2. Consolidated'!CY101)</f>
        <v>5.8176930452252827E-2</v>
      </c>
      <c r="CZ331" s="498"/>
      <c r="DA331" s="498"/>
      <c r="DB331" s="498"/>
      <c r="DC331" s="498"/>
      <c r="DD331" s="504">
        <f>DD303/AVERAGE(CY203+'2. Consolidated'!CY101,DD203+'2. Consolidated'!DD101)</f>
        <v>5.7744740571223599E-2</v>
      </c>
      <c r="DE331" s="498"/>
      <c r="DF331" s="498"/>
      <c r="DG331" s="498"/>
      <c r="DH331" s="498"/>
      <c r="DI331" s="504">
        <f>DI303/AVERAGE(DD203+'2. Consolidated'!DD101,DI203+'2. Consolidated'!DI101)</f>
        <v>6.3920858594270519E-2</v>
      </c>
    </row>
    <row r="332" spans="1:113" ht="12" customHeight="1">
      <c r="A332" s="219"/>
      <c r="B332" s="449" t="s">
        <v>251</v>
      </c>
      <c r="C332" s="414"/>
      <c r="D332" s="479">
        <f t="shared" ref="D332:Q332" si="744">AVERAGE(D203,C203)/AVERAGE(D216,C216)</f>
        <v>1.6666258041124313</v>
      </c>
      <c r="E332" s="480">
        <f t="shared" si="744"/>
        <v>1.6763110470832363</v>
      </c>
      <c r="F332" s="479">
        <f t="shared" si="744"/>
        <v>1.6136795112781956</v>
      </c>
      <c r="G332" s="480">
        <f t="shared" si="744"/>
        <v>1.7160032142415624</v>
      </c>
      <c r="H332" s="479">
        <f t="shared" si="744"/>
        <v>1.7608692373814299</v>
      </c>
      <c r="I332" s="480">
        <f t="shared" si="744"/>
        <v>1.6719979274893988</v>
      </c>
      <c r="J332" s="479">
        <f t="shared" si="744"/>
        <v>1.6876748017317347</v>
      </c>
      <c r="K332" s="480">
        <f t="shared" si="744"/>
        <v>1.6714464835290093</v>
      </c>
      <c r="L332" s="479">
        <f t="shared" si="744"/>
        <v>1.6002685464921116</v>
      </c>
      <c r="M332" s="480">
        <f t="shared" si="744"/>
        <v>1.5643922883487009</v>
      </c>
      <c r="N332" s="479">
        <f t="shared" si="744"/>
        <v>1.5444062143157646</v>
      </c>
      <c r="O332" s="479">
        <f t="shared" si="744"/>
        <v>1.55750675025082</v>
      </c>
      <c r="P332" s="480">
        <f t="shared" si="744"/>
        <v>1.5553181185301777</v>
      </c>
      <c r="Q332" s="479">
        <f t="shared" si="744"/>
        <v>1.4998644795472531</v>
      </c>
      <c r="R332" s="498"/>
      <c r="S332" s="498"/>
      <c r="T332" s="498"/>
      <c r="U332" s="498"/>
      <c r="V332" s="479">
        <f>AVERAGE(V203,Q203)/AVERAGE(V216,Q216)</f>
        <v>1.5010971067000052</v>
      </c>
      <c r="W332" s="498"/>
      <c r="X332" s="498"/>
      <c r="Y332" s="498"/>
      <c r="Z332" s="498"/>
      <c r="AA332" s="479">
        <f>AVERAGE(AA203,V203)/AVERAGE(AA216,V216)</f>
        <v>1.5062796677215189</v>
      </c>
      <c r="AB332" s="504"/>
      <c r="AC332" s="498"/>
      <c r="AD332" s="498"/>
      <c r="AE332" s="498"/>
      <c r="AF332" s="498"/>
      <c r="AG332" s="479">
        <f>AVERAGE(AG203,AB203)/AVERAGE(AG216,AB216)</f>
        <v>1.5345219854204393</v>
      </c>
      <c r="AH332" s="498"/>
      <c r="AI332" s="498"/>
      <c r="AJ332" s="498"/>
      <c r="AK332" s="498"/>
      <c r="AL332" s="479">
        <f>AVERAGE(AL203,AG203)/AVERAGE(AL216,AG216)</f>
        <v>1.6459508644222021</v>
      </c>
      <c r="AM332" s="498"/>
      <c r="AN332" s="498"/>
      <c r="AO332" s="498"/>
      <c r="AP332" s="498"/>
      <c r="AQ332" s="479">
        <f>AVERAGE(AQ203,AL203)/AVERAGE(AQ216,AL216)</f>
        <v>1.7081297012451659</v>
      </c>
      <c r="AR332" s="498"/>
      <c r="AS332" s="498"/>
      <c r="AT332" s="498"/>
      <c r="AU332" s="498"/>
      <c r="AV332" s="479">
        <f>AVERAGE(AV203,AQ203)/AVERAGE(AV216,AQ216)</f>
        <v>1.7222511516122572</v>
      </c>
      <c r="AW332" s="498"/>
      <c r="AX332" s="498"/>
      <c r="AY332" s="498"/>
      <c r="AZ332" s="498"/>
      <c r="BA332" s="479">
        <f>AVERAGE(BA203,AV203)/AVERAGE(BA216,AV216)</f>
        <v>1.8104601662274478</v>
      </c>
      <c r="BB332" s="498"/>
      <c r="BC332" s="498"/>
      <c r="BD332" s="498"/>
      <c r="BE332" s="498"/>
      <c r="BF332" s="479">
        <f>AVERAGE(BF203,BA203)/AVERAGE(BF216,BA216)</f>
        <v>2.0610738557090778</v>
      </c>
      <c r="BG332" s="498"/>
      <c r="BH332" s="498"/>
      <c r="BI332" s="498"/>
      <c r="BJ332" s="498"/>
      <c r="BK332" s="479">
        <f>AVERAGE(BK203,BF203)/AVERAGE(BK216,BF216)</f>
        <v>2.453479736897942</v>
      </c>
      <c r="BL332" s="498"/>
      <c r="BM332" s="498"/>
      <c r="BN332" s="498"/>
      <c r="BO332" s="498"/>
      <c r="BP332" s="479">
        <f>AVERAGE(BP203,BK203)/AVERAGE(BP216,BK216)</f>
        <v>3.2207663059374085</v>
      </c>
      <c r="BQ332" s="498"/>
      <c r="BR332" s="498"/>
      <c r="BS332" s="498"/>
      <c r="BT332" s="498"/>
      <c r="BU332" s="479">
        <f>AVERAGE(BU203,BP203)/AVERAGE(BU216,BP216)</f>
        <v>3.3177408510229567</v>
      </c>
      <c r="BV332" s="498"/>
      <c r="BW332" s="498"/>
      <c r="BX332" s="498"/>
      <c r="BY332" s="498"/>
      <c r="BZ332" s="479">
        <f>AVERAGE(BZ203,BU203)/AVERAGE(BZ216,BU216)</f>
        <v>2.7831217912150601</v>
      </c>
      <c r="CA332" s="498"/>
      <c r="CB332" s="498"/>
      <c r="CC332" s="498"/>
      <c r="CD332" s="498"/>
      <c r="CE332" s="479">
        <f>AVERAGE(CE203,BZ203)/AVERAGE(CE216,BZ216)</f>
        <v>2.658425815263787</v>
      </c>
      <c r="CF332" s="498"/>
      <c r="CG332" s="498"/>
      <c r="CH332" s="498"/>
      <c r="CI332" s="498"/>
      <c r="CJ332" s="479">
        <f>AVERAGE(CJ203,CE203)/AVERAGE(CJ216,CE216)</f>
        <v>2.6602307097137232</v>
      </c>
      <c r="CK332" s="498"/>
      <c r="CL332" s="498"/>
      <c r="CM332" s="498"/>
      <c r="CN332" s="498"/>
      <c r="CO332" s="479">
        <f>AVERAGE(CO203,CJ203)/AVERAGE(CO216,CJ216)</f>
        <v>2.7019136852005934</v>
      </c>
      <c r="CP332" s="498"/>
      <c r="CQ332" s="498"/>
      <c r="CR332" s="498"/>
      <c r="CS332" s="498"/>
      <c r="CT332" s="479">
        <f>AVERAGE(CT203,CO203)/AVERAGE(CT216,CO216)</f>
        <v>2.6707386565994731</v>
      </c>
      <c r="CU332" s="498"/>
      <c r="CV332" s="498"/>
      <c r="CW332" s="498"/>
      <c r="CX332" s="498"/>
      <c r="CY332" s="479">
        <f>AVERAGE(CY203,CT203)/AVERAGE(CY216,CT216)</f>
        <v>2.5375664474436519</v>
      </c>
      <c r="CZ332" s="498"/>
      <c r="DA332" s="498"/>
      <c r="DB332" s="498"/>
      <c r="DC332" s="498"/>
      <c r="DD332" s="479">
        <f>AVERAGE(DD203,CY203)/AVERAGE(DD216,CY216)</f>
        <v>2.4836512275548919</v>
      </c>
      <c r="DE332" s="498"/>
      <c r="DF332" s="498"/>
      <c r="DG332" s="498"/>
      <c r="DH332" s="498"/>
      <c r="DI332" s="479">
        <f>AVERAGE(DI203,DD203)/AVERAGE(DI216,DD216)</f>
        <v>2.5217865205343495</v>
      </c>
    </row>
    <row r="333" spans="1:113" ht="12" customHeight="1">
      <c r="A333" s="219"/>
      <c r="B333" s="449" t="s">
        <v>252</v>
      </c>
      <c r="C333" s="414"/>
      <c r="D333" s="479">
        <f>('2. Consolidated'!D57/AVERAGE(D203,C203))</f>
        <v>1.9728770025454121</v>
      </c>
      <c r="E333" s="480">
        <f>('2. Consolidated'!E57/AVERAGE(E203,D203))</f>
        <v>1.7758955881735101</v>
      </c>
      <c r="F333" s="479">
        <f>('2. Consolidated'!F57/AVERAGE(F203,E203))</f>
        <v>1.6489995745468746</v>
      </c>
      <c r="G333" s="480">
        <f>('2. Consolidated'!G57/AVERAGE(G203,F203))</f>
        <v>1.6200673594726513</v>
      </c>
      <c r="H333" s="479">
        <f>('2. Consolidated'!H57/AVERAGE(H203,G203))</f>
        <v>1.6252815484091978</v>
      </c>
      <c r="I333" s="480">
        <f>('2. Consolidated'!I57/AVERAGE(I203,H203))</f>
        <v>1.6135240487335474</v>
      </c>
      <c r="J333" s="479">
        <f>('2. Consolidated'!J57/AVERAGE(J203,I203))</f>
        <v>1.6189178963299282</v>
      </c>
      <c r="K333" s="480">
        <f>('2. Consolidated'!K57/AVERAGE(K203,J203))</f>
        <v>1.6712267110395813</v>
      </c>
      <c r="L333" s="479">
        <f>('2. Consolidated'!L57/AVERAGE(L203,K203))</f>
        <v>1.6469326109366382</v>
      </c>
      <c r="M333" s="480">
        <f>('2. Consolidated'!M57/AVERAGE(M203,L203))</f>
        <v>1.6026083415491448</v>
      </c>
      <c r="N333" s="479">
        <f>('2. Consolidated'!N57/AVERAGE(N203,M203))</f>
        <v>1.5882847956260124</v>
      </c>
      <c r="O333" s="479">
        <f>('2. Consolidated'!O57/AVERAGE(O203,N203))</f>
        <v>1.6105659072240717</v>
      </c>
      <c r="P333" s="480">
        <f>('2. Consolidated'!P57/AVERAGE(P203,O203))</f>
        <v>1.4927507463325584</v>
      </c>
      <c r="Q333" s="479">
        <f>('2. Consolidated'!Q57/AVERAGE(Q203,P203))</f>
        <v>1.3744099809892802</v>
      </c>
      <c r="R333" s="498"/>
      <c r="S333" s="498"/>
      <c r="T333" s="498"/>
      <c r="U333" s="498"/>
      <c r="V333" s="479">
        <f>('2. Consolidated'!V57/AVERAGE(V203,Q203))</f>
        <v>1.4183635312914302</v>
      </c>
      <c r="W333" s="498"/>
      <c r="X333" s="498"/>
      <c r="Y333" s="498"/>
      <c r="Z333" s="498"/>
      <c r="AA333" s="479">
        <f>('2. Consolidated'!AA57/AVERAGE(AA203,V203))</f>
        <v>1.584085612053967</v>
      </c>
      <c r="AB333" s="504"/>
      <c r="AC333" s="498"/>
      <c r="AD333" s="498"/>
      <c r="AE333" s="498"/>
      <c r="AF333" s="498"/>
      <c r="AG333" s="479">
        <f>('2. Consolidated'!AG57/AVERAGE(AG203,AB203))</f>
        <v>1.5318466519410572</v>
      </c>
      <c r="AH333" s="498"/>
      <c r="AI333" s="498"/>
      <c r="AJ333" s="498"/>
      <c r="AK333" s="498"/>
      <c r="AL333" s="479">
        <f>('2. Consolidated'!AL57/AVERAGE(AL203,AG203))</f>
        <v>1.5367903145558075</v>
      </c>
      <c r="AM333" s="498"/>
      <c r="AN333" s="498"/>
      <c r="AO333" s="498"/>
      <c r="AP333" s="498"/>
      <c r="AQ333" s="479">
        <f>('2. Consolidated'!AQ57/AVERAGE(AQ203,AL203))</f>
        <v>1.5226650743892123</v>
      </c>
      <c r="AR333" s="498"/>
      <c r="AS333" s="498"/>
      <c r="AT333" s="498"/>
      <c r="AU333" s="498"/>
      <c r="AV333" s="479">
        <f>('2. Consolidated'!AV57/AVERAGE(AV203,AQ203))</f>
        <v>1.5060005581914597</v>
      </c>
      <c r="AW333" s="498"/>
      <c r="AX333" s="498"/>
      <c r="AY333" s="498"/>
      <c r="AZ333" s="498"/>
      <c r="BA333" s="479">
        <f>('2. Consolidated'!BA57/AVERAGE(BA203,AV203))</f>
        <v>1.5384615384615385</v>
      </c>
      <c r="BB333" s="498"/>
      <c r="BC333" s="498"/>
      <c r="BD333" s="498"/>
      <c r="BE333" s="498"/>
      <c r="BF333" s="479">
        <f>('2. Consolidated'!BF57/AVERAGE(BF203,BA203))</f>
        <v>1.5895621792772137</v>
      </c>
      <c r="BG333" s="498"/>
      <c r="BH333" s="498"/>
      <c r="BI333" s="498"/>
      <c r="BJ333" s="498"/>
      <c r="BK333" s="479">
        <f>('2. Consolidated'!BK57/AVERAGE(BK203,BF203))</f>
        <v>1.6914362311633839</v>
      </c>
      <c r="BL333" s="498"/>
      <c r="BM333" s="498"/>
      <c r="BN333" s="498"/>
      <c r="BO333" s="498"/>
      <c r="BP333" s="479">
        <f>('2. Consolidated'!BP57/AVERAGE(BP203,BK203))</f>
        <v>1.3586516282533283</v>
      </c>
      <c r="BQ333" s="498"/>
      <c r="BR333" s="498"/>
      <c r="BS333" s="498"/>
      <c r="BT333" s="498"/>
      <c r="BU333" s="479">
        <f>('2. Consolidated'!BU57/AVERAGE(BU203,BP203))</f>
        <v>1.2894241625893865</v>
      </c>
      <c r="BV333" s="498"/>
      <c r="BW333" s="498"/>
      <c r="BX333" s="498"/>
      <c r="BY333" s="498"/>
      <c r="BZ333" s="479">
        <f>('2. Consolidated'!BZ57/AVERAGE(BZ203,BU203))</f>
        <v>1.1967563828288135</v>
      </c>
      <c r="CA333" s="498"/>
      <c r="CB333" s="498"/>
      <c r="CC333" s="498"/>
      <c r="CD333" s="498"/>
      <c r="CE333" s="479">
        <f>('2. Consolidated'!CE57/AVERAGE(CE203,BZ203))</f>
        <v>1.3157529671684736</v>
      </c>
      <c r="CF333" s="498"/>
      <c r="CG333" s="498"/>
      <c r="CH333" s="498"/>
      <c r="CI333" s="498"/>
      <c r="CJ333" s="479">
        <f>('2. Consolidated'!CJ57/AVERAGE(CJ203,CE203))</f>
        <v>1.358046562049682</v>
      </c>
      <c r="CK333" s="498"/>
      <c r="CL333" s="498"/>
      <c r="CM333" s="498"/>
      <c r="CN333" s="498"/>
      <c r="CO333" s="479">
        <f>('2. Consolidated'!CO57/AVERAGE(CO203,CJ203))</f>
        <v>1.2400487354228868</v>
      </c>
      <c r="CP333" s="498"/>
      <c r="CQ333" s="498"/>
      <c r="CR333" s="498"/>
      <c r="CS333" s="498"/>
      <c r="CT333" s="479">
        <f>('2. Consolidated'!CT57/AVERAGE(CT203,CO203))</f>
        <v>1.2374614943525051</v>
      </c>
      <c r="CU333" s="498"/>
      <c r="CV333" s="498"/>
      <c r="CW333" s="498"/>
      <c r="CX333" s="498"/>
      <c r="CY333" s="479">
        <f>('2. Consolidated'!CY57/AVERAGE(CY203,CT203))</f>
        <v>1.1135126456058917</v>
      </c>
      <c r="CZ333" s="498"/>
      <c r="DA333" s="498"/>
      <c r="DB333" s="498"/>
      <c r="DC333" s="498"/>
      <c r="DD333" s="479">
        <f>('2. Consolidated'!DD57/AVERAGE(DD203,CY203))</f>
        <v>1.07877436217099</v>
      </c>
      <c r="DE333" s="498"/>
      <c r="DF333" s="498"/>
      <c r="DG333" s="498"/>
      <c r="DH333" s="498"/>
      <c r="DI333" s="479">
        <f>('2. Consolidated'!DI57/AVERAGE(DI203,DD203))</f>
        <v>1.1034081112436831</v>
      </c>
    </row>
    <row r="334" spans="1:113" ht="12" customHeight="1">
      <c r="A334" s="219"/>
      <c r="B334" s="449" t="s">
        <v>253</v>
      </c>
      <c r="C334" s="498"/>
      <c r="D334" s="60">
        <f>(D303/'2. Consolidated'!D57)</f>
        <v>9.2288835295687904E-2</v>
      </c>
      <c r="E334" s="88">
        <f>(E303/'2. Consolidated'!E57)</f>
        <v>6.1158255677384393E-2</v>
      </c>
      <c r="F334" s="60">
        <f>(F303/'2. Consolidated'!F57)</f>
        <v>6.1259194483782795E-2</v>
      </c>
      <c r="G334" s="88">
        <f>(G303/'2. Consolidated'!G57)</f>
        <v>6.8870549531593148E-2</v>
      </c>
      <c r="H334" s="60">
        <f>(H303/'2. Consolidated'!H57)</f>
        <v>6.8401986895622519E-2</v>
      </c>
      <c r="I334" s="88">
        <f>(I303/'2. Consolidated'!I57)</f>
        <v>7.0912858811141011E-2</v>
      </c>
      <c r="J334" s="60">
        <f>(J303/'2. Consolidated'!J57)</f>
        <v>7.5940038947013788E-2</v>
      </c>
      <c r="K334" s="88">
        <f>(K303/'2. Consolidated'!K57)</f>
        <v>9.3495580991608332E-2</v>
      </c>
      <c r="L334" s="60">
        <f>(L303/'2. Consolidated'!L57)</f>
        <v>0.10083748425727816</v>
      </c>
      <c r="M334" s="88">
        <f>(M303/'2. Consolidated'!M57)</f>
        <v>0.10262428357218867</v>
      </c>
      <c r="N334" s="60">
        <f>(N303/'2. Consolidated'!N57)</f>
        <v>0.10036537190773068</v>
      </c>
      <c r="O334" s="60">
        <f>(O303/'2. Consolidated'!O57)</f>
        <v>0.11231637226449905</v>
      </c>
      <c r="P334" s="88">
        <f>(P303/'2. Consolidated'!P57)</f>
        <v>0.112433567468517</v>
      </c>
      <c r="Q334" s="60">
        <f>(Q303/'2. Consolidated'!Q57)</f>
        <v>0.11710408773746389</v>
      </c>
      <c r="R334" s="498"/>
      <c r="S334" s="498"/>
      <c r="T334" s="498"/>
      <c r="U334" s="498"/>
      <c r="V334" s="60">
        <f>(V303/'2. Consolidated'!V57)</f>
        <v>0.11842105263157894</v>
      </c>
      <c r="W334" s="498"/>
      <c r="X334" s="498"/>
      <c r="Y334" s="498"/>
      <c r="Z334" s="498"/>
      <c r="AA334" s="60">
        <f>(AA303/'2. Consolidated'!AA57)</f>
        <v>0.10553824401493522</v>
      </c>
      <c r="AB334" s="504"/>
      <c r="AC334" s="498"/>
      <c r="AD334" s="498"/>
      <c r="AE334" s="498"/>
      <c r="AF334" s="498"/>
      <c r="AG334" s="60">
        <f>(AG303/'2. Consolidated'!AG57)</f>
        <v>0.11107233505309594</v>
      </c>
      <c r="AH334" s="498"/>
      <c r="AI334" s="498"/>
      <c r="AJ334" s="498"/>
      <c r="AK334" s="498"/>
      <c r="AL334" s="60">
        <f>(AL303/'2. Consolidated'!AL57)</f>
        <v>0.11234539836395693</v>
      </c>
      <c r="AM334" s="498"/>
      <c r="AN334" s="498"/>
      <c r="AO334" s="498"/>
      <c r="AP334" s="498"/>
      <c r="AQ334" s="60">
        <f>(AQ303/'2. Consolidated'!AQ57)</f>
        <v>0.12277831959436793</v>
      </c>
      <c r="AR334" s="498"/>
      <c r="AS334" s="498"/>
      <c r="AT334" s="498"/>
      <c r="AU334" s="498"/>
      <c r="AV334" s="60">
        <f>(AV303/'2. Consolidated'!AV57)</f>
        <v>0.13321783985178268</v>
      </c>
      <c r="AW334" s="498"/>
      <c r="AX334" s="498"/>
      <c r="AY334" s="498"/>
      <c r="AZ334" s="498"/>
      <c r="BA334" s="60">
        <f>(BA303/'2. Consolidated'!BA57)</f>
        <v>0.14339302918775146</v>
      </c>
      <c r="BB334" s="498"/>
      <c r="BC334" s="498"/>
      <c r="BD334" s="498"/>
      <c r="BE334" s="498"/>
      <c r="BF334" s="60">
        <f>(BF303/'2. Consolidated'!BF57)</f>
        <v>0.13088569676628051</v>
      </c>
      <c r="BG334" s="498"/>
      <c r="BH334" s="498"/>
      <c r="BI334" s="498"/>
      <c r="BJ334" s="498"/>
      <c r="BK334" s="60">
        <f>(BK303/'2. Consolidated'!BK57)</f>
        <v>0.12183495018285792</v>
      </c>
      <c r="BL334" s="498"/>
      <c r="BM334" s="498"/>
      <c r="BN334" s="498"/>
      <c r="BO334" s="498"/>
      <c r="BP334" s="60">
        <f>(BP303/'2. Consolidated'!BP57)</f>
        <v>0.10236231699656316</v>
      </c>
      <c r="BQ334" s="498"/>
      <c r="BR334" s="498"/>
      <c r="BS334" s="498"/>
      <c r="BT334" s="498"/>
      <c r="BU334" s="60">
        <f>(BU303/'2. Consolidated'!BU57)</f>
        <v>0.15171353484221525</v>
      </c>
      <c r="BV334" s="498"/>
      <c r="BW334" s="498"/>
      <c r="BX334" s="498"/>
      <c r="BY334" s="498"/>
      <c r="BZ334" s="60">
        <f>(BZ303/'2. Consolidated'!BZ57)</f>
        <v>0.15208987749341973</v>
      </c>
      <c r="CA334" s="498"/>
      <c r="CB334" s="498"/>
      <c r="CC334" s="498"/>
      <c r="CD334" s="498"/>
      <c r="CE334" s="60">
        <f>(CE303/'2. Consolidated'!CE57)</f>
        <v>0.11466687001895867</v>
      </c>
      <c r="CF334" s="498"/>
      <c r="CG334" s="498"/>
      <c r="CH334" s="498"/>
      <c r="CI334" s="498"/>
      <c r="CJ334" s="60">
        <f>(CJ303/'2. Consolidated'!CJ57)</f>
        <v>0.13251166462983577</v>
      </c>
      <c r="CK334" s="498"/>
      <c r="CL334" s="498"/>
      <c r="CM334" s="498"/>
      <c r="CN334" s="498"/>
      <c r="CO334" s="60">
        <f>(CO303/'2. Consolidated'!CO57)</f>
        <v>8.7188852521725174E-2</v>
      </c>
      <c r="CP334" s="498"/>
      <c r="CQ334" s="498"/>
      <c r="CR334" s="498"/>
      <c r="CS334" s="498"/>
      <c r="CT334" s="60">
        <f>(CT303/'2. Consolidated'!CT57)</f>
        <v>8.5810330020856335E-2</v>
      </c>
      <c r="CU334" s="498"/>
      <c r="CV334" s="498"/>
      <c r="CW334" s="498"/>
      <c r="CX334" s="498"/>
      <c r="CY334" s="60">
        <f>(CY303/'2. Consolidated'!CY57)</f>
        <v>6.5492653628679398E-2</v>
      </c>
      <c r="CZ334" s="498"/>
      <c r="DA334" s="498"/>
      <c r="DB334" s="498"/>
      <c r="DC334" s="498"/>
      <c r="DD334" s="60">
        <f>(DD303/'2. Consolidated'!DD57)</f>
        <v>6.868512332267665E-2</v>
      </c>
      <c r="DE334" s="498"/>
      <c r="DF334" s="498"/>
      <c r="DG334" s="498"/>
      <c r="DH334" s="498"/>
      <c r="DI334" s="60">
        <f>(DI303/'2. Consolidated'!DI57)</f>
        <v>7.631192301725076E-2</v>
      </c>
    </row>
    <row r="335" spans="1:113" ht="12" customHeight="1">
      <c r="A335" s="219"/>
      <c r="B335" s="449" t="s">
        <v>255</v>
      </c>
      <c r="C335" s="498"/>
      <c r="D335" s="60">
        <f t="shared" ref="D335:Q335" si="745">+D303/(AVERAGE(C216:D216))</f>
        <v>0.30345009454762778</v>
      </c>
      <c r="E335" s="88">
        <f t="shared" si="745"/>
        <v>0.18206527674395842</v>
      </c>
      <c r="F335" s="60">
        <f t="shared" si="745"/>
        <v>0.1630080718120038</v>
      </c>
      <c r="G335" s="88">
        <f t="shared" si="745"/>
        <v>0.19146293735060996</v>
      </c>
      <c r="H335" s="60">
        <f t="shared" si="745"/>
        <v>0.19576021271137001</v>
      </c>
      <c r="I335" s="88">
        <f t="shared" si="745"/>
        <v>0.19130933917416396</v>
      </c>
      <c r="J335" s="60">
        <f t="shared" si="745"/>
        <v>0.20748390141277004</v>
      </c>
      <c r="K335" s="88">
        <f t="shared" si="745"/>
        <v>0.26116737796609507</v>
      </c>
      <c r="L335" s="60">
        <f t="shared" si="745"/>
        <v>0.2657606641633769</v>
      </c>
      <c r="M335" s="88">
        <f t="shared" si="745"/>
        <v>0.25729017575753971</v>
      </c>
      <c r="N335" s="60">
        <f t="shared" si="745"/>
        <v>0.24619193239203388</v>
      </c>
      <c r="O335" s="60">
        <f t="shared" si="745"/>
        <v>0.28174194396057234</v>
      </c>
      <c r="P335" s="88">
        <f t="shared" si="745"/>
        <v>0.26103727018984552</v>
      </c>
      <c r="Q335" s="60">
        <f t="shared" si="745"/>
        <v>0.24140172861651377</v>
      </c>
      <c r="R335" s="498"/>
      <c r="S335" s="498"/>
      <c r="T335" s="498"/>
      <c r="U335" s="498"/>
      <c r="V335" s="60">
        <f>+V303/(AVERAGE(Q216,V216))</f>
        <v>0.25213042812675407</v>
      </c>
      <c r="W335" s="498"/>
      <c r="X335" s="498"/>
      <c r="Y335" s="498"/>
      <c r="Z335" s="498"/>
      <c r="AA335" s="60">
        <f>+AA303/(AVERAGE(V216,AA216))</f>
        <v>0.25182226578247202</v>
      </c>
      <c r="AB335" s="504"/>
      <c r="AC335" s="498"/>
      <c r="AD335" s="498"/>
      <c r="AE335" s="498"/>
      <c r="AF335" s="498"/>
      <c r="AG335" s="60">
        <f>+AG303/(AVERAGE(AB216,AG216))</f>
        <v>0.26109244715596575</v>
      </c>
      <c r="AH335" s="498"/>
      <c r="AI335" s="498"/>
      <c r="AJ335" s="498"/>
      <c r="AK335" s="498"/>
      <c r="AL335" s="60">
        <f>+AL303/(AVERAGE(AG216,AL216))</f>
        <v>0.28417558954682792</v>
      </c>
      <c r="AM335" s="498"/>
      <c r="AN335" s="498"/>
      <c r="AO335" s="498"/>
      <c r="AP335" s="498"/>
      <c r="AQ335" s="60">
        <f>+AQ303/(AVERAGE(AL216,AQ216))</f>
        <v>0.31933529029002189</v>
      </c>
      <c r="AR335" s="498"/>
      <c r="AS335" s="498"/>
      <c r="AT335" s="498"/>
      <c r="AU335" s="498"/>
      <c r="AV335" s="60">
        <f>+AV303/(AVERAGE(AQ216,AV216))</f>
        <v>0.34552860268706714</v>
      </c>
      <c r="AW335" s="498"/>
      <c r="AX335" s="498"/>
      <c r="AY335" s="498"/>
      <c r="AZ335" s="498"/>
      <c r="BA335" s="60">
        <f>+BA303/(AVERAGE(AV216,BA216))</f>
        <v>0.39939594993709815</v>
      </c>
      <c r="BB335" s="498"/>
      <c r="BC335" s="498"/>
      <c r="BD335" s="498"/>
      <c r="BE335" s="498"/>
      <c r="BF335" s="60">
        <f>+BF303/(AVERAGE(BA216,BF216))</f>
        <v>0.42880838068340715</v>
      </c>
      <c r="BG335" s="498"/>
      <c r="BH335" s="498"/>
      <c r="BI335" s="498"/>
      <c r="BJ335" s="498"/>
      <c r="BK335" s="60">
        <f>+BK303/(AVERAGE(BF216,BK216))</f>
        <v>0.50560341038646861</v>
      </c>
      <c r="BL335" s="498"/>
      <c r="BM335" s="498"/>
      <c r="BN335" s="498"/>
      <c r="BO335" s="498"/>
      <c r="BP335" s="60">
        <f>+BP303/(AVERAGE(BK216,BP216))</f>
        <v>0.44792720007282272</v>
      </c>
      <c r="BQ335" s="498"/>
      <c r="BR335" s="498"/>
      <c r="BS335" s="498"/>
      <c r="BT335" s="498"/>
      <c r="BU335" s="60">
        <f>+BU303/(AVERAGE(BP216,BU216))</f>
        <v>0.64902674236889657</v>
      </c>
      <c r="BV335" s="498"/>
      <c r="BW335" s="498"/>
      <c r="BX335" s="498"/>
      <c r="BY335" s="498"/>
      <c r="BZ335" s="60">
        <f>+BZ303/(AVERAGE(BU216,BZ216))</f>
        <v>0.50656860936377901</v>
      </c>
      <c r="CA335" s="498"/>
      <c r="CB335" s="498"/>
      <c r="CC335" s="498"/>
      <c r="CD335" s="498"/>
      <c r="CE335" s="60">
        <f>+CE303/(AVERAGE(BZ216,CE216))</f>
        <v>0.40108540766679229</v>
      </c>
      <c r="CF335" s="498"/>
      <c r="CG335" s="498"/>
      <c r="CH335" s="498"/>
      <c r="CI335" s="498"/>
      <c r="CJ335" s="60">
        <f>+CJ303/(AVERAGE(CE216,CJ216))</f>
        <v>0.47872716597859077</v>
      </c>
      <c r="CK335" s="498"/>
      <c r="CL335" s="498"/>
      <c r="CM335" s="498"/>
      <c r="CN335" s="498"/>
      <c r="CO335" s="60">
        <f>+CO303/(AVERAGE(CJ216,CO216))</f>
        <v>0.29212665567619805</v>
      </c>
      <c r="CP335" s="498"/>
      <c r="CQ335" s="498"/>
      <c r="CR335" s="498"/>
      <c r="CS335" s="498"/>
      <c r="CT335" s="60">
        <f>+CT303/(AVERAGE(CO216,CT216))</f>
        <v>0.28359767022634746</v>
      </c>
      <c r="CU335" s="498"/>
      <c r="CV335" s="498"/>
      <c r="CW335" s="498"/>
      <c r="CX335" s="498"/>
      <c r="CY335" s="60">
        <f>+CY303/(AVERAGE(CT216,CY216))</f>
        <v>0.18505684950586723</v>
      </c>
      <c r="CZ335" s="498"/>
      <c r="DA335" s="498"/>
      <c r="DB335" s="498"/>
      <c r="DC335" s="498"/>
      <c r="DD335" s="60">
        <f>+DD303/(AVERAGE(CY216,DD216))</f>
        <v>0.18402800070005626</v>
      </c>
      <c r="DE335" s="498"/>
      <c r="DF335" s="498"/>
      <c r="DG335" s="498"/>
      <c r="DH335" s="498"/>
      <c r="DI335" s="60">
        <f>+DI303/(AVERAGE(DD216,DI216))</f>
        <v>0.21234248173807457</v>
      </c>
    </row>
    <row r="336" spans="1:113" ht="12" customHeight="1">
      <c r="A336" s="219"/>
      <c r="B336" s="449" t="s">
        <v>254</v>
      </c>
      <c r="C336" s="498" t="s">
        <v>1</v>
      </c>
      <c r="D336" s="504">
        <f>'2. Consolidated'!D86/AVERAGE(C216:D216)</f>
        <v>0.28484075594174374</v>
      </c>
      <c r="E336" s="498">
        <f>'2. Consolidated'!E86/AVERAGE(D216:E216)</f>
        <v>0.16503485956300004</v>
      </c>
      <c r="F336" s="504">
        <f>'2. Consolidated'!F86/AVERAGE(E216:F216)</f>
        <v>0.15052752849866646</v>
      </c>
      <c r="G336" s="498">
        <f>'2. Consolidated'!G86/AVERAGE(F216:G216)</f>
        <v>0.17820496971195465</v>
      </c>
      <c r="H336" s="504">
        <f>'2. Consolidated'!H86/AVERAGE(G216:H216)</f>
        <v>0.17782871620093194</v>
      </c>
      <c r="I336" s="498">
        <f>'2. Consolidated'!I86/AVERAGE(H216:I216)</f>
        <v>0.18224458352081374</v>
      </c>
      <c r="J336" s="504">
        <f>'2. Consolidated'!J86/AVERAGE(I216:J216)</f>
        <v>0.18903490287728442</v>
      </c>
      <c r="K336" s="498">
        <f>'2. Consolidated'!K86/AVERAGE(J216:K216)</f>
        <v>0.2155705003989514</v>
      </c>
      <c r="L336" s="504">
        <f>'2. Consolidated'!L86/AVERAGE(K216:L216)</f>
        <v>0.23240780703016334</v>
      </c>
      <c r="M336" s="498">
        <f>'2. Consolidated'!M86/AVERAGE(L216:M216)</f>
        <v>0.2333612740989103</v>
      </c>
      <c r="N336" s="504">
        <f>'2. Consolidated'!N86/AVERAGE(M216:N216)</f>
        <v>0.22409700102169619</v>
      </c>
      <c r="O336" s="504">
        <f>'2. Consolidated'!O86/AVERAGE(N216:O216)</f>
        <v>0.25092752822985204</v>
      </c>
      <c r="P336" s="498">
        <f>'2. Consolidated'!P86/AVERAGE(O216:P216)</f>
        <v>0.22663535807252236</v>
      </c>
      <c r="Q336" s="504">
        <f>'2. Consolidated'!Q86/AVERAGE(P216:Q216)</f>
        <v>0.20671747780175001</v>
      </c>
      <c r="R336" s="498"/>
      <c r="S336" s="498"/>
      <c r="T336" s="498"/>
      <c r="U336" s="498"/>
      <c r="V336" s="504">
        <f>'2. Consolidated'!V86/AVERAGE(Q216,V216)</f>
        <v>0.21768638056845435</v>
      </c>
      <c r="W336" s="498"/>
      <c r="X336" s="498"/>
      <c r="Y336" s="498"/>
      <c r="Z336" s="498"/>
      <c r="AA336" s="504">
        <f>'2. Consolidated'!AA86/AVERAGE(V216,AA216)</f>
        <v>0.21983781645569619</v>
      </c>
      <c r="AB336" s="504"/>
      <c r="AC336" s="498"/>
      <c r="AD336" s="498"/>
      <c r="AE336" s="498"/>
      <c r="AF336" s="498"/>
      <c r="AG336" s="504">
        <f>'2. Consolidated'!AG86/AVERAGE(AB216,AG216)</f>
        <v>0.22760830199192089</v>
      </c>
      <c r="AH336" s="498"/>
      <c r="AI336" s="498"/>
      <c r="AJ336" s="498"/>
      <c r="AK336" s="498"/>
      <c r="AL336" s="504">
        <f>'2. Consolidated'!AL86/AVERAGE(AG216,AL216)</f>
        <v>0.24504094631483167</v>
      </c>
      <c r="AM336" s="498"/>
      <c r="AN336" s="498"/>
      <c r="AO336" s="498"/>
      <c r="AP336" s="498"/>
      <c r="AQ336" s="504">
        <f>'2. Consolidated'!AQ86/AVERAGE(AL216,AQ216)</f>
        <v>0.27818622242998597</v>
      </c>
      <c r="AR336" s="498"/>
      <c r="AS336" s="498"/>
      <c r="AT336" s="498"/>
      <c r="AU336" s="498"/>
      <c r="AV336" s="504">
        <f>'2. Consolidated'!AV86/AVERAGE(AQ216,AV216)</f>
        <v>0.30122171039455237</v>
      </c>
      <c r="AW336" s="498"/>
      <c r="AX336" s="498"/>
      <c r="AY336" s="498"/>
      <c r="AZ336" s="498"/>
      <c r="BA336" s="504">
        <f>'2. Consolidated'!BA86/AVERAGE(AV216,BA216)</f>
        <v>0.34380701398743158</v>
      </c>
      <c r="BB336" s="498"/>
      <c r="BC336" s="498"/>
      <c r="BD336" s="498"/>
      <c r="BE336" s="498"/>
      <c r="BF336" s="504">
        <f>'2. Consolidated'!BF86/AVERAGE(BA216,BF216)</f>
        <v>0.35672172465007423</v>
      </c>
      <c r="BG336" s="498"/>
      <c r="BH336" s="498"/>
      <c r="BI336" s="498"/>
      <c r="BJ336" s="498"/>
      <c r="BK336" s="504">
        <f>'2. Consolidated'!BK86/AVERAGE(BF216,BK216)</f>
        <v>0.42743475493316357</v>
      </c>
      <c r="BL336" s="498"/>
      <c r="BM336" s="498"/>
      <c r="BN336" s="498"/>
      <c r="BO336" s="498"/>
      <c r="BP336" s="504">
        <f>'2. Consolidated'!BP86/AVERAGE(BK216,BP216)</f>
        <v>0.34384322901433167</v>
      </c>
      <c r="BQ336" s="498"/>
      <c r="BR336" s="498"/>
      <c r="BS336" s="498"/>
      <c r="BT336" s="498"/>
      <c r="BU336" s="504">
        <f>'2. Consolidated'!BU86/AVERAGE(BP216,BU216)</f>
        <v>0.55009124963980405</v>
      </c>
      <c r="BV336" s="498"/>
      <c r="BW336" s="498"/>
      <c r="BX336" s="498"/>
      <c r="BY336" s="498"/>
      <c r="BZ336" s="504">
        <f>'2. Consolidated'!BZ86/AVERAGE(BU216,BZ216)</f>
        <v>0.43111808328579576</v>
      </c>
      <c r="CA336" s="498"/>
      <c r="CB336" s="498"/>
      <c r="CC336" s="498"/>
      <c r="CD336" s="498"/>
      <c r="CE336" s="504">
        <f>'2. Consolidated'!CE86/AVERAGE(BZ216,CE216)</f>
        <v>0.34625234761823459</v>
      </c>
      <c r="CF336" s="498"/>
      <c r="CG336" s="498"/>
      <c r="CH336" s="498"/>
      <c r="CI336" s="498"/>
      <c r="CJ336" s="504">
        <f>'2. Consolidated'!CJ86/AVERAGE(CE216,CJ216)</f>
        <v>0.42568755714989098</v>
      </c>
      <c r="CK336" s="498"/>
      <c r="CL336" s="498"/>
      <c r="CM336" s="498"/>
      <c r="CN336" s="498"/>
      <c r="CO336" s="504">
        <f>'2. Consolidated'!CO86/AVERAGE(CJ216,CO216)</f>
        <v>0.23289802119885686</v>
      </c>
      <c r="CP336" s="498"/>
      <c r="CQ336" s="498"/>
      <c r="CR336" s="498"/>
      <c r="CS336" s="498"/>
      <c r="CT336" s="504">
        <f>'2. Consolidated'!CT86/AVERAGE(CO216,CT216)</f>
        <v>0.2213832894080775</v>
      </c>
      <c r="CU336" s="498"/>
      <c r="CV336" s="498"/>
      <c r="CW336" s="498"/>
      <c r="CX336" s="498"/>
      <c r="CY336" s="504">
        <f>'2. Consolidated'!CY86/AVERAGE(CT216,CY216)</f>
        <v>0.12412418161034346</v>
      </c>
      <c r="CZ336" s="498"/>
      <c r="DA336" s="498"/>
      <c r="DB336" s="498"/>
      <c r="DC336" s="498"/>
      <c r="DD336" s="504">
        <f>'2. Consolidated'!DD86/AVERAGE(CY216,DD216)</f>
        <v>0.11602779727837464</v>
      </c>
      <c r="DE336" s="498"/>
      <c r="DF336" s="498"/>
      <c r="DG336" s="498"/>
      <c r="DH336" s="498"/>
      <c r="DI336" s="504">
        <f>'2. Consolidated'!DI86/AVERAGE(DD216,DI216)</f>
        <v>0.13374595900976277</v>
      </c>
    </row>
    <row r="337" spans="1:120" ht="12" customHeight="1">
      <c r="A337" s="219"/>
      <c r="B337" s="449" t="s">
        <v>114</v>
      </c>
      <c r="C337" s="498"/>
      <c r="D337" s="504">
        <f t="shared" ref="D337:Q337" si="746">IFERROR(D303/AVERAGE(D203-D199,C203-C199),"-- ")</f>
        <v>0.20249151994174555</v>
      </c>
      <c r="E337" s="498">
        <f t="shared" si="746"/>
        <v>0.11852570133409326</v>
      </c>
      <c r="F337" s="504">
        <f t="shared" si="746"/>
        <v>0.1099215287985241</v>
      </c>
      <c r="G337" s="498">
        <f t="shared" si="746"/>
        <v>0.12067623381317677</v>
      </c>
      <c r="H337" s="504">
        <f t="shared" si="746"/>
        <v>0.11943961304991266</v>
      </c>
      <c r="I337" s="498">
        <f t="shared" si="746"/>
        <v>0.12279084105834072</v>
      </c>
      <c r="J337" s="504">
        <f t="shared" si="746"/>
        <v>0.12901816106669947</v>
      </c>
      <c r="K337" s="498">
        <f t="shared" si="746"/>
        <v>0.16391508194222051</v>
      </c>
      <c r="L337" s="504">
        <f t="shared" si="746"/>
        <v>0.17714829081316003</v>
      </c>
      <c r="M337" s="498">
        <f t="shared" si="746"/>
        <v>0.17454660097509572</v>
      </c>
      <c r="N337" s="504">
        <f t="shared" si="746"/>
        <v>0.16822169665964307</v>
      </c>
      <c r="O337" s="504">
        <f t="shared" si="746"/>
        <v>0.19553957923684234</v>
      </c>
      <c r="P337" s="498">
        <f t="shared" si="746"/>
        <v>0.18087940880748579</v>
      </c>
      <c r="Q337" s="504">
        <f t="shared" si="746"/>
        <v>0.16898588184437557</v>
      </c>
      <c r="R337" s="498"/>
      <c r="S337" s="498"/>
      <c r="T337" s="498"/>
      <c r="U337" s="498"/>
      <c r="V337" s="504">
        <f>IFERROR(V303/AVERAGE(V203-V199,Q203-Q199),"-- ")</f>
        <v>0.17474801061007958</v>
      </c>
      <c r="W337" s="498"/>
      <c r="X337" s="498"/>
      <c r="Y337" s="498"/>
      <c r="Z337" s="498"/>
      <c r="AA337" s="504">
        <f>IFERROR(AA303/AVERAGE(AA203-AA199,V203-V199),"-- ")</f>
        <v>0.17298507194676518</v>
      </c>
      <c r="AB337" s="504"/>
      <c r="AC337" s="498"/>
      <c r="AD337" s="498"/>
      <c r="AE337" s="498"/>
      <c r="AF337" s="498"/>
      <c r="AG337" s="504">
        <f>IFERROR(AG303/AVERAGE(AG203-AG199,AB203-AB199),"-- ")</f>
        <v>0.17553138861863696</v>
      </c>
      <c r="AH337" s="498"/>
      <c r="AI337" s="498"/>
      <c r="AJ337" s="498"/>
      <c r="AK337" s="498"/>
      <c r="AL337" s="504">
        <f>IFERROR(AL303/AVERAGE(AL203-AL199,AG203-AG199),"-- ")</f>
        <v>0.17718652723928507</v>
      </c>
      <c r="AM337" s="498"/>
      <c r="AN337" s="498"/>
      <c r="AO337" s="498"/>
      <c r="AP337" s="498"/>
      <c r="AQ337" s="504">
        <f>IFERROR(AQ303/AVERAGE(AQ203-AQ199,AL203-AL199),"-- ")</f>
        <v>0.19086790916239949</v>
      </c>
      <c r="AR337" s="498"/>
      <c r="AS337" s="498"/>
      <c r="AT337" s="498"/>
      <c r="AU337" s="498"/>
      <c r="AV337" s="504">
        <f>IFERROR(AV303/AVERAGE(AV203-AV199,AQ203-AQ199),"-- ")</f>
        <v>0.20454618149679007</v>
      </c>
      <c r="AW337" s="498"/>
      <c r="AX337" s="498"/>
      <c r="AY337" s="498"/>
      <c r="AZ337" s="498"/>
      <c r="BA337" s="504">
        <f>IFERROR(BA303/AVERAGE(BA203-BA199,AV203-AV199),"-- ")</f>
        <v>0.22480320177993487</v>
      </c>
      <c r="BB337" s="498"/>
      <c r="BC337" s="498"/>
      <c r="BD337" s="498"/>
      <c r="BE337" s="498"/>
      <c r="BF337" s="504">
        <f>IFERROR(BF303/AVERAGE(BF203-BF199,BA203-BA199),"-- ")</f>
        <v>0.21203750857712697</v>
      </c>
      <c r="BG337" s="498"/>
      <c r="BH337" s="498"/>
      <c r="BI337" s="498"/>
      <c r="BJ337" s="498"/>
      <c r="BK337" s="504">
        <f>IFERROR(BK303/AVERAGE(BK203-BK199,BF203-BF199),"-- ")</f>
        <v>0.21005433353032829</v>
      </c>
      <c r="BL337" s="498"/>
      <c r="BM337" s="498"/>
      <c r="BN337" s="498"/>
      <c r="BO337" s="498"/>
      <c r="BP337" s="504">
        <f>IFERROR(BP303/AVERAGE(BP203-BP199,BK203-BK199),"-- ")</f>
        <v>0.14147465099759637</v>
      </c>
      <c r="BQ337" s="498"/>
      <c r="BR337" s="498"/>
      <c r="BS337" s="498"/>
      <c r="BT337" s="498"/>
      <c r="BU337" s="504">
        <f>IFERROR(BU303/AVERAGE(BU203-BU199,BP203-BP199),"-- ")</f>
        <v>0.198519770097323</v>
      </c>
      <c r="BV337" s="498"/>
      <c r="BW337" s="498"/>
      <c r="BX337" s="498"/>
      <c r="BY337" s="498"/>
      <c r="BZ337" s="504">
        <f>IFERROR(BZ303/AVERAGE(BZ203-BZ199,BU203-BU199),"-- ")</f>
        <v>0.18457049045771984</v>
      </c>
      <c r="CA337" s="498"/>
      <c r="CB337" s="498"/>
      <c r="CC337" s="498"/>
      <c r="CD337" s="498"/>
      <c r="CE337" s="504">
        <f>IFERROR(CE303/AVERAGE(CE203-CE199,BZ203-BZ199),"-- ")</f>
        <v>0.15308543489934459</v>
      </c>
      <c r="CF337" s="498"/>
      <c r="CG337" s="498"/>
      <c r="CH337" s="498"/>
      <c r="CI337" s="498"/>
      <c r="CJ337" s="504">
        <f>IFERROR(CJ303/AVERAGE(CJ203-CJ199,CE203-CE199),"-- ")</f>
        <v>0.18250000988691395</v>
      </c>
      <c r="CK337" s="498"/>
      <c r="CL337" s="498"/>
      <c r="CM337" s="498"/>
      <c r="CN337" s="498"/>
      <c r="CO337" s="504">
        <f>IFERROR(CO303/AVERAGE(CO203-CO199,CJ203-CJ199),"-- ")</f>
        <v>0.10958267824913684</v>
      </c>
      <c r="CP337" s="498"/>
      <c r="CQ337" s="498"/>
      <c r="CR337" s="498"/>
      <c r="CS337" s="498"/>
      <c r="CT337" s="504">
        <f>IFERROR(CT303/AVERAGE(CT203-CT199,CO203-CO199),"-- ")</f>
        <v>0.10761924267296542</v>
      </c>
      <c r="CU337" s="498"/>
      <c r="CV337" s="498"/>
      <c r="CW337" s="498"/>
      <c r="CX337" s="498"/>
      <c r="CY337" s="504">
        <f>IFERROR(CY303/AVERAGE(CY203-CY199,CT203-CT199),"-- ")</f>
        <v>7.3898101388062659E-2</v>
      </c>
      <c r="CZ337" s="498"/>
      <c r="DA337" s="498"/>
      <c r="DB337" s="498"/>
      <c r="DC337" s="498"/>
      <c r="DD337" s="504">
        <f>IFERROR(DD303/AVERAGE(DD203-DD199,CY203-CY199),"-- ")</f>
        <v>7.5097832647781831E-2</v>
      </c>
      <c r="DE337" s="498"/>
      <c r="DF337" s="498"/>
      <c r="DG337" s="498"/>
      <c r="DH337" s="498"/>
      <c r="DI337" s="504">
        <f>IFERROR(DI303/AVERAGE(DI203-DI199,DD203-DD199),"-- ")</f>
        <v>8.5363572158567338E-2</v>
      </c>
    </row>
    <row r="338" spans="1:120" ht="12" customHeight="1">
      <c r="A338" s="219"/>
      <c r="B338" s="506" t="s">
        <v>120</v>
      </c>
      <c r="C338" s="507"/>
      <c r="D338" s="508" t="str">
        <f t="shared" ref="D338:Q338" si="747">IFERROR(D303/AVERAGE(D305-D199,C305-C199),"-- ")</f>
        <v xml:space="preserve">-- </v>
      </c>
      <c r="E338" s="507">
        <f t="shared" si="747"/>
        <v>0.17257329104690033</v>
      </c>
      <c r="F338" s="508">
        <f t="shared" si="747"/>
        <v>0.14878952403827575</v>
      </c>
      <c r="G338" s="507">
        <f t="shared" si="747"/>
        <v>0.1625508331168517</v>
      </c>
      <c r="H338" s="508">
        <f t="shared" si="747"/>
        <v>0.15795304947621355</v>
      </c>
      <c r="I338" s="507">
        <f t="shared" si="747"/>
        <v>0.16975365069291695</v>
      </c>
      <c r="J338" s="508">
        <f t="shared" si="747"/>
        <v>0.1959028111262737</v>
      </c>
      <c r="K338" s="507">
        <f t="shared" si="747"/>
        <v>0.26877127990059035</v>
      </c>
      <c r="L338" s="508">
        <f t="shared" si="747"/>
        <v>0.3145629493920295</v>
      </c>
      <c r="M338" s="507">
        <f t="shared" si="747"/>
        <v>0.33327960094978759</v>
      </c>
      <c r="N338" s="508">
        <f t="shared" si="747"/>
        <v>0.34302357754739998</v>
      </c>
      <c r="O338" s="508">
        <f t="shared" si="747"/>
        <v>0.41081915075371345</v>
      </c>
      <c r="P338" s="507">
        <f t="shared" si="747"/>
        <v>0.37273632009353319</v>
      </c>
      <c r="Q338" s="508">
        <f t="shared" si="747"/>
        <v>0.38285984167822523</v>
      </c>
      <c r="R338" s="507"/>
      <c r="S338" s="507"/>
      <c r="T338" s="507"/>
      <c r="U338" s="507"/>
      <c r="V338" s="508">
        <f>IFERROR(V303/AVERAGE(V305-V199,Q305-Q199),"-- ")</f>
        <v>0.41865785460091509</v>
      </c>
      <c r="W338" s="507"/>
      <c r="X338" s="507"/>
      <c r="Y338" s="507"/>
      <c r="Z338" s="507"/>
      <c r="AA338" s="508">
        <f>IFERROR(AA303/AVERAGE(AA305-AA199,V305-V199),"-- ")</f>
        <v>0.36726426070416918</v>
      </c>
      <c r="AB338" s="508"/>
      <c r="AC338" s="507"/>
      <c r="AD338" s="507"/>
      <c r="AE338" s="507"/>
      <c r="AF338" s="507"/>
      <c r="AG338" s="508">
        <f>IFERROR(AG303/AVERAGE(AG305-AG199,AA305-AA199),"-- ")</f>
        <v>0.37935289984470316</v>
      </c>
      <c r="AH338" s="507"/>
      <c r="AI338" s="507"/>
      <c r="AJ338" s="507"/>
      <c r="AK338" s="507"/>
      <c r="AL338" s="508">
        <f>IFERROR(AL303/AVERAGE(AL305-AL199,AG305-AG199),"-- ")</f>
        <v>0.40183861671637144</v>
      </c>
      <c r="AM338" s="507"/>
      <c r="AN338" s="507"/>
      <c r="AO338" s="507"/>
      <c r="AP338" s="507"/>
      <c r="AQ338" s="508">
        <f>IFERROR(AQ303/AVERAGE(AQ305-AQ199,AL305-AL199),"-- ")</f>
        <v>0.43442670496701774</v>
      </c>
      <c r="AR338" s="507"/>
      <c r="AS338" s="507"/>
      <c r="AT338" s="507"/>
      <c r="AU338" s="507"/>
      <c r="AV338" s="508">
        <f>IFERROR(AV303/AVERAGE(AV305-AV199,AQ305-AQ199),"-- ")</f>
        <v>0.44637110303144273</v>
      </c>
      <c r="AW338" s="507"/>
      <c r="AX338" s="507"/>
      <c r="AY338" s="507"/>
      <c r="AZ338" s="507"/>
      <c r="BA338" s="508">
        <f>IFERROR(BA303/AVERAGE(BA305-BA199,AV305-AV199),"-- ")</f>
        <v>0.45336191749268379</v>
      </c>
      <c r="BB338" s="507"/>
      <c r="BC338" s="507"/>
      <c r="BD338" s="507"/>
      <c r="BE338" s="507"/>
      <c r="BF338" s="508">
        <f>IFERROR(BF303/AVERAGE(BF305-BF199,BA305-BA199),"-- ")</f>
        <v>0.42029614938482612</v>
      </c>
      <c r="BG338" s="507"/>
      <c r="BH338" s="507"/>
      <c r="BI338" s="507"/>
      <c r="BJ338" s="507"/>
      <c r="BK338" s="508">
        <f>IFERROR(BK303/AVERAGE(BK305-BK199,BF305-BF199),"-- ")</f>
        <v>0.4348373856115742</v>
      </c>
      <c r="BL338" s="507"/>
      <c r="BM338" s="507"/>
      <c r="BN338" s="507"/>
      <c r="BO338" s="507"/>
      <c r="BP338" s="508">
        <f>IFERROR(BP303/AVERAGE(BP305-BP199,BK305-BK199),"-- ")</f>
        <v>0.35296927653936133</v>
      </c>
      <c r="BQ338" s="507"/>
      <c r="BR338" s="507"/>
      <c r="BS338" s="507"/>
      <c r="BT338" s="507"/>
      <c r="BU338" s="508">
        <f>IFERROR(BU303/AVERAGE(BU305-BU199,BP305-BP199),"-- ")</f>
        <v>0.61719194508609632</v>
      </c>
      <c r="BV338" s="507"/>
      <c r="BW338" s="507"/>
      <c r="BX338" s="507"/>
      <c r="BY338" s="507"/>
      <c r="BZ338" s="508">
        <f>IFERROR(BZ303/AVERAGE(BZ305-BZ199,BU305-BU199),"-- ")</f>
        <v>0.57813461732728155</v>
      </c>
      <c r="CA338" s="507"/>
      <c r="CB338" s="507"/>
      <c r="CC338" s="507"/>
      <c r="CD338" s="507"/>
      <c r="CE338" s="508">
        <f>IFERROR(CE303/AVERAGE(CE305-CE199,BZ305-BZ199),"-- ")</f>
        <v>0.42348522366318186</v>
      </c>
      <c r="CF338" s="507"/>
      <c r="CG338" s="507"/>
      <c r="CH338" s="507"/>
      <c r="CI338" s="507"/>
      <c r="CJ338" s="508">
        <f>IFERROR(CJ303/AVERAGE(CJ305-CJ199,CE305-CE199),"-- ")</f>
        <v>0.48873072804233986</v>
      </c>
      <c r="CK338" s="507"/>
      <c r="CL338" s="507"/>
      <c r="CM338" s="507"/>
      <c r="CN338" s="507"/>
      <c r="CO338" s="508">
        <f>IFERROR(CO303/AVERAGE(CO305-CO199,CJ305-CJ199),"-- ")</f>
        <v>0.29493269331107169</v>
      </c>
      <c r="CP338" s="507"/>
      <c r="CQ338" s="507"/>
      <c r="CR338" s="507"/>
      <c r="CS338" s="507"/>
      <c r="CT338" s="508">
        <f>IFERROR(CT303/AVERAGE(CT305-CT199,CO305-CO199),"-- ")</f>
        <v>0.27312143318866006</v>
      </c>
      <c r="CU338" s="507"/>
      <c r="CV338" s="507"/>
      <c r="CW338" s="507"/>
      <c r="CX338" s="507"/>
      <c r="CY338" s="508">
        <f>IFERROR(CY303/AVERAGE(CY305-CY199,CT305-CT199),"-- ")</f>
        <v>0.17543761117837564</v>
      </c>
      <c r="CZ338" s="507"/>
      <c r="DA338" s="507"/>
      <c r="DB338" s="507"/>
      <c r="DC338" s="507"/>
      <c r="DD338" s="508">
        <f>IFERROR(DD303/AVERAGE(DD305-DD199,CY305-CY199),"-- ")</f>
        <v>0.17431632344519463</v>
      </c>
      <c r="DE338" s="507"/>
      <c r="DF338" s="507"/>
      <c r="DG338" s="507"/>
      <c r="DH338" s="507"/>
      <c r="DI338" s="508">
        <f>IFERROR(DI303/AVERAGE(DI305-DI199,DD305-DD199),"-- ")</f>
        <v>0.19620231518544071</v>
      </c>
    </row>
    <row r="339" spans="1:120" ht="12" customHeight="1">
      <c r="A339" s="5"/>
      <c r="B339" s="305" t="s">
        <v>264</v>
      </c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6"/>
      <c r="Q339" s="306"/>
      <c r="R339" s="307"/>
      <c r="S339" s="307"/>
      <c r="T339" s="307"/>
      <c r="U339" s="307"/>
      <c r="V339" s="306"/>
      <c r="W339" s="307"/>
      <c r="X339" s="307"/>
      <c r="Y339" s="307"/>
      <c r="Z339" s="307"/>
      <c r="AA339" s="307"/>
      <c r="AB339" s="307"/>
      <c r="AC339" s="307"/>
      <c r="AD339" s="307"/>
      <c r="AE339" s="307"/>
      <c r="AF339" s="307"/>
      <c r="AG339" s="307"/>
      <c r="AH339" s="307"/>
      <c r="AI339" s="307"/>
      <c r="AJ339" s="307"/>
      <c r="AK339" s="307"/>
      <c r="AL339" s="307"/>
      <c r="AM339" s="307"/>
      <c r="AN339" s="307"/>
      <c r="AO339" s="307"/>
      <c r="AP339" s="307"/>
      <c r="AQ339" s="307"/>
      <c r="AR339" s="307"/>
      <c r="AS339" s="307"/>
      <c r="AT339" s="307"/>
      <c r="AU339" s="307"/>
      <c r="AV339" s="307"/>
      <c r="AW339" s="307"/>
      <c r="AX339" s="307"/>
      <c r="AY339" s="307"/>
      <c r="AZ339" s="307"/>
      <c r="BA339" s="307"/>
      <c r="BB339" s="307"/>
      <c r="BC339" s="307"/>
      <c r="BD339" s="307"/>
      <c r="BE339" s="307"/>
      <c r="BF339" s="307"/>
      <c r="BG339" s="307"/>
      <c r="BH339" s="307"/>
      <c r="BI339" s="307"/>
      <c r="BJ339" s="307"/>
      <c r="BK339" s="307"/>
      <c r="BL339" s="307"/>
      <c r="BM339" s="307"/>
      <c r="BN339" s="307"/>
      <c r="BO339" s="307"/>
      <c r="BP339" s="307"/>
      <c r="BQ339" s="307"/>
      <c r="BR339" s="307"/>
      <c r="BS339" s="307"/>
      <c r="BT339" s="307"/>
      <c r="BU339" s="307"/>
      <c r="BV339" s="307"/>
      <c r="BW339" s="307"/>
      <c r="BX339" s="307"/>
      <c r="BY339" s="307"/>
      <c r="BZ339" s="307"/>
      <c r="CA339" s="307"/>
      <c r="CB339" s="307"/>
      <c r="CC339" s="307"/>
      <c r="CD339" s="307"/>
      <c r="CE339" s="307"/>
      <c r="CF339" s="307"/>
      <c r="CG339" s="307"/>
      <c r="CH339" s="307"/>
      <c r="CI339" s="307"/>
      <c r="CJ339" s="307"/>
      <c r="CK339" s="307"/>
      <c r="CL339" s="307"/>
      <c r="CM339" s="307"/>
      <c r="CN339" s="307"/>
      <c r="CO339" s="307"/>
      <c r="CP339" s="307"/>
      <c r="CQ339" s="307"/>
      <c r="CR339" s="307"/>
      <c r="CS339" s="307"/>
      <c r="CT339" s="307"/>
      <c r="CU339" s="307"/>
      <c r="CV339" s="307"/>
      <c r="CW339" s="307"/>
      <c r="CX339" s="56"/>
      <c r="CY339" s="56"/>
      <c r="CZ339" s="56"/>
      <c r="DA339" s="307"/>
      <c r="DB339" s="307"/>
      <c r="DC339" s="56"/>
      <c r="DD339" s="56"/>
      <c r="DE339" s="56"/>
      <c r="DF339" s="307"/>
      <c r="DG339" s="307"/>
      <c r="DH339" s="307"/>
      <c r="DI339" s="308"/>
    </row>
    <row r="340" spans="1:120" ht="12" customHeight="1">
      <c r="A340" s="219"/>
      <c r="B340" s="74" t="s">
        <v>266</v>
      </c>
      <c r="C340" s="466" t="str">
        <f t="shared" ref="C340:O340" si="748">+C102</f>
        <v xml:space="preserve">-- </v>
      </c>
      <c r="D340" s="467" t="str">
        <f t="shared" si="748"/>
        <v xml:space="preserve">-- </v>
      </c>
      <c r="E340" s="466" t="str">
        <f t="shared" si="748"/>
        <v xml:space="preserve">-- </v>
      </c>
      <c r="F340" s="467" t="str">
        <f t="shared" si="748"/>
        <v xml:space="preserve">-- </v>
      </c>
      <c r="G340" s="466" t="str">
        <f t="shared" si="748"/>
        <v xml:space="preserve">-- </v>
      </c>
      <c r="H340" s="467" t="str">
        <f t="shared" si="748"/>
        <v xml:space="preserve">-- </v>
      </c>
      <c r="I340" s="466" t="str">
        <f t="shared" si="748"/>
        <v xml:space="preserve">-- </v>
      </c>
      <c r="J340" s="467" t="str">
        <f t="shared" si="748"/>
        <v xml:space="preserve">-- </v>
      </c>
      <c r="K340" s="466" t="str">
        <f t="shared" si="748"/>
        <v xml:space="preserve">-- </v>
      </c>
      <c r="L340" s="467" t="str">
        <f t="shared" si="748"/>
        <v xml:space="preserve">-- </v>
      </c>
      <c r="M340" s="466" t="str">
        <f t="shared" si="748"/>
        <v xml:space="preserve">-- </v>
      </c>
      <c r="N340" s="467" t="str">
        <f t="shared" si="748"/>
        <v xml:space="preserve">-- </v>
      </c>
      <c r="O340" s="467" t="str">
        <f t="shared" si="748"/>
        <v xml:space="preserve">-- </v>
      </c>
      <c r="P340" s="466">
        <f>0.49/2</f>
        <v>0.245</v>
      </c>
      <c r="Q340" s="467">
        <f>0.53/2</f>
        <v>0.26500000000000001</v>
      </c>
      <c r="R340" s="466">
        <f>0.12/2</f>
        <v>0.06</v>
      </c>
      <c r="S340" s="466">
        <f>0.16/2</f>
        <v>0.08</v>
      </c>
      <c r="T340" s="466">
        <f>0.16/2</f>
        <v>0.08</v>
      </c>
      <c r="U340" s="466">
        <f>0.16/2</f>
        <v>0.08</v>
      </c>
      <c r="V340" s="467">
        <f>0.6/2</f>
        <v>0.3</v>
      </c>
      <c r="W340" s="466">
        <f>0.16/2</f>
        <v>0.08</v>
      </c>
      <c r="X340" s="466">
        <f>0.18/2</f>
        <v>0.09</v>
      </c>
      <c r="Y340" s="466">
        <f>0.18/2</f>
        <v>0.09</v>
      </c>
      <c r="Z340" s="466">
        <f>0.18/2</f>
        <v>0.09</v>
      </c>
      <c r="AA340" s="467">
        <f>SUM(W340:Z340)</f>
        <v>0.35</v>
      </c>
      <c r="AB340" s="467">
        <f>+AA340</f>
        <v>0.35</v>
      </c>
      <c r="AC340" s="466">
        <f>0.18/2</f>
        <v>0.09</v>
      </c>
      <c r="AD340" s="466">
        <f>0.21/2</f>
        <v>0.105</v>
      </c>
      <c r="AE340" s="466">
        <f>0.21/2</f>
        <v>0.105</v>
      </c>
      <c r="AF340" s="466">
        <f>0.21/2</f>
        <v>0.105</v>
      </c>
      <c r="AG340" s="467">
        <f>SUM(AC340:AF340)</f>
        <v>0.40499999999999997</v>
      </c>
      <c r="AH340" s="466">
        <f>0.21/2</f>
        <v>0.105</v>
      </c>
      <c r="AI340" s="466">
        <f>0.24/2</f>
        <v>0.12</v>
      </c>
      <c r="AJ340" s="466">
        <f>0.24/2</f>
        <v>0.12</v>
      </c>
      <c r="AK340" s="466">
        <f>0.24/2</f>
        <v>0.12</v>
      </c>
      <c r="AL340" s="467">
        <f>SUM(AH340:AK340)</f>
        <v>0.46499999999999997</v>
      </c>
      <c r="AM340" s="466">
        <f>0.24/2</f>
        <v>0.12</v>
      </c>
      <c r="AN340" s="466">
        <f>0.28/2</f>
        <v>0.14000000000000001</v>
      </c>
      <c r="AO340" s="466">
        <f>0.28/2</f>
        <v>0.14000000000000001</v>
      </c>
      <c r="AP340" s="466">
        <f>0.28/2</f>
        <v>0.14000000000000001</v>
      </c>
      <c r="AQ340" s="467">
        <f>SUM(AM340:AP340)</f>
        <v>0.54</v>
      </c>
      <c r="AR340" s="466">
        <v>0.14000000000000001</v>
      </c>
      <c r="AS340" s="466">
        <v>0.16</v>
      </c>
      <c r="AT340" s="466">
        <v>0.16</v>
      </c>
      <c r="AU340" s="466">
        <v>0.16</v>
      </c>
      <c r="AV340" s="467">
        <f>+SUM(AR340:AU340)</f>
        <v>0.62000000000000011</v>
      </c>
      <c r="AW340" s="466">
        <v>0.16</v>
      </c>
      <c r="AX340" s="466">
        <v>0.18</v>
      </c>
      <c r="AY340" s="466">
        <v>0.18</v>
      </c>
      <c r="AZ340" s="466">
        <v>0.18</v>
      </c>
      <c r="BA340" s="467">
        <f>+SUM(AW340:AZ340)</f>
        <v>0.7</v>
      </c>
      <c r="BB340" s="466">
        <v>0.18</v>
      </c>
      <c r="BC340" s="466">
        <v>0.2</v>
      </c>
      <c r="BD340" s="466">
        <v>0.2</v>
      </c>
      <c r="BE340" s="509">
        <v>0.2</v>
      </c>
      <c r="BF340" s="467">
        <f>+SUM(BB340:BE340)</f>
        <v>0.78</v>
      </c>
      <c r="BG340" s="466">
        <v>0.2</v>
      </c>
      <c r="BH340" s="509">
        <v>0.22</v>
      </c>
      <c r="BI340" s="509">
        <v>0.22</v>
      </c>
      <c r="BJ340" s="509">
        <v>0.22</v>
      </c>
      <c r="BK340" s="467">
        <f>+SUM(BG340:BJ340)</f>
        <v>0.86</v>
      </c>
      <c r="BL340" s="509">
        <v>0.22</v>
      </c>
      <c r="BM340" s="509">
        <v>0.245</v>
      </c>
      <c r="BN340" s="509">
        <v>0.245</v>
      </c>
      <c r="BO340" s="509">
        <v>0.245</v>
      </c>
      <c r="BP340" s="467">
        <f>+SUM(BL340:BO340)</f>
        <v>0.95499999999999996</v>
      </c>
      <c r="BQ340" s="509">
        <v>0.245</v>
      </c>
      <c r="BR340" s="509">
        <v>0.27500000000000002</v>
      </c>
      <c r="BS340" s="509">
        <v>0.27500000000000002</v>
      </c>
      <c r="BT340" s="509">
        <v>0.27500000000000002</v>
      </c>
      <c r="BU340" s="467">
        <f>+SUM(BQ340:BT340)</f>
        <v>1.07</v>
      </c>
      <c r="BV340" s="509">
        <v>0.27500000000000002</v>
      </c>
      <c r="BW340" s="509">
        <v>0.30499999999999999</v>
      </c>
      <c r="BX340" s="509">
        <v>0.30499999999999999</v>
      </c>
      <c r="BY340" s="509">
        <v>0.30499999999999999</v>
      </c>
      <c r="BZ340" s="467">
        <f>+SUM(BV340:BY340)</f>
        <v>1.19</v>
      </c>
      <c r="CA340" s="509">
        <v>0.30499999999999999</v>
      </c>
      <c r="CB340" s="509">
        <v>0.34</v>
      </c>
      <c r="CC340" s="509">
        <v>0.34</v>
      </c>
      <c r="CD340" s="509">
        <v>0.34</v>
      </c>
      <c r="CE340" s="467">
        <f>+SUM(CA340:CD340)</f>
        <v>1.3250000000000002</v>
      </c>
      <c r="CF340" s="509">
        <v>0.34</v>
      </c>
      <c r="CG340" s="509">
        <v>0.37</v>
      </c>
      <c r="CH340" s="509">
        <v>0.37</v>
      </c>
      <c r="CI340" s="509">
        <v>0.37</v>
      </c>
      <c r="CJ340" s="467">
        <f>+SUM(CF340:CI340)</f>
        <v>1.4500000000000002</v>
      </c>
      <c r="CK340" s="509">
        <v>0.37</v>
      </c>
      <c r="CL340" s="509">
        <v>0.4</v>
      </c>
      <c r="CM340" s="509">
        <v>0.4</v>
      </c>
      <c r="CN340" s="509">
        <v>0.39960000000000001</v>
      </c>
      <c r="CO340" s="467">
        <f>+SUM(CK340:CN340)</f>
        <v>1.5695999999999999</v>
      </c>
      <c r="CP340" s="509">
        <v>0.4</v>
      </c>
      <c r="CQ340" s="509">
        <v>0.41</v>
      </c>
      <c r="CR340" s="509">
        <v>0.41</v>
      </c>
      <c r="CS340" s="509">
        <v>0.41</v>
      </c>
      <c r="CT340" s="467">
        <f>+SUM(CP340:CS340)</f>
        <v>1.63</v>
      </c>
      <c r="CU340" s="509">
        <v>0.41</v>
      </c>
      <c r="CV340" s="510">
        <f>CQ340*1.02</f>
        <v>0.41819999999999996</v>
      </c>
      <c r="CW340" s="510">
        <f t="shared" ref="CW340:CX340" si="749">CR340*1.02</f>
        <v>0.41819999999999996</v>
      </c>
      <c r="CX340" s="510">
        <f t="shared" si="749"/>
        <v>0.41819999999999996</v>
      </c>
      <c r="CY340" s="467">
        <f>+SUM(CU340:CX340)</f>
        <v>1.6645999999999999</v>
      </c>
      <c r="CZ340" s="510">
        <f>CU340*1.08</f>
        <v>0.44280000000000003</v>
      </c>
      <c r="DA340" s="510">
        <f t="shared" ref="DA340" si="750">CV340*1.08</f>
        <v>0.451656</v>
      </c>
      <c r="DB340" s="510">
        <f t="shared" ref="DB340" si="751">CW340*1.08</f>
        <v>0.451656</v>
      </c>
      <c r="DC340" s="510">
        <f t="shared" ref="DC340" si="752">CX340*1.08</f>
        <v>0.451656</v>
      </c>
      <c r="DD340" s="467">
        <f>+SUM(CZ340:DC340)</f>
        <v>1.797768</v>
      </c>
      <c r="DE340" s="510">
        <f>CZ340*1.08</f>
        <v>0.47822400000000004</v>
      </c>
      <c r="DF340" s="510">
        <f t="shared" ref="DF340" si="753">DA340*1.08</f>
        <v>0.48778848000000002</v>
      </c>
      <c r="DG340" s="510">
        <f t="shared" ref="DG340" si="754">DB340*1.08</f>
        <v>0.48778848000000002</v>
      </c>
      <c r="DH340" s="510">
        <f t="shared" ref="DH340" si="755">DC340*1.08</f>
        <v>0.48778848000000002</v>
      </c>
      <c r="DI340" s="467">
        <f>+SUM(DE340:DH340)</f>
        <v>1.9415894400000002</v>
      </c>
    </row>
    <row r="341" spans="1:120" ht="12" customHeight="1">
      <c r="A341" s="219"/>
      <c r="B341" s="74" t="s">
        <v>215</v>
      </c>
      <c r="C341" s="376"/>
      <c r="D341" s="375"/>
      <c r="E341" s="376"/>
      <c r="F341" s="375"/>
      <c r="G341" s="376"/>
      <c r="H341" s="375"/>
      <c r="I341" s="376"/>
      <c r="J341" s="375"/>
      <c r="K341" s="376"/>
      <c r="L341" s="375"/>
      <c r="M341" s="376"/>
      <c r="N341" s="375"/>
      <c r="O341" s="375"/>
      <c r="P341" s="376"/>
      <c r="Q341" s="42">
        <f>+Q340/P340-1</f>
        <v>8.163265306122458E-2</v>
      </c>
      <c r="R341" s="399" t="s">
        <v>126</v>
      </c>
      <c r="S341" s="399" t="s">
        <v>126</v>
      </c>
      <c r="T341" s="399" t="s">
        <v>126</v>
      </c>
      <c r="U341" s="399" t="s">
        <v>126</v>
      </c>
      <c r="V341" s="42">
        <f t="shared" ref="V341:AA341" si="756">+V340/Q340-1</f>
        <v>0.13207547169811318</v>
      </c>
      <c r="W341" s="49">
        <f t="shared" si="756"/>
        <v>0.33333333333333348</v>
      </c>
      <c r="X341" s="49">
        <f t="shared" si="756"/>
        <v>0.125</v>
      </c>
      <c r="Y341" s="49">
        <f t="shared" si="756"/>
        <v>0.125</v>
      </c>
      <c r="Z341" s="49">
        <f t="shared" si="756"/>
        <v>0.125</v>
      </c>
      <c r="AA341" s="42">
        <f t="shared" si="756"/>
        <v>0.16666666666666674</v>
      </c>
      <c r="AB341" s="42">
        <f>+AA341</f>
        <v>0.16666666666666674</v>
      </c>
      <c r="AC341" s="49">
        <f>+AC340/W340-1</f>
        <v>0.125</v>
      </c>
      <c r="AD341" s="49">
        <f>+AD340/X340-1</f>
        <v>0.16666666666666674</v>
      </c>
      <c r="AE341" s="49">
        <f>+AE340/Y340-1</f>
        <v>0.16666666666666674</v>
      </c>
      <c r="AF341" s="49">
        <f>+AF340/Z340-1</f>
        <v>0.16666666666666674</v>
      </c>
      <c r="AG341" s="42">
        <f t="shared" ref="AG341:AW341" si="757">+AG340/AB340-1</f>
        <v>0.15714285714285703</v>
      </c>
      <c r="AH341" s="49">
        <f t="shared" si="757"/>
        <v>0.16666666666666674</v>
      </c>
      <c r="AI341" s="49">
        <f t="shared" si="757"/>
        <v>0.14285714285714279</v>
      </c>
      <c r="AJ341" s="49">
        <f t="shared" si="757"/>
        <v>0.14285714285714279</v>
      </c>
      <c r="AK341" s="49">
        <f t="shared" si="757"/>
        <v>0.14285714285714279</v>
      </c>
      <c r="AL341" s="42">
        <f t="shared" si="757"/>
        <v>0.14814814814814814</v>
      </c>
      <c r="AM341" s="49">
        <f t="shared" si="757"/>
        <v>0.14285714285714279</v>
      </c>
      <c r="AN341" s="49">
        <f t="shared" si="757"/>
        <v>0.16666666666666674</v>
      </c>
      <c r="AO341" s="49">
        <f t="shared" si="757"/>
        <v>0.16666666666666674</v>
      </c>
      <c r="AP341" s="49">
        <f t="shared" si="757"/>
        <v>0.16666666666666674</v>
      </c>
      <c r="AQ341" s="42">
        <f t="shared" si="757"/>
        <v>0.16129032258064524</v>
      </c>
      <c r="AR341" s="49">
        <f t="shared" si="757"/>
        <v>0.16666666666666674</v>
      </c>
      <c r="AS341" s="49">
        <f t="shared" si="757"/>
        <v>0.14285714285714279</v>
      </c>
      <c r="AT341" s="49">
        <f t="shared" si="757"/>
        <v>0.14285714285714279</v>
      </c>
      <c r="AU341" s="49">
        <f t="shared" si="757"/>
        <v>0.14285714285714279</v>
      </c>
      <c r="AV341" s="42">
        <f t="shared" si="757"/>
        <v>0.14814814814814836</v>
      </c>
      <c r="AW341" s="49">
        <f t="shared" si="757"/>
        <v>0.14285714285714279</v>
      </c>
      <c r="AX341" s="49">
        <f t="shared" ref="AX341:BP341" si="758">+AX340/AS340-1</f>
        <v>0.125</v>
      </c>
      <c r="AY341" s="49">
        <f t="shared" si="758"/>
        <v>0.125</v>
      </c>
      <c r="AZ341" s="49">
        <f t="shared" si="758"/>
        <v>0.125</v>
      </c>
      <c r="BA341" s="42">
        <f t="shared" si="758"/>
        <v>0.12903225806451579</v>
      </c>
      <c r="BB341" s="49">
        <f t="shared" si="758"/>
        <v>0.125</v>
      </c>
      <c r="BC341" s="49">
        <f t="shared" si="758"/>
        <v>0.11111111111111116</v>
      </c>
      <c r="BD341" s="49">
        <f t="shared" si="758"/>
        <v>0.11111111111111116</v>
      </c>
      <c r="BE341" s="49">
        <f t="shared" si="758"/>
        <v>0.11111111111111116</v>
      </c>
      <c r="BF341" s="42">
        <f t="shared" si="758"/>
        <v>0.11428571428571432</v>
      </c>
      <c r="BG341" s="49">
        <f t="shared" si="758"/>
        <v>0.11111111111111116</v>
      </c>
      <c r="BH341" s="49">
        <f t="shared" si="758"/>
        <v>9.9999999999999867E-2</v>
      </c>
      <c r="BI341" s="49">
        <f t="shared" si="758"/>
        <v>9.9999999999999867E-2</v>
      </c>
      <c r="BJ341" s="49">
        <f t="shared" si="758"/>
        <v>9.9999999999999867E-2</v>
      </c>
      <c r="BK341" s="42">
        <f t="shared" si="758"/>
        <v>0.10256410256410242</v>
      </c>
      <c r="BL341" s="49">
        <f>+BL340/BG340-1</f>
        <v>9.9999999999999867E-2</v>
      </c>
      <c r="BM341" s="49">
        <f>+BM340/BH340-1</f>
        <v>0.11363636363636354</v>
      </c>
      <c r="BN341" s="49">
        <f>+BN340/BI340-1</f>
        <v>0.11363636363636354</v>
      </c>
      <c r="BO341" s="49">
        <f>+BO340/BJ340-1</f>
        <v>0.11363636363636354</v>
      </c>
      <c r="BP341" s="42">
        <f t="shared" si="758"/>
        <v>0.11046511627906974</v>
      </c>
      <c r="BQ341" s="49">
        <f t="shared" ref="BQ341:CC341" si="759">+BQ340/BL340-1</f>
        <v>0.11363636363636354</v>
      </c>
      <c r="BR341" s="49">
        <f t="shared" si="759"/>
        <v>0.12244897959183687</v>
      </c>
      <c r="BS341" s="49">
        <f t="shared" si="759"/>
        <v>0.12244897959183687</v>
      </c>
      <c r="BT341" s="49">
        <f t="shared" si="759"/>
        <v>0.12244897959183687</v>
      </c>
      <c r="BU341" s="42">
        <f t="shared" si="759"/>
        <v>0.12041884816753945</v>
      </c>
      <c r="BV341" s="49">
        <f t="shared" si="759"/>
        <v>0.12244897959183687</v>
      </c>
      <c r="BW341" s="49">
        <f t="shared" si="759"/>
        <v>0.10909090909090891</v>
      </c>
      <c r="BX341" s="49">
        <f t="shared" si="759"/>
        <v>0.10909090909090891</v>
      </c>
      <c r="BY341" s="49">
        <f t="shared" si="759"/>
        <v>0.10909090909090891</v>
      </c>
      <c r="BZ341" s="42">
        <f t="shared" si="759"/>
        <v>0.11214953271028016</v>
      </c>
      <c r="CA341" s="49">
        <f t="shared" si="759"/>
        <v>0.10909090909090891</v>
      </c>
      <c r="CB341" s="49">
        <f t="shared" ref="CB341" si="760">+CB340/BW340-1</f>
        <v>0.11475409836065587</v>
      </c>
      <c r="CC341" s="49">
        <f t="shared" si="759"/>
        <v>0.11475409836065587</v>
      </c>
      <c r="CD341" s="49">
        <f t="shared" ref="CD341" si="761">+CD340/BY340-1</f>
        <v>0.11475409836065587</v>
      </c>
      <c r="CE341" s="42">
        <f t="shared" ref="CE341" si="762">+CE340/BZ340-1</f>
        <v>0.11344537815126077</v>
      </c>
      <c r="CF341" s="49">
        <f t="shared" ref="CF341" si="763">+CF340/CA340-1</f>
        <v>0.11475409836065587</v>
      </c>
      <c r="CG341" s="49">
        <f t="shared" ref="CG341" si="764">+CG340/CB340-1</f>
        <v>8.8235294117646967E-2</v>
      </c>
      <c r="CH341" s="49">
        <f t="shared" ref="CH341" si="765">+CH340/CC340-1</f>
        <v>8.8235294117646967E-2</v>
      </c>
      <c r="CI341" s="49">
        <f t="shared" ref="CI341" si="766">+CI340/CD340-1</f>
        <v>8.8235294117646967E-2</v>
      </c>
      <c r="CJ341" s="42">
        <f t="shared" ref="CJ341:CK341" si="767">+CJ340/CE340-1</f>
        <v>9.4339622641509413E-2</v>
      </c>
      <c r="CK341" s="49">
        <f t="shared" si="767"/>
        <v>8.8235294117646967E-2</v>
      </c>
      <c r="CL341" s="49">
        <f>+CL340/CG340-1</f>
        <v>8.1081081081081141E-2</v>
      </c>
      <c r="CM341" s="49">
        <f t="shared" ref="CM341" si="768">+CM340/CH340-1</f>
        <v>8.1081081081081141E-2</v>
      </c>
      <c r="CN341" s="49">
        <f t="shared" ref="CN341" si="769">+CN340/CI340-1</f>
        <v>8.0000000000000071E-2</v>
      </c>
      <c r="CO341" s="42">
        <f t="shared" ref="CO341:CP341" si="770">+CO340/CJ340-1</f>
        <v>8.2482758620689545E-2</v>
      </c>
      <c r="CP341" s="49">
        <f t="shared" si="770"/>
        <v>8.1081081081081141E-2</v>
      </c>
      <c r="CQ341" s="49">
        <f>+CQ340/CL340-1</f>
        <v>2.4999999999999911E-2</v>
      </c>
      <c r="CR341" s="49">
        <f t="shared" ref="CR341" si="771">+CR340/CM340-1</f>
        <v>2.4999999999999911E-2</v>
      </c>
      <c r="CS341" s="49">
        <f t="shared" ref="CS341" si="772">+CS340/CN340-1</f>
        <v>2.6026026026025884E-2</v>
      </c>
      <c r="CT341" s="42">
        <f t="shared" ref="CT341" si="773">+CT340/CO340-1</f>
        <v>3.8481141692150889E-2</v>
      </c>
      <c r="CU341" s="49">
        <f t="shared" ref="CU341" si="774">+CU340/CP340-1</f>
        <v>2.4999999999999911E-2</v>
      </c>
      <c r="CV341" s="49">
        <f t="shared" ref="CV341" si="775">+CV340/CQ340-1</f>
        <v>2.0000000000000018E-2</v>
      </c>
      <c r="CW341" s="49">
        <f t="shared" ref="CW341" si="776">+CW340/CR340-1</f>
        <v>2.0000000000000018E-2</v>
      </c>
      <c r="CX341" s="49">
        <f t="shared" ref="CX341" si="777">+CX340/CS340-1</f>
        <v>2.0000000000000018E-2</v>
      </c>
      <c r="CY341" s="42">
        <f t="shared" ref="CY341" si="778">+CY340/CT340-1</f>
        <v>2.1226993865030686E-2</v>
      </c>
      <c r="CZ341" s="49">
        <f t="shared" ref="CZ341" si="779">+CZ340/CU340-1</f>
        <v>8.0000000000000071E-2</v>
      </c>
      <c r="DA341" s="49">
        <f t="shared" ref="DA341" si="780">+DA340/CV340-1</f>
        <v>8.0000000000000071E-2</v>
      </c>
      <c r="DB341" s="49">
        <f t="shared" ref="DB341" si="781">+DB340/CW340-1</f>
        <v>8.0000000000000071E-2</v>
      </c>
      <c r="DC341" s="49">
        <f t="shared" ref="DC341" si="782">+DC340/CX340-1</f>
        <v>8.0000000000000071E-2</v>
      </c>
      <c r="DD341" s="42">
        <f t="shared" ref="DD341" si="783">+DD340/CY340-1</f>
        <v>8.0000000000000071E-2</v>
      </c>
      <c r="DE341" s="49">
        <f t="shared" ref="DE341" si="784">+DE340/CZ340-1</f>
        <v>8.0000000000000071E-2</v>
      </c>
      <c r="DF341" s="49">
        <f t="shared" ref="DF341" si="785">+DF340/DA340-1</f>
        <v>8.0000000000000071E-2</v>
      </c>
      <c r="DG341" s="49">
        <f t="shared" ref="DG341" si="786">+DG340/DB340-1</f>
        <v>8.0000000000000071E-2</v>
      </c>
      <c r="DH341" s="49">
        <f t="shared" ref="DH341" si="787">+DH340/DC340-1</f>
        <v>8.0000000000000071E-2</v>
      </c>
      <c r="DI341" s="42">
        <f t="shared" ref="DI341" si="788">+DI340/DD340-1</f>
        <v>8.0000000000000071E-2</v>
      </c>
    </row>
    <row r="342" spans="1:120" ht="12" customHeight="1">
      <c r="A342" s="219"/>
      <c r="B342" s="74" t="s">
        <v>267</v>
      </c>
      <c r="C342" s="466" t="str">
        <f t="shared" ref="C342:Q342" si="789">+C340</f>
        <v xml:space="preserve">-- </v>
      </c>
      <c r="D342" s="467" t="str">
        <f t="shared" si="789"/>
        <v xml:space="preserve">-- </v>
      </c>
      <c r="E342" s="466" t="str">
        <f t="shared" si="789"/>
        <v xml:space="preserve">-- </v>
      </c>
      <c r="F342" s="467" t="str">
        <f t="shared" si="789"/>
        <v xml:space="preserve">-- </v>
      </c>
      <c r="G342" s="466" t="str">
        <f t="shared" si="789"/>
        <v xml:space="preserve">-- </v>
      </c>
      <c r="H342" s="467" t="str">
        <f t="shared" si="789"/>
        <v xml:space="preserve">-- </v>
      </c>
      <c r="I342" s="466" t="str">
        <f t="shared" si="789"/>
        <v xml:space="preserve">-- </v>
      </c>
      <c r="J342" s="467" t="str">
        <f t="shared" si="789"/>
        <v xml:space="preserve">-- </v>
      </c>
      <c r="K342" s="466" t="str">
        <f t="shared" si="789"/>
        <v xml:space="preserve">-- </v>
      </c>
      <c r="L342" s="467" t="str">
        <f t="shared" si="789"/>
        <v xml:space="preserve">-- </v>
      </c>
      <c r="M342" s="466" t="str">
        <f t="shared" si="789"/>
        <v xml:space="preserve">-- </v>
      </c>
      <c r="N342" s="467" t="str">
        <f t="shared" si="789"/>
        <v xml:space="preserve">-- </v>
      </c>
      <c r="O342" s="467" t="str">
        <f t="shared" si="789"/>
        <v xml:space="preserve">-- </v>
      </c>
      <c r="P342" s="466">
        <f t="shared" si="789"/>
        <v>0.245</v>
      </c>
      <c r="Q342" s="467">
        <f t="shared" si="789"/>
        <v>0.26500000000000001</v>
      </c>
      <c r="R342" s="511" t="s">
        <v>126</v>
      </c>
      <c r="S342" s="511" t="s">
        <v>126</v>
      </c>
      <c r="T342" s="511" t="s">
        <v>126</v>
      </c>
      <c r="U342" s="511" t="s">
        <v>126</v>
      </c>
      <c r="V342" s="467">
        <f>+V340</f>
        <v>0.3</v>
      </c>
      <c r="W342" s="466">
        <f>+W340*4</f>
        <v>0.32</v>
      </c>
      <c r="X342" s="466">
        <f>+X340*4</f>
        <v>0.36</v>
      </c>
      <c r="Y342" s="466">
        <f>+Y340*4</f>
        <v>0.36</v>
      </c>
      <c r="Z342" s="466">
        <f>+Z340*4</f>
        <v>0.36</v>
      </c>
      <c r="AA342" s="467">
        <f>+AA340</f>
        <v>0.35</v>
      </c>
      <c r="AB342" s="467">
        <f>+AB340</f>
        <v>0.35</v>
      </c>
      <c r="AC342" s="466">
        <f>+AC340*4</f>
        <v>0.36</v>
      </c>
      <c r="AD342" s="466">
        <f>+AD340*4</f>
        <v>0.42</v>
      </c>
      <c r="AE342" s="466">
        <f>+AE340*4</f>
        <v>0.42</v>
      </c>
      <c r="AF342" s="466">
        <f>+AF340*4</f>
        <v>0.42</v>
      </c>
      <c r="AG342" s="467">
        <f>+AG340</f>
        <v>0.40499999999999997</v>
      </c>
      <c r="AH342" s="466">
        <f>+AH340*4</f>
        <v>0.42</v>
      </c>
      <c r="AI342" s="466">
        <f>+AI340*4</f>
        <v>0.48</v>
      </c>
      <c r="AJ342" s="466">
        <f>+AJ340*4</f>
        <v>0.48</v>
      </c>
      <c r="AK342" s="466">
        <f>+AK340*4</f>
        <v>0.48</v>
      </c>
      <c r="AL342" s="467">
        <f>+AL340</f>
        <v>0.46499999999999997</v>
      </c>
      <c r="AM342" s="466">
        <f>+AM340*4</f>
        <v>0.48</v>
      </c>
      <c r="AN342" s="466">
        <f>+AN340*4</f>
        <v>0.56000000000000005</v>
      </c>
      <c r="AO342" s="466">
        <f>+AO340*4</f>
        <v>0.56000000000000005</v>
      </c>
      <c r="AP342" s="466">
        <f>+AP340*4</f>
        <v>0.56000000000000005</v>
      </c>
      <c r="AQ342" s="467">
        <f>+AQ340</f>
        <v>0.54</v>
      </c>
      <c r="AR342" s="466">
        <f>+AR340*4</f>
        <v>0.56000000000000005</v>
      </c>
      <c r="AS342" s="466">
        <f>+AS340*4</f>
        <v>0.64</v>
      </c>
      <c r="AT342" s="466">
        <f>+AT340*4</f>
        <v>0.64</v>
      </c>
      <c r="AU342" s="466">
        <f>+AU340*4</f>
        <v>0.64</v>
      </c>
      <c r="AV342" s="467">
        <f>+AV340</f>
        <v>0.62000000000000011</v>
      </c>
      <c r="AW342" s="466">
        <f>+AW340*4</f>
        <v>0.64</v>
      </c>
      <c r="AX342" s="466">
        <f>+AX340*4</f>
        <v>0.72</v>
      </c>
      <c r="AY342" s="466">
        <f>+AY340*4</f>
        <v>0.72</v>
      </c>
      <c r="AZ342" s="466">
        <f>+AZ340*4</f>
        <v>0.72</v>
      </c>
      <c r="BA342" s="467">
        <f>+BA340</f>
        <v>0.7</v>
      </c>
      <c r="BB342" s="466">
        <f>+BB340*4</f>
        <v>0.72</v>
      </c>
      <c r="BC342" s="466">
        <f>+BC340*4</f>
        <v>0.8</v>
      </c>
      <c r="BD342" s="466">
        <f>+BD340*4</f>
        <v>0.8</v>
      </c>
      <c r="BE342" s="466">
        <f>+BE340*4</f>
        <v>0.8</v>
      </c>
      <c r="BF342" s="467">
        <f>+BF340</f>
        <v>0.78</v>
      </c>
      <c r="BG342" s="466">
        <f>+BG340*4</f>
        <v>0.8</v>
      </c>
      <c r="BH342" s="466">
        <f>+BH340*4</f>
        <v>0.88</v>
      </c>
      <c r="BI342" s="466">
        <f>+BI340*4</f>
        <v>0.88</v>
      </c>
      <c r="BJ342" s="466">
        <f>+BJ340*4</f>
        <v>0.88</v>
      </c>
      <c r="BK342" s="467">
        <f>+BK340</f>
        <v>0.86</v>
      </c>
      <c r="BL342" s="466">
        <f>+BL340*4</f>
        <v>0.88</v>
      </c>
      <c r="BM342" s="466">
        <f>+BM340*4</f>
        <v>0.98</v>
      </c>
      <c r="BN342" s="466">
        <f>+BN340*4</f>
        <v>0.98</v>
      </c>
      <c r="BO342" s="466">
        <f>+BO340*4</f>
        <v>0.98</v>
      </c>
      <c r="BP342" s="467">
        <f>+BP340</f>
        <v>0.95499999999999996</v>
      </c>
      <c r="BQ342" s="466">
        <f>+BQ340*4</f>
        <v>0.98</v>
      </c>
      <c r="BR342" s="466">
        <f>+BR340*4</f>
        <v>1.1000000000000001</v>
      </c>
      <c r="BS342" s="466">
        <f>+BS340*4</f>
        <v>1.1000000000000001</v>
      </c>
      <c r="BT342" s="466">
        <f>+BT340*4</f>
        <v>1.1000000000000001</v>
      </c>
      <c r="BU342" s="467">
        <f>+BU340</f>
        <v>1.07</v>
      </c>
      <c r="BV342" s="466">
        <f>+BV340*4</f>
        <v>1.1000000000000001</v>
      </c>
      <c r="BW342" s="466">
        <f>+BW340*4</f>
        <v>1.22</v>
      </c>
      <c r="BX342" s="466">
        <f>+BX340*4</f>
        <v>1.22</v>
      </c>
      <c r="BY342" s="466">
        <f>+BY340*4</f>
        <v>1.22</v>
      </c>
      <c r="BZ342" s="467">
        <f>+BZ340</f>
        <v>1.19</v>
      </c>
      <c r="CA342" s="466">
        <f>+CA340*4</f>
        <v>1.22</v>
      </c>
      <c r="CB342" s="466">
        <f>+CB340*4</f>
        <v>1.36</v>
      </c>
      <c r="CC342" s="466">
        <f>+CC340*4</f>
        <v>1.36</v>
      </c>
      <c r="CD342" s="466">
        <f>+CD340*4</f>
        <v>1.36</v>
      </c>
      <c r="CE342" s="467">
        <f>+CE340</f>
        <v>1.3250000000000002</v>
      </c>
      <c r="CF342" s="466">
        <f>+CF340*4</f>
        <v>1.36</v>
      </c>
      <c r="CG342" s="466">
        <f>+CG340*4</f>
        <v>1.48</v>
      </c>
      <c r="CH342" s="466">
        <f>+CH340*4</f>
        <v>1.48</v>
      </c>
      <c r="CI342" s="466">
        <f>+CI340*4</f>
        <v>1.48</v>
      </c>
      <c r="CJ342" s="467">
        <f>+CJ340</f>
        <v>1.4500000000000002</v>
      </c>
      <c r="CK342" s="466">
        <f>+CK340*4</f>
        <v>1.48</v>
      </c>
      <c r="CL342" s="466">
        <f>+CL340*4</f>
        <v>1.6</v>
      </c>
      <c r="CM342" s="466">
        <f>+CM340*4</f>
        <v>1.6</v>
      </c>
      <c r="CN342" s="466">
        <f>+CN340*4</f>
        <v>1.5984</v>
      </c>
      <c r="CO342" s="467">
        <f>+CO340</f>
        <v>1.5695999999999999</v>
      </c>
      <c r="CP342" s="466">
        <f>+CP340*4</f>
        <v>1.6</v>
      </c>
      <c r="CQ342" s="466">
        <f>+CQ340*4</f>
        <v>1.64</v>
      </c>
      <c r="CR342" s="466">
        <f>+CR340*4</f>
        <v>1.64</v>
      </c>
      <c r="CS342" s="466">
        <f>+CS340*4</f>
        <v>1.64</v>
      </c>
      <c r="CT342" s="467">
        <f>+CT340</f>
        <v>1.63</v>
      </c>
      <c r="CU342" s="466">
        <f>+CU340*4</f>
        <v>1.64</v>
      </c>
      <c r="CV342" s="466">
        <f>+CV340*4</f>
        <v>1.6727999999999998</v>
      </c>
      <c r="CW342" s="466">
        <f>+CW340*4</f>
        <v>1.6727999999999998</v>
      </c>
      <c r="CX342" s="466">
        <f>+CX340*4</f>
        <v>1.6727999999999998</v>
      </c>
      <c r="CY342" s="467">
        <f>+CY340</f>
        <v>1.6645999999999999</v>
      </c>
      <c r="CZ342" s="466">
        <f>+CZ340*4</f>
        <v>1.7712000000000001</v>
      </c>
      <c r="DA342" s="466">
        <f>+DA340*4</f>
        <v>1.806624</v>
      </c>
      <c r="DB342" s="466">
        <f>+DB340*4</f>
        <v>1.806624</v>
      </c>
      <c r="DC342" s="466">
        <f>+DC340*4</f>
        <v>1.806624</v>
      </c>
      <c r="DD342" s="467">
        <f>+DD340</f>
        <v>1.797768</v>
      </c>
      <c r="DE342" s="466">
        <f>+DE340*4</f>
        <v>1.9128960000000002</v>
      </c>
      <c r="DF342" s="466">
        <f>+DF340*4</f>
        <v>1.9511539200000001</v>
      </c>
      <c r="DG342" s="466">
        <f>+DG340*4</f>
        <v>1.9511539200000001</v>
      </c>
      <c r="DH342" s="466">
        <f>+DH340*4</f>
        <v>1.9511539200000001</v>
      </c>
      <c r="DI342" s="467">
        <f>+DI340</f>
        <v>1.9415894400000002</v>
      </c>
    </row>
    <row r="343" spans="1:120" ht="12" customHeight="1">
      <c r="A343" s="219"/>
      <c r="B343" s="74" t="s">
        <v>265</v>
      </c>
      <c r="C343" s="511" t="s">
        <v>126</v>
      </c>
      <c r="D343" s="512" t="s">
        <v>126</v>
      </c>
      <c r="E343" s="511" t="s">
        <v>126</v>
      </c>
      <c r="F343" s="512" t="s">
        <v>126</v>
      </c>
      <c r="G343" s="511" t="s">
        <v>126</v>
      </c>
      <c r="H343" s="512" t="s">
        <v>126</v>
      </c>
      <c r="I343" s="511" t="s">
        <v>126</v>
      </c>
      <c r="J343" s="512" t="s">
        <v>126</v>
      </c>
      <c r="K343" s="511" t="s">
        <v>126</v>
      </c>
      <c r="L343" s="512" t="s">
        <v>126</v>
      </c>
      <c r="M343" s="511" t="s">
        <v>126</v>
      </c>
      <c r="N343" s="512" t="s">
        <v>126</v>
      </c>
      <c r="O343" s="512" t="s">
        <v>126</v>
      </c>
      <c r="P343" s="511" t="s">
        <v>126</v>
      </c>
      <c r="Q343" s="512" t="s">
        <v>126</v>
      </c>
      <c r="R343" s="511" t="s">
        <v>126</v>
      </c>
      <c r="S343" s="511" t="s">
        <v>126</v>
      </c>
      <c r="T343" s="511" t="s">
        <v>126</v>
      </c>
      <c r="U343" s="511" t="s">
        <v>126</v>
      </c>
      <c r="V343" s="512" t="s">
        <v>126</v>
      </c>
      <c r="W343" s="466">
        <f>+U340</f>
        <v>0.08</v>
      </c>
      <c r="X343" s="466">
        <f>+W340</f>
        <v>0.08</v>
      </c>
      <c r="Y343" s="466">
        <f>+X340</f>
        <v>0.09</v>
      </c>
      <c r="Z343" s="466">
        <f>+Y340</f>
        <v>0.09</v>
      </c>
      <c r="AA343" s="467">
        <f>+SUM(W343:Z343)</f>
        <v>0.33999999999999997</v>
      </c>
      <c r="AB343" s="467">
        <f>+AA343</f>
        <v>0.33999999999999997</v>
      </c>
      <c r="AC343" s="466">
        <f>+Z340</f>
        <v>0.09</v>
      </c>
      <c r="AD343" s="466">
        <f>+AC340</f>
        <v>0.09</v>
      </c>
      <c r="AE343" s="466">
        <f>+AD340</f>
        <v>0.105</v>
      </c>
      <c r="AF343" s="466">
        <f>+AE340</f>
        <v>0.105</v>
      </c>
      <c r="AG343" s="467">
        <f>+SUM(AC343:AF343)</f>
        <v>0.38999999999999996</v>
      </c>
      <c r="AH343" s="466">
        <f>+AF340</f>
        <v>0.105</v>
      </c>
      <c r="AI343" s="466">
        <f>+AH340</f>
        <v>0.105</v>
      </c>
      <c r="AJ343" s="466">
        <f>+AI340</f>
        <v>0.12</v>
      </c>
      <c r="AK343" s="466">
        <f>+AJ340</f>
        <v>0.12</v>
      </c>
      <c r="AL343" s="467">
        <f>+SUM(AH343:AK343)</f>
        <v>0.44999999999999996</v>
      </c>
      <c r="AM343" s="466">
        <f>+AK340</f>
        <v>0.12</v>
      </c>
      <c r="AN343" s="466">
        <f>+AM340</f>
        <v>0.12</v>
      </c>
      <c r="AO343" s="466">
        <f>+AN340</f>
        <v>0.14000000000000001</v>
      </c>
      <c r="AP343" s="466">
        <f>+AO340</f>
        <v>0.14000000000000001</v>
      </c>
      <c r="AQ343" s="467">
        <f>+SUM(AM343:AP343)</f>
        <v>0.52</v>
      </c>
      <c r="AR343" s="466">
        <f>+AP340</f>
        <v>0.14000000000000001</v>
      </c>
      <c r="AS343" s="466">
        <f>+AR340</f>
        <v>0.14000000000000001</v>
      </c>
      <c r="AT343" s="466">
        <f>+AS340</f>
        <v>0.16</v>
      </c>
      <c r="AU343" s="466">
        <f>+AT340</f>
        <v>0.16</v>
      </c>
      <c r="AV343" s="467">
        <f>+SUM(AR343:AU343)</f>
        <v>0.60000000000000009</v>
      </c>
      <c r="AW343" s="466">
        <f>+AU340</f>
        <v>0.16</v>
      </c>
      <c r="AX343" s="466">
        <f>+AW340</f>
        <v>0.16</v>
      </c>
      <c r="AY343" s="466">
        <f>+AX340</f>
        <v>0.18</v>
      </c>
      <c r="AZ343" s="466">
        <f>+AY340</f>
        <v>0.18</v>
      </c>
      <c r="BA343" s="467">
        <f>+SUM(AW343:AZ343)</f>
        <v>0.67999999999999994</v>
      </c>
      <c r="BB343" s="466">
        <f>+AZ340</f>
        <v>0.18</v>
      </c>
      <c r="BC343" s="466">
        <f>+BB340</f>
        <v>0.18</v>
      </c>
      <c r="BD343" s="466">
        <f>+BC340</f>
        <v>0.2</v>
      </c>
      <c r="BE343" s="466">
        <f>+BD340</f>
        <v>0.2</v>
      </c>
      <c r="BF343" s="467">
        <f>+SUM(BB343:BE343)</f>
        <v>0.76</v>
      </c>
      <c r="BG343" s="466">
        <f>+BE340</f>
        <v>0.2</v>
      </c>
      <c r="BH343" s="466">
        <f>+BG340</f>
        <v>0.2</v>
      </c>
      <c r="BI343" s="466">
        <f>+BH340</f>
        <v>0.22</v>
      </c>
      <c r="BJ343" s="466">
        <f>+BI340</f>
        <v>0.22</v>
      </c>
      <c r="BK343" s="467">
        <f>+SUM(BG343:BJ343)</f>
        <v>0.84</v>
      </c>
      <c r="BL343" s="466">
        <f>+BJ340</f>
        <v>0.22</v>
      </c>
      <c r="BM343" s="466">
        <f>+BL340</f>
        <v>0.22</v>
      </c>
      <c r="BN343" s="466">
        <f>+BM340</f>
        <v>0.245</v>
      </c>
      <c r="BO343" s="466">
        <f>+BN340</f>
        <v>0.245</v>
      </c>
      <c r="BP343" s="467">
        <f>+SUM(BL343:BO343)</f>
        <v>0.93</v>
      </c>
      <c r="BQ343" s="466">
        <f>+BO340</f>
        <v>0.245</v>
      </c>
      <c r="BR343" s="466">
        <f>+BQ340</f>
        <v>0.245</v>
      </c>
      <c r="BS343" s="466">
        <f>+BR340</f>
        <v>0.27500000000000002</v>
      </c>
      <c r="BT343" s="466">
        <f>+BS340</f>
        <v>0.27500000000000002</v>
      </c>
      <c r="BU343" s="467">
        <f>+SUM(BQ343:BT343)</f>
        <v>1.04</v>
      </c>
      <c r="BV343" s="466">
        <f>+BT340</f>
        <v>0.27500000000000002</v>
      </c>
      <c r="BW343" s="466">
        <f>+BV340</f>
        <v>0.27500000000000002</v>
      </c>
      <c r="BX343" s="466">
        <f>+BW340</f>
        <v>0.30499999999999999</v>
      </c>
      <c r="BY343" s="466">
        <f>+BX340</f>
        <v>0.30499999999999999</v>
      </c>
      <c r="BZ343" s="467">
        <f>+SUM(BV343:BY343)</f>
        <v>1.1599999999999999</v>
      </c>
      <c r="CA343" s="466">
        <f>+BY340</f>
        <v>0.30499999999999999</v>
      </c>
      <c r="CB343" s="466">
        <f>+CA340</f>
        <v>0.30499999999999999</v>
      </c>
      <c r="CC343" s="466">
        <f>+CB340</f>
        <v>0.34</v>
      </c>
      <c r="CD343" s="466">
        <f>+CC340</f>
        <v>0.34</v>
      </c>
      <c r="CE343" s="467">
        <f>+SUM(CA343:CD343)</f>
        <v>1.29</v>
      </c>
      <c r="CF343" s="466">
        <f>+CD340</f>
        <v>0.34</v>
      </c>
      <c r="CG343" s="466">
        <f>+CF340</f>
        <v>0.34</v>
      </c>
      <c r="CH343" s="466">
        <f>+CG340</f>
        <v>0.37</v>
      </c>
      <c r="CI343" s="466">
        <f>+CH340</f>
        <v>0.37</v>
      </c>
      <c r="CJ343" s="467">
        <f>+SUM(CF343:CI343)</f>
        <v>1.42</v>
      </c>
      <c r="CK343" s="466">
        <f>+CI340</f>
        <v>0.37</v>
      </c>
      <c r="CL343" s="466">
        <f>+CK340</f>
        <v>0.37</v>
      </c>
      <c r="CM343" s="466">
        <f>+CL340</f>
        <v>0.4</v>
      </c>
      <c r="CN343" s="466">
        <f>+CM340</f>
        <v>0.4</v>
      </c>
      <c r="CO343" s="467">
        <f>+SUM(CK343:CN343)</f>
        <v>1.54</v>
      </c>
      <c r="CP343" s="466">
        <f>+CN340</f>
        <v>0.39960000000000001</v>
      </c>
      <c r="CQ343" s="466">
        <f>+CP340</f>
        <v>0.4</v>
      </c>
      <c r="CR343" s="466">
        <f>+CQ340</f>
        <v>0.41</v>
      </c>
      <c r="CS343" s="466">
        <f>+CR340</f>
        <v>0.41</v>
      </c>
      <c r="CT343" s="467">
        <f>+SUM(CP343:CS343)</f>
        <v>1.6195999999999999</v>
      </c>
      <c r="CU343" s="466">
        <f>+CS340</f>
        <v>0.41</v>
      </c>
      <c r="CV343" s="466">
        <f>+CU340</f>
        <v>0.41</v>
      </c>
      <c r="CW343" s="466">
        <f>+CV340</f>
        <v>0.41819999999999996</v>
      </c>
      <c r="CX343" s="466">
        <f>+CW340</f>
        <v>0.41819999999999996</v>
      </c>
      <c r="CY343" s="467">
        <f>+SUM(CU343:CX343)</f>
        <v>1.6563999999999999</v>
      </c>
      <c r="CZ343" s="466">
        <f>+CX340</f>
        <v>0.41819999999999996</v>
      </c>
      <c r="DA343" s="466">
        <f>+CZ340</f>
        <v>0.44280000000000003</v>
      </c>
      <c r="DB343" s="466">
        <f>+DA340</f>
        <v>0.451656</v>
      </c>
      <c r="DC343" s="466">
        <f>+DB340</f>
        <v>0.451656</v>
      </c>
      <c r="DD343" s="467">
        <f>+SUM(CZ343:DC343)</f>
        <v>1.7643120000000001</v>
      </c>
      <c r="DE343" s="466">
        <f>+DC340</f>
        <v>0.451656</v>
      </c>
      <c r="DF343" s="466">
        <f>+DE340</f>
        <v>0.47822400000000004</v>
      </c>
      <c r="DG343" s="466">
        <f>+DF340</f>
        <v>0.48778848000000002</v>
      </c>
      <c r="DH343" s="466">
        <f>+DG340</f>
        <v>0.48778848000000002</v>
      </c>
      <c r="DI343" s="467">
        <f>+SUM(DE343:DH343)</f>
        <v>1.9054569600000002</v>
      </c>
      <c r="DP343" s="10"/>
    </row>
    <row r="344" spans="1:120" ht="12" customHeight="1">
      <c r="A344" s="219"/>
      <c r="B344" s="74" t="s">
        <v>268</v>
      </c>
      <c r="C344" s="511" t="s">
        <v>126</v>
      </c>
      <c r="D344" s="512" t="s">
        <v>126</v>
      </c>
      <c r="E344" s="511" t="s">
        <v>126</v>
      </c>
      <c r="F344" s="512" t="s">
        <v>126</v>
      </c>
      <c r="G344" s="511" t="s">
        <v>126</v>
      </c>
      <c r="H344" s="512" t="s">
        <v>126</v>
      </c>
      <c r="I344" s="511" t="s">
        <v>126</v>
      </c>
      <c r="J344" s="512" t="s">
        <v>126</v>
      </c>
      <c r="K344" s="511" t="s">
        <v>126</v>
      </c>
      <c r="L344" s="512" t="s">
        <v>126</v>
      </c>
      <c r="M344" s="511" t="s">
        <v>126</v>
      </c>
      <c r="N344" s="512" t="s">
        <v>126</v>
      </c>
      <c r="O344" s="512" t="s">
        <v>126</v>
      </c>
      <c r="P344" s="511" t="s">
        <v>126</v>
      </c>
      <c r="Q344" s="512" t="s">
        <v>126</v>
      </c>
      <c r="R344" s="511" t="s">
        <v>126</v>
      </c>
      <c r="S344" s="511" t="s">
        <v>126</v>
      </c>
      <c r="T344" s="511" t="s">
        <v>126</v>
      </c>
      <c r="U344" s="511" t="s">
        <v>126</v>
      </c>
      <c r="V344" s="512" t="s">
        <v>126</v>
      </c>
      <c r="W344" s="466">
        <f>+W343*4</f>
        <v>0.32</v>
      </c>
      <c r="X344" s="466">
        <f>+X343*4</f>
        <v>0.32</v>
      </c>
      <c r="Y344" s="466">
        <f>+Y343*4</f>
        <v>0.36</v>
      </c>
      <c r="Z344" s="466">
        <f>+Z343*4</f>
        <v>0.36</v>
      </c>
      <c r="AA344" s="467">
        <f>+AA343</f>
        <v>0.33999999999999997</v>
      </c>
      <c r="AB344" s="467">
        <f>+AB343</f>
        <v>0.33999999999999997</v>
      </c>
      <c r="AC344" s="466">
        <f>+AC343*4</f>
        <v>0.36</v>
      </c>
      <c r="AD344" s="466">
        <f>+AD343*4</f>
        <v>0.36</v>
      </c>
      <c r="AE344" s="466">
        <f>+AE343*4</f>
        <v>0.42</v>
      </c>
      <c r="AF344" s="466">
        <f>+AF343*4</f>
        <v>0.42</v>
      </c>
      <c r="AG344" s="467">
        <f>+AG343</f>
        <v>0.38999999999999996</v>
      </c>
      <c r="AH344" s="466">
        <f>+AH343*4</f>
        <v>0.42</v>
      </c>
      <c r="AI344" s="466">
        <f>+AI343*4</f>
        <v>0.42</v>
      </c>
      <c r="AJ344" s="466">
        <f>+AJ343*4</f>
        <v>0.48</v>
      </c>
      <c r="AK344" s="466">
        <f>+AK343*4</f>
        <v>0.48</v>
      </c>
      <c r="AL344" s="467">
        <f>+AL343</f>
        <v>0.44999999999999996</v>
      </c>
      <c r="AM344" s="466">
        <f>+AM343*4</f>
        <v>0.48</v>
      </c>
      <c r="AN344" s="466">
        <f>+AN343*4</f>
        <v>0.48</v>
      </c>
      <c r="AO344" s="466">
        <f>+AO343*4</f>
        <v>0.56000000000000005</v>
      </c>
      <c r="AP344" s="466">
        <f>+AP343*4</f>
        <v>0.56000000000000005</v>
      </c>
      <c r="AQ344" s="467">
        <f>+AQ343</f>
        <v>0.52</v>
      </c>
      <c r="AR344" s="466">
        <f>+AR343*4</f>
        <v>0.56000000000000005</v>
      </c>
      <c r="AS344" s="466">
        <f>+AS343*4</f>
        <v>0.56000000000000005</v>
      </c>
      <c r="AT344" s="466">
        <f>+AT343*4</f>
        <v>0.64</v>
      </c>
      <c r="AU344" s="466">
        <f>+AU343*4</f>
        <v>0.64</v>
      </c>
      <c r="AV344" s="467">
        <f>+AV343</f>
        <v>0.60000000000000009</v>
      </c>
      <c r="AW344" s="466">
        <f>+AW343*4</f>
        <v>0.64</v>
      </c>
      <c r="AX344" s="466">
        <f>+AX343*4</f>
        <v>0.64</v>
      </c>
      <c r="AY344" s="466">
        <f>+AY343*4</f>
        <v>0.72</v>
      </c>
      <c r="AZ344" s="466">
        <f>+AZ343*4</f>
        <v>0.72</v>
      </c>
      <c r="BA344" s="467">
        <f>+BA343</f>
        <v>0.67999999999999994</v>
      </c>
      <c r="BB344" s="466">
        <f>+BB343*4</f>
        <v>0.72</v>
      </c>
      <c r="BC344" s="466">
        <f>+BC343*4</f>
        <v>0.72</v>
      </c>
      <c r="BD344" s="466">
        <f>+BD343*4</f>
        <v>0.8</v>
      </c>
      <c r="BE344" s="466">
        <f>+BE343*4</f>
        <v>0.8</v>
      </c>
      <c r="BF344" s="467">
        <f>+BF343</f>
        <v>0.76</v>
      </c>
      <c r="BG344" s="466">
        <f>+BG343*4</f>
        <v>0.8</v>
      </c>
      <c r="BH344" s="466">
        <f>+BH343*4</f>
        <v>0.8</v>
      </c>
      <c r="BI344" s="466">
        <f>+BI343*4</f>
        <v>0.88</v>
      </c>
      <c r="BJ344" s="466">
        <f>+BJ343*4</f>
        <v>0.88</v>
      </c>
      <c r="BK344" s="467">
        <f>+BK343</f>
        <v>0.84</v>
      </c>
      <c r="BL344" s="466">
        <f>+BL343*4</f>
        <v>0.88</v>
      </c>
      <c r="BM344" s="466">
        <f>+BM343*4</f>
        <v>0.88</v>
      </c>
      <c r="BN344" s="466">
        <f>+BN343*4</f>
        <v>0.98</v>
      </c>
      <c r="BO344" s="466">
        <f>+BO343*4</f>
        <v>0.98</v>
      </c>
      <c r="BP344" s="467">
        <f>+BP343</f>
        <v>0.93</v>
      </c>
      <c r="BQ344" s="466">
        <f>+BQ343*4</f>
        <v>0.98</v>
      </c>
      <c r="BR344" s="466">
        <f>+BR343*4</f>
        <v>0.98</v>
      </c>
      <c r="BS344" s="466">
        <f>+BS343*4</f>
        <v>1.1000000000000001</v>
      </c>
      <c r="BT344" s="466">
        <f>+BT343*4</f>
        <v>1.1000000000000001</v>
      </c>
      <c r="BU344" s="467">
        <f>+BU343</f>
        <v>1.04</v>
      </c>
      <c r="BV344" s="466">
        <f>+BV343*4</f>
        <v>1.1000000000000001</v>
      </c>
      <c r="BW344" s="466">
        <f>+BW343*4</f>
        <v>1.1000000000000001</v>
      </c>
      <c r="BX344" s="466">
        <f>+BX343*4</f>
        <v>1.22</v>
      </c>
      <c r="BY344" s="466">
        <f>+BY343*4</f>
        <v>1.22</v>
      </c>
      <c r="BZ344" s="467">
        <f>+BZ343</f>
        <v>1.1599999999999999</v>
      </c>
      <c r="CA344" s="466">
        <f>+CA343*4</f>
        <v>1.22</v>
      </c>
      <c r="CB344" s="466">
        <f>+CB343*4</f>
        <v>1.22</v>
      </c>
      <c r="CC344" s="466">
        <f>+CC343*4</f>
        <v>1.36</v>
      </c>
      <c r="CD344" s="466">
        <f>+CD343*4</f>
        <v>1.36</v>
      </c>
      <c r="CE344" s="467">
        <f>+CE343</f>
        <v>1.29</v>
      </c>
      <c r="CF344" s="466">
        <f>+CF343*4</f>
        <v>1.36</v>
      </c>
      <c r="CG344" s="466">
        <f>+CG343*4</f>
        <v>1.36</v>
      </c>
      <c r="CH344" s="466">
        <f>+CH343*4</f>
        <v>1.48</v>
      </c>
      <c r="CI344" s="466">
        <f>+CI343*4</f>
        <v>1.48</v>
      </c>
      <c r="CJ344" s="467">
        <f>+CJ343</f>
        <v>1.42</v>
      </c>
      <c r="CK344" s="466">
        <f>+CK343*4</f>
        <v>1.48</v>
      </c>
      <c r="CL344" s="466">
        <f>+CL343*4</f>
        <v>1.48</v>
      </c>
      <c r="CM344" s="466">
        <f>+CM343*4</f>
        <v>1.6</v>
      </c>
      <c r="CN344" s="466">
        <f>+CN343*4</f>
        <v>1.6</v>
      </c>
      <c r="CO344" s="467">
        <f>+CO343</f>
        <v>1.54</v>
      </c>
      <c r="CP344" s="466">
        <f>+CP343*4</f>
        <v>1.5984</v>
      </c>
      <c r="CQ344" s="466">
        <f>+CQ343*4</f>
        <v>1.6</v>
      </c>
      <c r="CR344" s="466">
        <f>+CR343*4</f>
        <v>1.64</v>
      </c>
      <c r="CS344" s="466">
        <f>+CS343*4</f>
        <v>1.64</v>
      </c>
      <c r="CT344" s="467">
        <f>+CT343</f>
        <v>1.6195999999999999</v>
      </c>
      <c r="CU344" s="466">
        <f>+CU343*4</f>
        <v>1.64</v>
      </c>
      <c r="CV344" s="466">
        <f>+CV343*4</f>
        <v>1.64</v>
      </c>
      <c r="CW344" s="466">
        <f>+CW343*4</f>
        <v>1.6727999999999998</v>
      </c>
      <c r="CX344" s="466">
        <f>+CX343*4</f>
        <v>1.6727999999999998</v>
      </c>
      <c r="CY344" s="467">
        <f>+CY343</f>
        <v>1.6563999999999999</v>
      </c>
      <c r="CZ344" s="466">
        <f>+CZ343*4</f>
        <v>1.6727999999999998</v>
      </c>
      <c r="DA344" s="466">
        <f>+DA343*4</f>
        <v>1.7712000000000001</v>
      </c>
      <c r="DB344" s="466">
        <f>+DB343*4</f>
        <v>1.806624</v>
      </c>
      <c r="DC344" s="466">
        <f>+DC343*4</f>
        <v>1.806624</v>
      </c>
      <c r="DD344" s="467">
        <f>+DD343</f>
        <v>1.7643120000000001</v>
      </c>
      <c r="DE344" s="466">
        <f>+DE343*4</f>
        <v>1.806624</v>
      </c>
      <c r="DF344" s="466">
        <f>+DF343*4</f>
        <v>1.9128960000000002</v>
      </c>
      <c r="DG344" s="466">
        <f>+DG343*4</f>
        <v>1.9511539200000001</v>
      </c>
      <c r="DH344" s="466">
        <f>+DH343*4</f>
        <v>1.9511539200000001</v>
      </c>
      <c r="DI344" s="467">
        <f>+DI343</f>
        <v>1.9054569600000002</v>
      </c>
      <c r="DP344" s="10"/>
    </row>
    <row r="345" spans="1:120" ht="12" customHeight="1">
      <c r="A345" s="219"/>
      <c r="B345" s="74"/>
      <c r="C345" s="9"/>
      <c r="D345" s="41"/>
      <c r="E345" s="9"/>
      <c r="F345" s="41"/>
      <c r="G345" s="9"/>
      <c r="H345" s="41"/>
      <c r="I345" s="9"/>
      <c r="J345" s="41"/>
      <c r="K345" s="9"/>
      <c r="L345" s="41"/>
      <c r="M345" s="9"/>
      <c r="N345" s="41"/>
      <c r="O345" s="41"/>
      <c r="P345" s="9"/>
      <c r="Q345" s="41"/>
      <c r="R345" s="9"/>
      <c r="S345" s="9"/>
      <c r="T345" s="9"/>
      <c r="U345" s="9"/>
      <c r="V345" s="41"/>
      <c r="W345" s="9"/>
      <c r="X345" s="9"/>
      <c r="Y345" s="9"/>
      <c r="Z345" s="9"/>
      <c r="AA345" s="41"/>
      <c r="AB345" s="41"/>
      <c r="AC345" s="9"/>
      <c r="AD345" s="9"/>
      <c r="AE345" s="9"/>
      <c r="AF345" s="9"/>
      <c r="AG345" s="41"/>
      <c r="AH345" s="9"/>
      <c r="AI345" s="9"/>
      <c r="AJ345" s="9"/>
      <c r="AK345" s="9"/>
      <c r="AL345" s="41"/>
      <c r="AM345" s="9"/>
      <c r="AN345" s="9"/>
      <c r="AO345" s="9"/>
      <c r="AP345" s="9"/>
      <c r="AQ345" s="41"/>
      <c r="AR345" s="9"/>
      <c r="AS345" s="9"/>
      <c r="AT345" s="9"/>
      <c r="AU345" s="9"/>
      <c r="AV345" s="41"/>
      <c r="AW345" s="9"/>
      <c r="AX345" s="9"/>
      <c r="AY345" s="9"/>
      <c r="AZ345" s="9"/>
      <c r="BA345" s="41"/>
      <c r="BB345" s="9"/>
      <c r="BC345" s="9"/>
      <c r="BD345" s="9"/>
      <c r="BE345" s="9"/>
      <c r="BF345" s="41"/>
      <c r="BG345" s="49"/>
      <c r="BH345" s="9"/>
      <c r="BI345" s="9"/>
      <c r="BJ345" s="9"/>
      <c r="BK345" s="41"/>
      <c r="BL345" s="9"/>
      <c r="BM345" s="9"/>
      <c r="BN345" s="9"/>
      <c r="BO345" s="9"/>
      <c r="BP345" s="41"/>
      <c r="BQ345" s="9"/>
      <c r="BR345" s="9"/>
      <c r="BS345" s="9"/>
      <c r="BT345" s="9"/>
      <c r="BU345" s="41"/>
      <c r="BV345" s="9"/>
      <c r="BW345" s="9"/>
      <c r="BX345" s="9"/>
      <c r="BY345" s="9"/>
      <c r="BZ345" s="41"/>
      <c r="CA345" s="9"/>
      <c r="CB345" s="9"/>
      <c r="CC345" s="9"/>
      <c r="CD345" s="9"/>
      <c r="CE345" s="41"/>
      <c r="CF345" s="9"/>
      <c r="CG345" s="9"/>
      <c r="CH345" s="9"/>
      <c r="CI345" s="9"/>
      <c r="CJ345" s="41"/>
      <c r="CK345" s="9"/>
      <c r="CL345" s="9"/>
      <c r="CM345" s="9"/>
      <c r="CN345" s="9"/>
      <c r="CO345" s="41"/>
      <c r="CP345" s="9"/>
      <c r="CQ345" s="9"/>
      <c r="CR345" s="9"/>
      <c r="CS345" s="9"/>
      <c r="CT345" s="41"/>
      <c r="CU345" s="9"/>
      <c r="CV345" s="9"/>
      <c r="CW345" s="9"/>
      <c r="CX345" s="9"/>
      <c r="CY345" s="41"/>
      <c r="CZ345" s="9"/>
      <c r="DA345" s="9"/>
      <c r="DB345" s="9"/>
      <c r="DC345" s="9"/>
      <c r="DD345" s="41"/>
      <c r="DE345" s="9"/>
      <c r="DF345" s="9"/>
      <c r="DG345" s="9"/>
      <c r="DH345" s="9"/>
      <c r="DI345" s="41"/>
    </row>
    <row r="346" spans="1:120" ht="12" customHeight="1">
      <c r="A346" s="5"/>
      <c r="B346" s="300" t="s">
        <v>218</v>
      </c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  <c r="BL346" s="47"/>
      <c r="BM346" s="47"/>
      <c r="BN346" s="47"/>
      <c r="BO346" s="47"/>
      <c r="BP346" s="47"/>
      <c r="BQ346" s="47"/>
      <c r="BR346" s="47"/>
      <c r="BS346" s="47"/>
      <c r="BT346" s="47"/>
      <c r="BU346" s="47"/>
      <c r="BV346" s="47"/>
      <c r="BW346" s="47"/>
      <c r="BX346" s="47"/>
      <c r="BY346" s="47"/>
      <c r="BZ346" s="47"/>
      <c r="CA346" s="47"/>
      <c r="CB346" s="47"/>
      <c r="CC346" s="47"/>
      <c r="CD346" s="47"/>
      <c r="CE346" s="47"/>
      <c r="CF346" s="47"/>
      <c r="CG346" s="47"/>
      <c r="CH346" s="47"/>
      <c r="CI346" s="47"/>
      <c r="CJ346" s="47"/>
      <c r="CK346" s="47"/>
      <c r="CL346" s="47"/>
      <c r="CM346" s="47"/>
      <c r="CN346" s="47"/>
      <c r="CO346" s="47"/>
      <c r="CP346" s="47"/>
      <c r="CQ346" s="47"/>
      <c r="CR346" s="47"/>
      <c r="CS346" s="47"/>
      <c r="CT346" s="47"/>
      <c r="CU346" s="47"/>
      <c r="CV346" s="47"/>
      <c r="CW346" s="47"/>
      <c r="CX346" s="56"/>
      <c r="CY346" s="56"/>
      <c r="CZ346" s="56"/>
      <c r="DA346" s="47"/>
      <c r="DB346" s="47"/>
      <c r="DC346" s="56"/>
      <c r="DD346" s="56"/>
      <c r="DE346" s="56"/>
      <c r="DF346" s="47"/>
      <c r="DG346" s="47"/>
      <c r="DH346" s="47"/>
      <c r="DI346" s="301"/>
    </row>
    <row r="347" spans="1:120" ht="12" customHeight="1">
      <c r="A347" s="219"/>
      <c r="B347" s="74"/>
      <c r="C347" s="9"/>
      <c r="D347" s="41"/>
      <c r="E347" s="9"/>
      <c r="F347" s="41"/>
      <c r="G347" s="9"/>
      <c r="H347" s="41"/>
      <c r="I347" s="9"/>
      <c r="J347" s="41"/>
      <c r="K347" s="9"/>
      <c r="L347" s="41"/>
      <c r="M347" s="9"/>
      <c r="N347" s="41"/>
      <c r="O347" s="41"/>
      <c r="P347" s="9"/>
      <c r="Q347" s="41"/>
      <c r="R347" s="9"/>
      <c r="S347" s="9"/>
      <c r="T347" s="9"/>
      <c r="U347" s="9"/>
      <c r="V347" s="41"/>
      <c r="W347" s="9"/>
      <c r="X347" s="9"/>
      <c r="Y347" s="9"/>
      <c r="Z347" s="9"/>
      <c r="AA347" s="41"/>
      <c r="AB347" s="41"/>
      <c r="AC347" s="9"/>
      <c r="AD347" s="9"/>
      <c r="AE347" s="9"/>
      <c r="AF347" s="9"/>
      <c r="AG347" s="41"/>
      <c r="AH347" s="9"/>
      <c r="AI347" s="9"/>
      <c r="AJ347" s="9"/>
      <c r="AK347" s="9"/>
      <c r="AL347" s="41"/>
      <c r="AM347" s="9"/>
      <c r="AN347" s="9"/>
      <c r="AO347" s="9"/>
      <c r="AP347" s="9"/>
      <c r="AQ347" s="41"/>
      <c r="AR347" s="9"/>
      <c r="AS347" s="9"/>
      <c r="AT347" s="9"/>
      <c r="AU347" s="9"/>
      <c r="AV347" s="41"/>
      <c r="AW347" s="9"/>
      <c r="AX347" s="9"/>
      <c r="AY347" s="9"/>
      <c r="AZ347" s="9"/>
      <c r="BA347" s="41"/>
      <c r="BB347" s="9"/>
      <c r="BC347" s="9"/>
      <c r="BD347" s="9"/>
      <c r="BE347" s="9"/>
      <c r="BF347" s="41"/>
      <c r="BG347" s="9"/>
      <c r="BH347" s="9"/>
      <c r="BI347" s="9"/>
      <c r="BJ347" s="9"/>
      <c r="BK347" s="41"/>
      <c r="BL347" s="9"/>
      <c r="BM347" s="9"/>
      <c r="BN347" s="9"/>
      <c r="BO347" s="9"/>
      <c r="BP347" s="41"/>
      <c r="BQ347" s="9"/>
      <c r="BR347" s="9"/>
      <c r="BS347" s="9"/>
      <c r="BT347" s="9"/>
      <c r="BU347" s="41"/>
      <c r="BV347" s="9"/>
      <c r="BW347" s="9"/>
      <c r="BX347" s="9"/>
      <c r="BY347" s="9"/>
      <c r="BZ347" s="41"/>
      <c r="CA347" s="9"/>
      <c r="CB347" s="9"/>
      <c r="CC347" s="9"/>
      <c r="CD347" s="9"/>
      <c r="CE347" s="41"/>
      <c r="CF347" s="9"/>
      <c r="CG347" s="9"/>
      <c r="CH347" s="9"/>
      <c r="CI347" s="9"/>
      <c r="CJ347" s="41"/>
      <c r="CK347" s="9"/>
      <c r="CL347" s="9"/>
      <c r="CM347" s="9"/>
      <c r="CN347" s="9"/>
      <c r="CO347" s="41"/>
      <c r="CP347" s="9"/>
      <c r="CQ347" s="9"/>
      <c r="CR347" s="9"/>
      <c r="CS347" s="9"/>
      <c r="CT347" s="41"/>
      <c r="CU347" s="9"/>
      <c r="CV347" s="9"/>
      <c r="CW347" s="9"/>
      <c r="CX347" s="9"/>
      <c r="CY347" s="41"/>
      <c r="CZ347" s="9"/>
      <c r="DA347" s="9"/>
      <c r="DB347" s="9"/>
      <c r="DC347" s="9"/>
      <c r="DD347" s="41"/>
      <c r="DE347" s="9"/>
      <c r="DF347" s="9"/>
      <c r="DG347" s="9"/>
      <c r="DH347" s="9"/>
      <c r="DI347" s="41"/>
    </row>
    <row r="348" spans="1:120" ht="12" customHeight="1">
      <c r="A348" s="219"/>
      <c r="B348" s="74" t="s">
        <v>219</v>
      </c>
      <c r="C348" s="9"/>
      <c r="D348" s="41"/>
      <c r="E348" s="9"/>
      <c r="F348" s="41"/>
      <c r="G348" s="9"/>
      <c r="H348" s="41"/>
      <c r="I348" s="9"/>
      <c r="J348" s="41"/>
      <c r="K348" s="9"/>
      <c r="L348" s="41"/>
      <c r="M348" s="9"/>
      <c r="N348" s="41"/>
      <c r="O348" s="41"/>
      <c r="P348" s="9"/>
      <c r="Q348" s="41">
        <f t="shared" ref="Q348:AA348" si="790">+Q88</f>
        <v>1936</v>
      </c>
      <c r="R348" s="9">
        <f t="shared" si="790"/>
        <v>1911.6</v>
      </c>
      <c r="S348" s="9">
        <f t="shared" si="790"/>
        <v>1914</v>
      </c>
      <c r="T348" s="9">
        <f t="shared" si="790"/>
        <v>1896.4</v>
      </c>
      <c r="U348" s="9">
        <f t="shared" si="790"/>
        <v>1872</v>
      </c>
      <c r="V348" s="41">
        <f t="shared" si="790"/>
        <v>1872</v>
      </c>
      <c r="W348" s="9">
        <f t="shared" si="790"/>
        <v>1856</v>
      </c>
      <c r="X348" s="9">
        <f t="shared" si="790"/>
        <v>1836</v>
      </c>
      <c r="Y348" s="9">
        <f t="shared" si="790"/>
        <v>1832</v>
      </c>
      <c r="Z348" s="9">
        <f t="shared" si="790"/>
        <v>1836</v>
      </c>
      <c r="AA348" s="41">
        <f t="shared" si="790"/>
        <v>1836</v>
      </c>
      <c r="AB348" s="41"/>
      <c r="AC348" s="9">
        <f t="shared" ref="AC348:BE348" si="791">+AC88</f>
        <v>1804</v>
      </c>
      <c r="AD348" s="9">
        <f t="shared" si="791"/>
        <v>1792</v>
      </c>
      <c r="AE348" s="9">
        <f t="shared" si="791"/>
        <v>1788</v>
      </c>
      <c r="AF348" s="9">
        <f t="shared" si="791"/>
        <v>1788</v>
      </c>
      <c r="AG348" s="41">
        <f t="shared" si="791"/>
        <v>1788</v>
      </c>
      <c r="AH348" s="9">
        <f t="shared" si="791"/>
        <v>1778</v>
      </c>
      <c r="AI348" s="9">
        <f t="shared" si="791"/>
        <v>1776</v>
      </c>
      <c r="AJ348" s="9">
        <f t="shared" si="791"/>
        <v>1788</v>
      </c>
      <c r="AK348" s="9">
        <f t="shared" si="791"/>
        <v>1740</v>
      </c>
      <c r="AL348" s="41">
        <f t="shared" si="791"/>
        <v>1740</v>
      </c>
      <c r="AM348" s="9">
        <f t="shared" si="791"/>
        <v>1728</v>
      </c>
      <c r="AN348" s="9">
        <f t="shared" si="791"/>
        <v>1728</v>
      </c>
      <c r="AO348" s="9">
        <f t="shared" si="791"/>
        <v>1720</v>
      </c>
      <c r="AP348" s="9">
        <f t="shared" si="791"/>
        <v>1710.703178</v>
      </c>
      <c r="AQ348" s="41">
        <f t="shared" si="791"/>
        <v>1710.703178</v>
      </c>
      <c r="AR348" s="9">
        <f t="shared" si="791"/>
        <v>1704.38752</v>
      </c>
      <c r="AS348" s="9">
        <f t="shared" si="791"/>
        <v>1706.6</v>
      </c>
      <c r="AT348" s="9">
        <f t="shared" si="791"/>
        <v>1737.3</v>
      </c>
      <c r="AU348" s="9">
        <f t="shared" si="791"/>
        <v>1677.618635</v>
      </c>
      <c r="AV348" s="41">
        <f t="shared" si="791"/>
        <v>1677.618635</v>
      </c>
      <c r="AW348" s="9">
        <f t="shared" si="791"/>
        <v>1665.4342059999999</v>
      </c>
      <c r="AX348" s="9">
        <f t="shared" si="791"/>
        <v>1654.4771300000002</v>
      </c>
      <c r="AY348" s="9">
        <f t="shared" si="791"/>
        <v>1650.766552</v>
      </c>
      <c r="AZ348" s="9">
        <f t="shared" si="791"/>
        <v>1643.1950650000001</v>
      </c>
      <c r="BA348" s="41">
        <f t="shared" si="791"/>
        <v>1643.1950650000001</v>
      </c>
      <c r="BB348" s="9">
        <f t="shared" si="791"/>
        <v>1631.518452</v>
      </c>
      <c r="BC348" s="9">
        <f t="shared" si="791"/>
        <v>1626.9406329999999</v>
      </c>
      <c r="BD348" s="9">
        <f t="shared" si="791"/>
        <v>1611.7593919999999</v>
      </c>
      <c r="BE348" s="9">
        <f t="shared" si="791"/>
        <v>1600.5545380000001</v>
      </c>
      <c r="BF348" s="41">
        <f>+BE348</f>
        <v>1600.5545380000001</v>
      </c>
      <c r="BG348" s="9">
        <f t="shared" ref="BG348:BJ350" si="792">+BG88</f>
        <v>1588.108352</v>
      </c>
      <c r="BH348" s="9">
        <f t="shared" si="792"/>
        <v>1573.7975449999999</v>
      </c>
      <c r="BI348" s="9">
        <f t="shared" si="792"/>
        <v>1571.749591</v>
      </c>
      <c r="BJ348" s="9">
        <f t="shared" si="792"/>
        <v>1566.888373</v>
      </c>
      <c r="BK348" s="41">
        <f>+BJ348</f>
        <v>1566.888373</v>
      </c>
      <c r="BL348" s="9">
        <f t="shared" ref="BL348:BO350" si="793">+BL88</f>
        <v>1561.0523330000001</v>
      </c>
      <c r="BM348" s="9">
        <f t="shared" si="793"/>
        <v>1557.3727680000002</v>
      </c>
      <c r="BN348" s="9">
        <f t="shared" si="793"/>
        <v>1555.0347339999998</v>
      </c>
      <c r="BO348" s="9">
        <f t="shared" si="793"/>
        <v>1559.8885489999998</v>
      </c>
      <c r="BP348" s="41">
        <f>+BO348</f>
        <v>1559.8885489999998</v>
      </c>
      <c r="BQ348" s="9">
        <f t="shared" ref="BQ348:BT350" si="794">+BQ88</f>
        <v>1569.8265329999999</v>
      </c>
      <c r="BR348" s="9">
        <f t="shared" si="794"/>
        <v>1576.4900110000001</v>
      </c>
      <c r="BS348" s="9">
        <f t="shared" si="794"/>
        <v>1579.9670739999999</v>
      </c>
      <c r="BT348" s="9">
        <f t="shared" si="794"/>
        <v>1581.801224</v>
      </c>
      <c r="BU348" s="41">
        <f>+BT348</f>
        <v>1581.801224</v>
      </c>
      <c r="BV348" s="9">
        <f t="shared" ref="BV348:BY350" si="795">+BV88</f>
        <v>1582.8177169999999</v>
      </c>
      <c r="BW348" s="9">
        <f t="shared" si="795"/>
        <v>1581.2952730000002</v>
      </c>
      <c r="BX348" s="9">
        <f t="shared" si="795"/>
        <v>1573.7674689999999</v>
      </c>
      <c r="BY348" s="9">
        <f t="shared" si="795"/>
        <v>1568.5559050000002</v>
      </c>
      <c r="BZ348" s="41">
        <f>+BY348</f>
        <v>1568.5559050000002</v>
      </c>
      <c r="CA348" s="9">
        <f t="shared" ref="CA348:CD350" si="796">+CA88</f>
        <v>1564.5909410000002</v>
      </c>
      <c r="CB348" s="9">
        <f t="shared" si="796"/>
        <v>1550.562983</v>
      </c>
      <c r="CC348" s="9">
        <f t="shared" si="796"/>
        <v>1536.988816</v>
      </c>
      <c r="CD348" s="9">
        <f t="shared" si="796"/>
        <v>1529.9716080000001</v>
      </c>
      <c r="CE348" s="41">
        <f>+CD348</f>
        <v>1529.9716080000001</v>
      </c>
      <c r="CF348" s="9">
        <f t="shared" ref="CF348:CI350" si="797">+CF88</f>
        <v>1521.9101249999999</v>
      </c>
      <c r="CG348" s="9">
        <f t="shared" si="797"/>
        <v>1515.1220679999999</v>
      </c>
      <c r="CH348" s="9">
        <f t="shared" si="797"/>
        <v>1509.3588070000001</v>
      </c>
      <c r="CI348" s="9">
        <f t="shared" si="797"/>
        <v>1503</v>
      </c>
      <c r="CJ348" s="41">
        <f>+CI348</f>
        <v>1503</v>
      </c>
      <c r="CK348" s="9">
        <f t="shared" ref="CK348:CN348" si="798">+CK88</f>
        <v>1491</v>
      </c>
      <c r="CL348" s="9">
        <f t="shared" si="798"/>
        <v>1482</v>
      </c>
      <c r="CM348" s="9">
        <f t="shared" si="798"/>
        <v>1477</v>
      </c>
      <c r="CN348" s="9">
        <f t="shared" si="798"/>
        <v>1476</v>
      </c>
      <c r="CO348" s="41">
        <f>+CN348</f>
        <v>1476</v>
      </c>
      <c r="CP348" s="9">
        <f t="shared" ref="CP348:CQ348" si="799">+CP88</f>
        <v>1477</v>
      </c>
      <c r="CQ348" s="9">
        <f t="shared" si="799"/>
        <v>1480</v>
      </c>
      <c r="CR348" s="9">
        <f t="shared" ref="CR348:CS348" si="800">+CR88</f>
        <v>1480</v>
      </c>
      <c r="CS348" s="9">
        <f t="shared" si="800"/>
        <v>1476</v>
      </c>
      <c r="CT348" s="41">
        <f>+CS348</f>
        <v>1476</v>
      </c>
      <c r="CU348" s="9">
        <f t="shared" ref="CU348" si="801">+CU88</f>
        <v>1476</v>
      </c>
      <c r="CV348" s="9">
        <f>+CU348-CV358</f>
        <v>1476</v>
      </c>
      <c r="CW348" s="9">
        <f>+CV348-CW358</f>
        <v>1476</v>
      </c>
      <c r="CX348" s="9">
        <f>+CW348-CX358</f>
        <v>1476</v>
      </c>
      <c r="CY348" s="41">
        <f>+CX348</f>
        <v>1476</v>
      </c>
      <c r="CZ348" s="9">
        <f>+CY348-CZ358</f>
        <v>1476</v>
      </c>
      <c r="DA348" s="9">
        <f>+CZ348-DA358</f>
        <v>1476</v>
      </c>
      <c r="DB348" s="9">
        <f>+DA348-DB358</f>
        <v>1476</v>
      </c>
      <c r="DC348" s="9">
        <f>+DB348-DC358</f>
        <v>1476</v>
      </c>
      <c r="DD348" s="41">
        <f>+DC348</f>
        <v>1476</v>
      </c>
      <c r="DE348" s="9">
        <f>+DD348-DE358</f>
        <v>1470.9723705749875</v>
      </c>
      <c r="DF348" s="9">
        <f>+DE348-DF358</f>
        <v>1466.0433221190929</v>
      </c>
      <c r="DG348" s="9">
        <f>+DF348-DG358</f>
        <v>1461.2109216721374</v>
      </c>
      <c r="DH348" s="9">
        <f>+DG348-DH358</f>
        <v>1456.4732741751222</v>
      </c>
      <c r="DI348" s="41">
        <f>+DH348</f>
        <v>1456.4732741751222</v>
      </c>
    </row>
    <row r="349" spans="1:120" ht="12" customHeight="1">
      <c r="A349" s="219"/>
      <c r="B349" s="74" t="s">
        <v>220</v>
      </c>
      <c r="C349" s="9">
        <f t="shared" ref="C349:P349" si="802">+C89</f>
        <v>1146.5</v>
      </c>
      <c r="D349" s="41">
        <f t="shared" si="802"/>
        <v>1154.3499999999999</v>
      </c>
      <c r="E349" s="9">
        <f t="shared" si="802"/>
        <v>2311.6999999999998</v>
      </c>
      <c r="F349" s="41">
        <f t="shared" si="802"/>
        <v>2264.7999999999997</v>
      </c>
      <c r="G349" s="9">
        <f t="shared" si="802"/>
        <v>2198.1999999999998</v>
      </c>
      <c r="H349" s="41">
        <f t="shared" si="802"/>
        <v>2159</v>
      </c>
      <c r="I349" s="9">
        <f t="shared" si="802"/>
        <v>2142.4</v>
      </c>
      <c r="J349" s="41">
        <f t="shared" si="802"/>
        <v>2123</v>
      </c>
      <c r="K349" s="9">
        <f t="shared" si="802"/>
        <v>2105.8000000000002</v>
      </c>
      <c r="L349" s="41">
        <f t="shared" si="802"/>
        <v>2100.3999999999996</v>
      </c>
      <c r="M349" s="9">
        <f t="shared" si="802"/>
        <v>2071</v>
      </c>
      <c r="N349" s="41">
        <f t="shared" si="802"/>
        <v>2015.2</v>
      </c>
      <c r="O349" s="41">
        <f t="shared" si="802"/>
        <v>1982.3000000000002</v>
      </c>
      <c r="P349" s="9">
        <f t="shared" si="802"/>
        <v>1940.0707759027114</v>
      </c>
      <c r="Q349" s="41">
        <f t="shared" ref="Q349:AA349" si="803">+Q89</f>
        <v>1938</v>
      </c>
      <c r="R349" s="9">
        <f t="shared" si="803"/>
        <v>1918.4</v>
      </c>
      <c r="S349" s="9">
        <f t="shared" si="803"/>
        <v>1911.6</v>
      </c>
      <c r="T349" s="9">
        <f t="shared" si="803"/>
        <v>1901.2</v>
      </c>
      <c r="U349" s="9">
        <f t="shared" si="803"/>
        <v>1877.2</v>
      </c>
      <c r="V349" s="41">
        <f t="shared" si="803"/>
        <v>1902</v>
      </c>
      <c r="W349" s="9">
        <f t="shared" si="803"/>
        <v>1860</v>
      </c>
      <c r="X349" s="9">
        <f t="shared" si="803"/>
        <v>1837</v>
      </c>
      <c r="Y349" s="9">
        <f t="shared" si="803"/>
        <v>1837</v>
      </c>
      <c r="Z349" s="9">
        <f t="shared" si="803"/>
        <v>1832.4</v>
      </c>
      <c r="AA349" s="41">
        <f t="shared" si="803"/>
        <v>1840</v>
      </c>
      <c r="AB349" s="41"/>
      <c r="AC349" s="9">
        <f t="shared" ref="AC349:BE349" si="804">+AC89</f>
        <v>1811.2</v>
      </c>
      <c r="AD349" s="9">
        <f t="shared" si="804"/>
        <v>1794</v>
      </c>
      <c r="AE349" s="9">
        <f t="shared" si="804"/>
        <v>1787.8</v>
      </c>
      <c r="AF349" s="9">
        <f t="shared" si="804"/>
        <v>1785.2</v>
      </c>
      <c r="AG349" s="41">
        <f t="shared" si="804"/>
        <v>1794.6</v>
      </c>
      <c r="AH349" s="9">
        <f t="shared" si="804"/>
        <v>1778.8</v>
      </c>
      <c r="AI349" s="9">
        <f t="shared" si="804"/>
        <v>1760</v>
      </c>
      <c r="AJ349" s="9">
        <f t="shared" si="804"/>
        <v>1764.6</v>
      </c>
      <c r="AK349" s="9">
        <f t="shared" si="804"/>
        <v>1747.4</v>
      </c>
      <c r="AL349" s="41">
        <f t="shared" si="804"/>
        <v>1762.6999999999998</v>
      </c>
      <c r="AM349" s="9">
        <f t="shared" si="804"/>
        <v>1729.8</v>
      </c>
      <c r="AN349" s="9">
        <f t="shared" si="804"/>
        <v>1726.2</v>
      </c>
      <c r="AO349" s="9">
        <f t="shared" si="804"/>
        <v>1722.8</v>
      </c>
      <c r="AP349" s="9">
        <f t="shared" si="804"/>
        <v>1715</v>
      </c>
      <c r="AQ349" s="41">
        <f t="shared" si="804"/>
        <v>1723.5</v>
      </c>
      <c r="AR349" s="9">
        <f t="shared" si="804"/>
        <v>1709</v>
      </c>
      <c r="AS349" s="9">
        <f t="shared" si="804"/>
        <v>1706.6</v>
      </c>
      <c r="AT349" s="9">
        <f t="shared" si="804"/>
        <v>1693.8</v>
      </c>
      <c r="AU349" s="9">
        <f t="shared" si="804"/>
        <v>1682.4</v>
      </c>
      <c r="AV349" s="41">
        <f t="shared" si="804"/>
        <v>1697.9</v>
      </c>
      <c r="AW349" s="9">
        <f t="shared" si="804"/>
        <v>1672</v>
      </c>
      <c r="AX349" s="9">
        <f t="shared" si="804"/>
        <v>1659.1</v>
      </c>
      <c r="AY349" s="9">
        <f t="shared" si="804"/>
        <v>1653.1</v>
      </c>
      <c r="AZ349" s="9">
        <f t="shared" si="804"/>
        <v>1646.9</v>
      </c>
      <c r="BA349" s="41">
        <f t="shared" si="804"/>
        <v>1657.8</v>
      </c>
      <c r="BB349" s="9">
        <f t="shared" si="804"/>
        <v>1639.1</v>
      </c>
      <c r="BC349" s="9">
        <f t="shared" si="804"/>
        <v>1627</v>
      </c>
      <c r="BD349" s="9">
        <f t="shared" si="804"/>
        <v>1623.5</v>
      </c>
      <c r="BE349" s="9">
        <f t="shared" si="804"/>
        <v>1605.7</v>
      </c>
      <c r="BF349" s="41">
        <f>AVERAGE(BB349:BE349)</f>
        <v>1623.825</v>
      </c>
      <c r="BG349" s="9">
        <f t="shared" si="792"/>
        <v>1594</v>
      </c>
      <c r="BH349" s="9">
        <f t="shared" si="792"/>
        <v>1581.4</v>
      </c>
      <c r="BI349" s="9">
        <f t="shared" si="792"/>
        <v>1572.8</v>
      </c>
      <c r="BJ349" s="9">
        <f t="shared" si="792"/>
        <v>1570.2</v>
      </c>
      <c r="BK349" s="41">
        <f>AVERAGE(BG349:BJ349)</f>
        <v>1579.6</v>
      </c>
      <c r="BL349" s="9">
        <f t="shared" si="793"/>
        <v>1562.4</v>
      </c>
      <c r="BM349" s="9">
        <f t="shared" si="793"/>
        <v>1560.6</v>
      </c>
      <c r="BN349" s="9">
        <f t="shared" si="793"/>
        <v>1556.3</v>
      </c>
      <c r="BO349" s="9">
        <f t="shared" si="793"/>
        <v>1555.7</v>
      </c>
      <c r="BP349" s="41">
        <f>AVERAGE(BL349:BO349)</f>
        <v>1558.75</v>
      </c>
      <c r="BQ349" s="9">
        <f t="shared" si="794"/>
        <v>1561.8</v>
      </c>
      <c r="BR349" s="9">
        <f t="shared" si="794"/>
        <v>1573</v>
      </c>
      <c r="BS349" s="9">
        <f t="shared" si="794"/>
        <v>1578</v>
      </c>
      <c r="BT349" s="9">
        <f t="shared" si="794"/>
        <v>1579</v>
      </c>
      <c r="BU349" s="41">
        <f>AVERAGE(BQ349:BT349)</f>
        <v>1572.95</v>
      </c>
      <c r="BV349" s="9">
        <f t="shared" si="795"/>
        <v>1581.9</v>
      </c>
      <c r="BW349" s="9">
        <f t="shared" si="795"/>
        <v>1582.38</v>
      </c>
      <c r="BX349" s="9">
        <f t="shared" si="795"/>
        <v>1579</v>
      </c>
      <c r="BY349" s="9">
        <f t="shared" si="795"/>
        <v>1572</v>
      </c>
      <c r="BZ349" s="41">
        <f>AVERAGE(BV349:BY349)</f>
        <v>1578.8200000000002</v>
      </c>
      <c r="CA349" s="9">
        <f t="shared" si="796"/>
        <v>1567.1</v>
      </c>
      <c r="CB349" s="9">
        <f t="shared" si="796"/>
        <v>1559</v>
      </c>
      <c r="CC349" s="9">
        <f t="shared" si="796"/>
        <v>1543.8</v>
      </c>
      <c r="CD349" s="9">
        <f t="shared" si="796"/>
        <v>1536.5</v>
      </c>
      <c r="CE349" s="41">
        <f>AVERAGE(CA349:CD349)</f>
        <v>1551.6</v>
      </c>
      <c r="CF349" s="9">
        <f t="shared" si="797"/>
        <v>1528.4</v>
      </c>
      <c r="CG349" s="9">
        <f t="shared" si="797"/>
        <v>1520.8</v>
      </c>
      <c r="CH349" s="9">
        <f t="shared" si="797"/>
        <v>1513.2</v>
      </c>
      <c r="CI349" s="9">
        <f t="shared" si="797"/>
        <v>1508</v>
      </c>
      <c r="CJ349" s="41">
        <f>AVERAGE(CF349:CI349)</f>
        <v>1517.6</v>
      </c>
      <c r="CK349" s="9">
        <f t="shared" ref="CK349:CN349" si="805">+CK89</f>
        <v>1497.7</v>
      </c>
      <c r="CL349" s="9">
        <f t="shared" si="805"/>
        <v>1486.8</v>
      </c>
      <c r="CM349" s="9">
        <f t="shared" si="805"/>
        <v>1478.1</v>
      </c>
      <c r="CN349" s="9">
        <f t="shared" si="805"/>
        <v>1476.7</v>
      </c>
      <c r="CO349" s="41">
        <f>AVERAGE(CK349:CN349)</f>
        <v>1484.825</v>
      </c>
      <c r="CP349" s="9">
        <f t="shared" ref="CP349:CQ349" si="806">+CP89</f>
        <v>1476.6</v>
      </c>
      <c r="CQ349" s="9">
        <f t="shared" si="806"/>
        <v>1479.5</v>
      </c>
      <c r="CR349" s="9">
        <f t="shared" ref="CR349:CS349" si="807">+CR89</f>
        <v>1480.5</v>
      </c>
      <c r="CS349" s="9">
        <f t="shared" si="807"/>
        <v>1482.6</v>
      </c>
      <c r="CT349" s="41">
        <f>AVERAGE(CP349:CS349)</f>
        <v>1479.8000000000002</v>
      </c>
      <c r="CU349" s="9">
        <f t="shared" ref="CU349" si="808">+CU89</f>
        <v>1483.6</v>
      </c>
      <c r="CV349" s="9">
        <f>AVERAGE(CV348,CU348)</f>
        <v>1476</v>
      </c>
      <c r="CW349" s="9">
        <f>AVERAGE(CW348,CV348)</f>
        <v>1476</v>
      </c>
      <c r="CX349" s="9">
        <f>AVERAGE(CX348,CW348)</f>
        <v>1476</v>
      </c>
      <c r="CY349" s="41">
        <f>AVERAGE(CU349:CX349)</f>
        <v>1477.9</v>
      </c>
      <c r="CZ349" s="9">
        <f>AVERAGE(CZ348,CX348)</f>
        <v>1476</v>
      </c>
      <c r="DA349" s="9">
        <f>AVERAGE(DA348,CZ348)</f>
        <v>1476</v>
      </c>
      <c r="DB349" s="9">
        <f>AVERAGE(DB348,DA348)</f>
        <v>1476</v>
      </c>
      <c r="DC349" s="9">
        <f>AVERAGE(DC348,DB348)</f>
        <v>1476</v>
      </c>
      <c r="DD349" s="41">
        <f>AVERAGE(CZ349:DC349)</f>
        <v>1476</v>
      </c>
      <c r="DE349" s="9">
        <f>AVERAGE(DE348,DC348)</f>
        <v>1473.4861852874938</v>
      </c>
      <c r="DF349" s="9">
        <f>AVERAGE(DF348,DE348)</f>
        <v>1468.5078463470402</v>
      </c>
      <c r="DG349" s="9">
        <f>AVERAGE(DG348,DF348)</f>
        <v>1463.6271218956151</v>
      </c>
      <c r="DH349" s="9">
        <f>AVERAGE(DH348,DG348)</f>
        <v>1458.8420979236298</v>
      </c>
      <c r="DI349" s="41">
        <f>AVERAGE(DE349:DH349)</f>
        <v>1466.1158128634447</v>
      </c>
    </row>
    <row r="350" spans="1:120" ht="12" customHeight="1">
      <c r="A350" s="219"/>
      <c r="B350" s="74" t="s">
        <v>233</v>
      </c>
      <c r="C350" s="9">
        <f t="shared" ref="C350:P350" si="809">+C90</f>
        <v>1175.3500000000001</v>
      </c>
      <c r="D350" s="41">
        <f t="shared" si="809"/>
        <v>1188.0999999999999</v>
      </c>
      <c r="E350" s="9">
        <f t="shared" si="809"/>
        <v>2349</v>
      </c>
      <c r="F350" s="41">
        <f t="shared" si="809"/>
        <v>2306.4</v>
      </c>
      <c r="G350" s="9">
        <f t="shared" si="809"/>
        <v>2235</v>
      </c>
      <c r="H350" s="41">
        <f t="shared" si="809"/>
        <v>2186.1999999999998</v>
      </c>
      <c r="I350" s="9">
        <f t="shared" si="809"/>
        <v>2177.1999999999998</v>
      </c>
      <c r="J350" s="41">
        <f t="shared" si="809"/>
        <v>2134.6</v>
      </c>
      <c r="K350" s="9">
        <f t="shared" si="809"/>
        <v>2157.2000000000003</v>
      </c>
      <c r="L350" s="41">
        <f t="shared" si="809"/>
        <v>2161</v>
      </c>
      <c r="M350" s="9">
        <f t="shared" si="809"/>
        <v>2114.1999999999998</v>
      </c>
      <c r="N350" s="41">
        <f t="shared" si="809"/>
        <v>2040.4</v>
      </c>
      <c r="O350" s="41">
        <f t="shared" si="809"/>
        <v>2016.1</v>
      </c>
      <c r="P350" s="9">
        <f t="shared" si="809"/>
        <v>1962.5881017091829</v>
      </c>
      <c r="Q350" s="41">
        <f t="shared" ref="Q350:AA350" si="810">+Q90</f>
        <v>1975.6</v>
      </c>
      <c r="R350" s="9">
        <f t="shared" si="810"/>
        <v>1954.4</v>
      </c>
      <c r="S350" s="9">
        <f t="shared" si="810"/>
        <v>1950.4</v>
      </c>
      <c r="T350" s="9">
        <f t="shared" si="810"/>
        <v>1942</v>
      </c>
      <c r="U350" s="9">
        <f t="shared" si="810"/>
        <v>1914.8</v>
      </c>
      <c r="V350" s="41">
        <f t="shared" si="810"/>
        <v>1942.8</v>
      </c>
      <c r="W350" s="9">
        <f t="shared" si="810"/>
        <v>1897.2</v>
      </c>
      <c r="X350" s="9">
        <f t="shared" si="810"/>
        <v>1873.8</v>
      </c>
      <c r="Y350" s="9">
        <f t="shared" si="810"/>
        <v>1873.8</v>
      </c>
      <c r="Z350" s="9">
        <f t="shared" si="810"/>
        <v>1872.4</v>
      </c>
      <c r="AA350" s="41">
        <f t="shared" si="810"/>
        <v>1879.2</v>
      </c>
      <c r="AB350" s="41">
        <f>+AB90</f>
        <v>1879.2</v>
      </c>
      <c r="AC350" s="9">
        <f t="shared" ref="AC350:BE350" si="811">+AC90</f>
        <v>1857.6</v>
      </c>
      <c r="AD350" s="9">
        <f t="shared" si="811"/>
        <v>1826.4</v>
      </c>
      <c r="AE350" s="9">
        <f t="shared" si="811"/>
        <v>1823.4</v>
      </c>
      <c r="AF350" s="9">
        <f t="shared" si="811"/>
        <v>1826.8</v>
      </c>
      <c r="AG350" s="41">
        <f t="shared" si="811"/>
        <v>1832.84</v>
      </c>
      <c r="AH350" s="9">
        <f t="shared" si="811"/>
        <v>1821.4</v>
      </c>
      <c r="AI350" s="9">
        <f t="shared" si="811"/>
        <v>1821.2</v>
      </c>
      <c r="AJ350" s="9">
        <f t="shared" si="811"/>
        <v>1809.6</v>
      </c>
      <c r="AK350" s="9">
        <f t="shared" si="811"/>
        <v>1790.4</v>
      </c>
      <c r="AL350" s="41">
        <f t="shared" si="811"/>
        <v>1810.65</v>
      </c>
      <c r="AM350" s="9">
        <f t="shared" si="811"/>
        <v>1772.4</v>
      </c>
      <c r="AN350" s="9">
        <f t="shared" si="811"/>
        <v>1769.6</v>
      </c>
      <c r="AO350" s="9">
        <f t="shared" si="811"/>
        <v>1767.6</v>
      </c>
      <c r="AP350" s="9">
        <f t="shared" si="811"/>
        <v>1759.6</v>
      </c>
      <c r="AQ350" s="41">
        <f t="shared" si="811"/>
        <v>1768.8</v>
      </c>
      <c r="AR350" s="9">
        <f t="shared" si="811"/>
        <v>1754.6</v>
      </c>
      <c r="AS350" s="9">
        <f t="shared" si="811"/>
        <v>1751.4</v>
      </c>
      <c r="AT350" s="9">
        <f t="shared" si="811"/>
        <v>1737.3</v>
      </c>
      <c r="AU350" s="9">
        <f t="shared" si="811"/>
        <v>1723.1</v>
      </c>
      <c r="AV350" s="41">
        <f t="shared" si="811"/>
        <v>1742.5</v>
      </c>
      <c r="AW350" s="9">
        <f t="shared" si="811"/>
        <v>1708.9</v>
      </c>
      <c r="AX350" s="9">
        <f t="shared" si="811"/>
        <v>1693.2</v>
      </c>
      <c r="AY350" s="9">
        <f t="shared" si="811"/>
        <v>1686.3</v>
      </c>
      <c r="AZ350" s="9">
        <f t="shared" si="811"/>
        <v>1678.6</v>
      </c>
      <c r="BA350" s="41">
        <f t="shared" si="811"/>
        <v>1692</v>
      </c>
      <c r="BB350" s="9">
        <f t="shared" si="811"/>
        <v>1676.9</v>
      </c>
      <c r="BC350" s="9">
        <f t="shared" si="811"/>
        <v>1660.9</v>
      </c>
      <c r="BD350" s="9">
        <f t="shared" si="811"/>
        <v>1623.5</v>
      </c>
      <c r="BE350" s="9">
        <f t="shared" si="811"/>
        <v>1641.2</v>
      </c>
      <c r="BF350" s="41">
        <f>AVERAGE(BB350:BE350)</f>
        <v>1650.625</v>
      </c>
      <c r="BG350" s="9">
        <f t="shared" si="792"/>
        <v>1634.4</v>
      </c>
      <c r="BH350" s="9">
        <f t="shared" si="792"/>
        <v>1620.7</v>
      </c>
      <c r="BI350" s="9">
        <f t="shared" si="792"/>
        <v>1609.6</v>
      </c>
      <c r="BJ350" s="9">
        <f t="shared" si="792"/>
        <v>1607.5</v>
      </c>
      <c r="BK350" s="41">
        <f>AVERAGE(BG350:BJ350)</f>
        <v>1618.0500000000002</v>
      </c>
      <c r="BL350" s="9">
        <f t="shared" si="793"/>
        <v>1597.5</v>
      </c>
      <c r="BM350" s="9">
        <f t="shared" si="793"/>
        <v>1594.4</v>
      </c>
      <c r="BN350" s="9">
        <f t="shared" si="793"/>
        <v>1591.6</v>
      </c>
      <c r="BO350" s="9">
        <f t="shared" si="793"/>
        <v>1555.7</v>
      </c>
      <c r="BP350" s="41">
        <f>AVERAGE(BL350:BO350)</f>
        <v>1584.8</v>
      </c>
      <c r="BQ350" s="9">
        <f t="shared" si="794"/>
        <v>1593.3</v>
      </c>
      <c r="BR350" s="9">
        <f t="shared" si="794"/>
        <v>1609.5</v>
      </c>
      <c r="BS350" s="9">
        <f t="shared" si="794"/>
        <v>1616.9</v>
      </c>
      <c r="BT350" s="9">
        <f t="shared" si="794"/>
        <v>1614.9</v>
      </c>
      <c r="BU350" s="41">
        <f>AVERAGE(BQ350:BT350)</f>
        <v>1608.65</v>
      </c>
      <c r="BV350" s="9">
        <f t="shared" si="795"/>
        <v>1619.6</v>
      </c>
      <c r="BW350" s="9">
        <f t="shared" si="795"/>
        <v>1617.4</v>
      </c>
      <c r="BX350" s="9">
        <f t="shared" si="795"/>
        <v>1610.7</v>
      </c>
      <c r="BY350" s="9">
        <f t="shared" si="795"/>
        <v>1595</v>
      </c>
      <c r="BZ350" s="41">
        <f>AVERAGE(BV350:BY350)</f>
        <v>1610.675</v>
      </c>
      <c r="CA350" s="9">
        <f t="shared" si="796"/>
        <v>1585.8</v>
      </c>
      <c r="CB350" s="9">
        <f t="shared" si="796"/>
        <v>1572.4</v>
      </c>
      <c r="CC350" s="9">
        <f t="shared" si="796"/>
        <v>1564.8</v>
      </c>
      <c r="CD350" s="9">
        <f t="shared" si="796"/>
        <v>1556.3</v>
      </c>
      <c r="CE350" s="41">
        <f>AVERAGE(CA350:CD350)</f>
        <v>1569.825</v>
      </c>
      <c r="CF350" s="9">
        <f t="shared" si="797"/>
        <v>1543.3</v>
      </c>
      <c r="CG350" s="9">
        <f t="shared" si="797"/>
        <v>1532.1</v>
      </c>
      <c r="CH350" s="9">
        <f t="shared" si="797"/>
        <v>1526.5</v>
      </c>
      <c r="CI350" s="9">
        <f t="shared" si="797"/>
        <v>1516.7</v>
      </c>
      <c r="CJ350" s="41">
        <f>AVERAGE(CF350:CI350)</f>
        <v>1529.6499999999999</v>
      </c>
      <c r="CK350" s="9">
        <f t="shared" ref="CK350:CN350" si="812">+CK90</f>
        <v>1502</v>
      </c>
      <c r="CL350" s="9">
        <f t="shared" si="812"/>
        <v>1490</v>
      </c>
      <c r="CM350" s="9">
        <f t="shared" si="812"/>
        <v>1480.6</v>
      </c>
      <c r="CN350" s="9">
        <f t="shared" si="812"/>
        <v>1477.7</v>
      </c>
      <c r="CO350" s="41">
        <f>AVERAGE(CK350:CN350)</f>
        <v>1487.575</v>
      </c>
      <c r="CP350" s="9">
        <f t="shared" ref="CP350:CQ350" si="813">+CP90</f>
        <v>1479</v>
      </c>
      <c r="CQ350" s="9">
        <f t="shared" si="813"/>
        <v>1481</v>
      </c>
      <c r="CR350" s="9">
        <f t="shared" ref="CR350:CS350" si="814">+CR90</f>
        <v>1481.6</v>
      </c>
      <c r="CS350" s="9">
        <f t="shared" si="814"/>
        <v>1482.9</v>
      </c>
      <c r="CT350" s="41">
        <f>AVERAGE(CP350:CS350)</f>
        <v>1481.125</v>
      </c>
      <c r="CU350" s="9">
        <f t="shared" ref="CU350" si="815">+CU90</f>
        <v>1484.2</v>
      </c>
      <c r="CV350" s="9">
        <f>+CV349+CV351</f>
        <v>1453.7028108887287</v>
      </c>
      <c r="CW350" s="9">
        <f>+CW349+CW351</f>
        <v>1454.0576577340478</v>
      </c>
      <c r="CX350" s="9">
        <f>+CX349+CX351</f>
        <v>1454.3467232686744</v>
      </c>
      <c r="CY350" s="41">
        <f>AVERAGE(CU350:CX350)</f>
        <v>1461.5767979728628</v>
      </c>
      <c r="CZ350" s="9">
        <f>+CZ349+CZ351</f>
        <v>1455.5712973222298</v>
      </c>
      <c r="DA350" s="9">
        <f>+DA349+DA351</f>
        <v>1455.7326444335586</v>
      </c>
      <c r="DB350" s="9">
        <f>+DB349+DB351</f>
        <v>1455.832004346626</v>
      </c>
      <c r="DC350" s="9">
        <f>+DC349+DC351</f>
        <v>1456.8705924966921</v>
      </c>
      <c r="DD350" s="41">
        <f>AVERAGE(CZ350:DC350)</f>
        <v>1456.0016346497769</v>
      </c>
      <c r="DE350" s="9">
        <f>+DE349+DE351</f>
        <v>1454.335785774447</v>
      </c>
      <c r="DF350" s="9">
        <f>+DF349+DF351</f>
        <v>1449.2780429028767</v>
      </c>
      <c r="DG350" s="9">
        <f>+DG349+DG351</f>
        <v>1445.260647930749</v>
      </c>
      <c r="DH350" s="9">
        <f>+DH349+DH351</f>
        <v>1440.2828097227805</v>
      </c>
      <c r="DI350" s="41">
        <f>AVERAGE(DE350:DH350)</f>
        <v>1447.2893215827132</v>
      </c>
    </row>
    <row r="351" spans="1:120" ht="12" customHeight="1">
      <c r="A351" s="219"/>
      <c r="B351" s="74" t="s">
        <v>85</v>
      </c>
      <c r="C351" s="9">
        <f>+C350-C349</f>
        <v>28.850000000000136</v>
      </c>
      <c r="D351" s="41">
        <f t="shared" ref="D351:BK351" si="816">+D350-D349</f>
        <v>33.75</v>
      </c>
      <c r="E351" s="9">
        <f t="shared" si="816"/>
        <v>37.300000000000182</v>
      </c>
      <c r="F351" s="41">
        <f t="shared" si="816"/>
        <v>41.600000000000364</v>
      </c>
      <c r="G351" s="9">
        <f t="shared" si="816"/>
        <v>36.800000000000182</v>
      </c>
      <c r="H351" s="41">
        <f t="shared" si="816"/>
        <v>27.199999999999818</v>
      </c>
      <c r="I351" s="9">
        <f t="shared" si="816"/>
        <v>34.799999999999727</v>
      </c>
      <c r="J351" s="41">
        <f t="shared" si="816"/>
        <v>11.599999999999909</v>
      </c>
      <c r="K351" s="9">
        <f t="shared" si="816"/>
        <v>51.400000000000091</v>
      </c>
      <c r="L351" s="41">
        <f t="shared" si="816"/>
        <v>60.600000000000364</v>
      </c>
      <c r="M351" s="9">
        <f t="shared" si="816"/>
        <v>43.199999999999818</v>
      </c>
      <c r="N351" s="41">
        <f t="shared" si="816"/>
        <v>25.200000000000045</v>
      </c>
      <c r="O351" s="41">
        <f t="shared" si="816"/>
        <v>33.799999999999727</v>
      </c>
      <c r="P351" s="9">
        <f t="shared" si="816"/>
        <v>22.51732580647149</v>
      </c>
      <c r="Q351" s="41">
        <f t="shared" si="816"/>
        <v>37.599999999999909</v>
      </c>
      <c r="R351" s="9">
        <f t="shared" si="816"/>
        <v>36</v>
      </c>
      <c r="S351" s="9">
        <f t="shared" si="816"/>
        <v>38.800000000000182</v>
      </c>
      <c r="T351" s="9">
        <f t="shared" si="816"/>
        <v>40.799999999999955</v>
      </c>
      <c r="U351" s="9">
        <f t="shared" si="816"/>
        <v>37.599999999999909</v>
      </c>
      <c r="V351" s="41">
        <f t="shared" si="816"/>
        <v>40.799999999999955</v>
      </c>
      <c r="W351" s="9">
        <f t="shared" si="816"/>
        <v>37.200000000000045</v>
      </c>
      <c r="X351" s="9">
        <f t="shared" si="816"/>
        <v>36.799999999999955</v>
      </c>
      <c r="Y351" s="9">
        <f t="shared" si="816"/>
        <v>36.799999999999955</v>
      </c>
      <c r="Z351" s="9">
        <f t="shared" si="816"/>
        <v>40</v>
      </c>
      <c r="AA351" s="41">
        <f t="shared" si="816"/>
        <v>39.200000000000045</v>
      </c>
      <c r="AB351" s="41"/>
      <c r="AC351" s="9">
        <f t="shared" si="816"/>
        <v>46.399999999999864</v>
      </c>
      <c r="AD351" s="9">
        <f t="shared" si="816"/>
        <v>32.400000000000091</v>
      </c>
      <c r="AE351" s="9">
        <f t="shared" si="816"/>
        <v>35.600000000000136</v>
      </c>
      <c r="AF351" s="9">
        <f t="shared" si="816"/>
        <v>41.599999999999909</v>
      </c>
      <c r="AG351" s="41">
        <f t="shared" si="816"/>
        <v>38.240000000000009</v>
      </c>
      <c r="AH351" s="9">
        <f t="shared" si="816"/>
        <v>42.600000000000136</v>
      </c>
      <c r="AI351" s="9">
        <f t="shared" si="816"/>
        <v>61.200000000000045</v>
      </c>
      <c r="AJ351" s="9">
        <f t="shared" si="816"/>
        <v>45</v>
      </c>
      <c r="AK351" s="9">
        <f t="shared" si="816"/>
        <v>43</v>
      </c>
      <c r="AL351" s="41">
        <f t="shared" si="816"/>
        <v>47.950000000000273</v>
      </c>
      <c r="AM351" s="9">
        <f t="shared" si="816"/>
        <v>42.600000000000136</v>
      </c>
      <c r="AN351" s="9">
        <f t="shared" si="816"/>
        <v>43.399999999999864</v>
      </c>
      <c r="AO351" s="9">
        <f t="shared" si="816"/>
        <v>44.799999999999955</v>
      </c>
      <c r="AP351" s="9">
        <f t="shared" si="816"/>
        <v>44.599999999999909</v>
      </c>
      <c r="AQ351" s="41">
        <f t="shared" si="816"/>
        <v>45.299999999999955</v>
      </c>
      <c r="AR351" s="9">
        <f t="shared" si="816"/>
        <v>45.599999999999909</v>
      </c>
      <c r="AS351" s="9">
        <f t="shared" si="816"/>
        <v>44.800000000000182</v>
      </c>
      <c r="AT351" s="9">
        <f t="shared" si="816"/>
        <v>43.5</v>
      </c>
      <c r="AU351" s="9">
        <f t="shared" si="816"/>
        <v>40.699999999999818</v>
      </c>
      <c r="AV351" s="41">
        <f t="shared" si="816"/>
        <v>44.599999999999909</v>
      </c>
      <c r="AW351" s="9">
        <f t="shared" si="816"/>
        <v>36.900000000000091</v>
      </c>
      <c r="AX351" s="9">
        <f t="shared" si="816"/>
        <v>34.100000000000136</v>
      </c>
      <c r="AY351" s="9">
        <f t="shared" si="816"/>
        <v>33.200000000000045</v>
      </c>
      <c r="AZ351" s="9">
        <f t="shared" si="816"/>
        <v>31.699999999999818</v>
      </c>
      <c r="BA351" s="41">
        <f t="shared" si="816"/>
        <v>34.200000000000045</v>
      </c>
      <c r="BB351" s="9">
        <f t="shared" si="816"/>
        <v>37.800000000000182</v>
      </c>
      <c r="BC351" s="9">
        <f t="shared" si="816"/>
        <v>33.900000000000091</v>
      </c>
      <c r="BD351" s="477">
        <f>+BD350-BD349</f>
        <v>0</v>
      </c>
      <c r="BE351" s="9">
        <f>+BE350-BE349</f>
        <v>35.5</v>
      </c>
      <c r="BF351" s="476">
        <f t="shared" si="816"/>
        <v>26.799999999999955</v>
      </c>
      <c r="BG351" s="9">
        <f>+BG350-BG349</f>
        <v>40.400000000000091</v>
      </c>
      <c r="BH351" s="9">
        <f>+BH350-BH349</f>
        <v>39.299999999999955</v>
      </c>
      <c r="BI351" s="9">
        <f>+BI350-BI349</f>
        <v>36.799999999999955</v>
      </c>
      <c r="BJ351" s="9">
        <f>+BJ350-BJ349</f>
        <v>37.299999999999955</v>
      </c>
      <c r="BK351" s="476">
        <f t="shared" si="816"/>
        <v>38.450000000000273</v>
      </c>
      <c r="BL351" s="9">
        <f t="shared" ref="BL351:BN351" si="817">+BL350-BL349</f>
        <v>35.099999999999909</v>
      </c>
      <c r="BM351" s="9">
        <f t="shared" si="817"/>
        <v>33.800000000000182</v>
      </c>
      <c r="BN351" s="9">
        <f t="shared" si="817"/>
        <v>35.299999999999955</v>
      </c>
      <c r="BO351" s="9">
        <f>+BO350-BO349</f>
        <v>0</v>
      </c>
      <c r="BP351" s="476">
        <f t="shared" ref="BP351" si="818">+BP350-BP349</f>
        <v>26.049999999999955</v>
      </c>
      <c r="BQ351" s="9">
        <f t="shared" ref="BQ351:BS351" si="819">+BQ350-BQ349</f>
        <v>31.5</v>
      </c>
      <c r="BR351" s="9">
        <f t="shared" si="819"/>
        <v>36.5</v>
      </c>
      <c r="BS351" s="9">
        <f t="shared" si="819"/>
        <v>38.900000000000091</v>
      </c>
      <c r="BT351" s="9">
        <f>+BT350-BT349</f>
        <v>35.900000000000091</v>
      </c>
      <c r="BU351" s="476">
        <f t="shared" ref="BU351:BX351" si="820">+BU350-BU349</f>
        <v>35.700000000000045</v>
      </c>
      <c r="BV351" s="9">
        <f t="shared" si="820"/>
        <v>37.699999999999818</v>
      </c>
      <c r="BW351" s="9">
        <f t="shared" si="820"/>
        <v>35.019999999999982</v>
      </c>
      <c r="BX351" s="9">
        <f t="shared" si="820"/>
        <v>31.700000000000045</v>
      </c>
      <c r="BY351" s="9">
        <f>+BY350-BY349</f>
        <v>23</v>
      </c>
      <c r="BZ351" s="476">
        <f t="shared" ref="BZ351:CC351" si="821">+BZ350-BZ349</f>
        <v>31.854999999999791</v>
      </c>
      <c r="CA351" s="9">
        <f t="shared" si="821"/>
        <v>18.700000000000045</v>
      </c>
      <c r="CB351" s="9">
        <f t="shared" si="821"/>
        <v>13.400000000000091</v>
      </c>
      <c r="CC351" s="9">
        <f t="shared" si="821"/>
        <v>21</v>
      </c>
      <c r="CD351" s="9">
        <f>+CD350-CD349</f>
        <v>19.799999999999955</v>
      </c>
      <c r="CE351" s="476">
        <f t="shared" ref="CE351:CH351" si="822">+CE350-CE349</f>
        <v>18.225000000000136</v>
      </c>
      <c r="CF351" s="477">
        <f t="shared" si="822"/>
        <v>14.899999999999864</v>
      </c>
      <c r="CG351" s="9">
        <f t="shared" si="822"/>
        <v>11.299999999999955</v>
      </c>
      <c r="CH351" s="9">
        <f t="shared" si="822"/>
        <v>13.299999999999955</v>
      </c>
      <c r="CI351" s="9">
        <f>+CI350-CI349</f>
        <v>8.7000000000000455</v>
      </c>
      <c r="CJ351" s="476">
        <f t="shared" ref="CJ351:CM351" si="823">+CJ350-CJ349</f>
        <v>12.049999999999955</v>
      </c>
      <c r="CK351" s="477">
        <f t="shared" si="823"/>
        <v>4.2999999999999545</v>
      </c>
      <c r="CL351" s="9">
        <f t="shared" si="823"/>
        <v>3.2000000000000455</v>
      </c>
      <c r="CM351" s="9">
        <f t="shared" si="823"/>
        <v>2.5</v>
      </c>
      <c r="CN351" s="9">
        <f>+CN350-CN349</f>
        <v>1</v>
      </c>
      <c r="CO351" s="476">
        <f>+CO350-CO349</f>
        <v>2.75</v>
      </c>
      <c r="CP351" s="477">
        <f t="shared" ref="CP351:CQ351" si="824">+CP350-CP349</f>
        <v>2.4000000000000909</v>
      </c>
      <c r="CQ351" s="9">
        <f t="shared" si="824"/>
        <v>1.5</v>
      </c>
      <c r="CR351" s="9">
        <f t="shared" ref="CR351" si="825">+CR350-CR349</f>
        <v>1.0999999999999091</v>
      </c>
      <c r="CS351" s="9">
        <f>+CS350-CS349</f>
        <v>0.3000000000001819</v>
      </c>
      <c r="CT351" s="476">
        <f>+CT350-CT349</f>
        <v>1.3249999999998181</v>
      </c>
      <c r="CU351" s="477">
        <f t="shared" ref="CU351" si="826">+CU350-CU349</f>
        <v>0.60000000000013642</v>
      </c>
      <c r="CV351" s="477">
        <f>+CV353-CV355/CV359+72</f>
        <v>-22.297189111271265</v>
      </c>
      <c r="CW351" s="477">
        <f>+CW353-CW355/CW359+69</f>
        <v>-21.942342265952206</v>
      </c>
      <c r="CX351" s="477">
        <f>+CX353-CX355/CX359+66</f>
        <v>-21.653276731325676</v>
      </c>
      <c r="CY351" s="476">
        <f>+CY350-CY349</f>
        <v>-16.323202027137313</v>
      </c>
      <c r="CZ351" s="477">
        <f>+CZ353-CZ355/CZ359+64</f>
        <v>-20.428702677770261</v>
      </c>
      <c r="DA351" s="477">
        <f>+DA353-DA355/DA359+61</f>
        <v>-20.267355566441424</v>
      </c>
      <c r="DB351" s="477">
        <f>+DB353-DB355/DB359+58</f>
        <v>-20.16799565337395</v>
      </c>
      <c r="DC351" s="477">
        <f>+DC353-DC355/DC359+56</f>
        <v>-19.129407503307803</v>
      </c>
      <c r="DD351" s="476">
        <f>+DD350-DD349</f>
        <v>-19.998365350223139</v>
      </c>
      <c r="DE351" s="477">
        <f>+DE353-DE355/DE359+53</f>
        <v>-19.15039951304685</v>
      </c>
      <c r="DF351" s="477">
        <f>+DF353-DF355/DF359+50</f>
        <v>-19.229803444163579</v>
      </c>
      <c r="DG351" s="477">
        <f>+DG353-DG355/DG359+48</f>
        <v>-18.366473964866245</v>
      </c>
      <c r="DH351" s="477">
        <f>+DH353-DH355/DH359+45</f>
        <v>-18.559288200849252</v>
      </c>
      <c r="DI351" s="476">
        <f>+DI350-DI349</f>
        <v>-18.826491280731489</v>
      </c>
    </row>
    <row r="352" spans="1:120" ht="12" customHeight="1">
      <c r="A352" s="219"/>
      <c r="B352" s="74"/>
      <c r="C352" s="9"/>
      <c r="D352" s="41"/>
      <c r="E352" s="9"/>
      <c r="F352" s="41"/>
      <c r="G352" s="9"/>
      <c r="H352" s="41"/>
      <c r="I352" s="9"/>
      <c r="J352" s="41"/>
      <c r="K352" s="9"/>
      <c r="L352" s="41"/>
      <c r="M352" s="9"/>
      <c r="N352" s="41"/>
      <c r="O352" s="41"/>
      <c r="P352" s="9"/>
      <c r="Q352" s="41"/>
      <c r="R352" s="9"/>
      <c r="S352" s="9"/>
      <c r="T352" s="9"/>
      <c r="U352" s="9"/>
      <c r="V352" s="41"/>
      <c r="W352" s="9"/>
      <c r="X352" s="9"/>
      <c r="Y352" s="9"/>
      <c r="Z352" s="9"/>
      <c r="AA352" s="41"/>
      <c r="AB352" s="41"/>
      <c r="AC352" s="9"/>
      <c r="AD352" s="9"/>
      <c r="AE352" s="9"/>
      <c r="AF352" s="9"/>
      <c r="AG352" s="41"/>
      <c r="AH352" s="9"/>
      <c r="AI352" s="9"/>
      <c r="AJ352" s="9"/>
      <c r="AK352" s="9"/>
      <c r="AL352" s="41"/>
      <c r="AM352" s="9"/>
      <c r="AN352" s="9"/>
      <c r="AO352" s="9"/>
      <c r="AP352" s="9"/>
      <c r="AQ352" s="41"/>
      <c r="AR352" s="9"/>
      <c r="AS352" s="9"/>
      <c r="AT352" s="9"/>
      <c r="AU352" s="9"/>
      <c r="AV352" s="41"/>
      <c r="AW352" s="9"/>
      <c r="AX352" s="9"/>
      <c r="AY352" s="9"/>
      <c r="AZ352" s="9"/>
      <c r="BA352" s="41"/>
      <c r="BB352" s="9"/>
      <c r="BC352" s="9"/>
      <c r="BD352" s="513"/>
      <c r="BE352" s="513"/>
      <c r="BF352" s="41"/>
      <c r="BG352" s="513"/>
      <c r="BH352" s="513"/>
      <c r="BI352" s="513"/>
      <c r="BJ352" s="513"/>
      <c r="BK352" s="41"/>
      <c r="BL352" s="513"/>
      <c r="BM352" s="513"/>
      <c r="BN352" s="513"/>
      <c r="BO352" s="513"/>
      <c r="BP352" s="41"/>
      <c r="BQ352" s="513"/>
      <c r="BR352" s="513"/>
      <c r="BS352" s="513"/>
      <c r="BT352" s="513"/>
      <c r="BU352" s="41"/>
      <c r="BV352" s="513"/>
      <c r="BW352" s="513"/>
      <c r="BX352" s="513"/>
      <c r="BY352" s="513"/>
      <c r="BZ352" s="41"/>
      <c r="CA352" s="513"/>
      <c r="CB352" s="513"/>
      <c r="CC352" s="513"/>
      <c r="CD352" s="513"/>
      <c r="CE352" s="41"/>
      <c r="CF352" s="513"/>
      <c r="CG352" s="513"/>
      <c r="CH352" s="513"/>
      <c r="CI352" s="513"/>
      <c r="CJ352" s="41"/>
      <c r="CK352" s="513"/>
      <c r="CL352" s="513"/>
      <c r="CM352" s="513"/>
      <c r="CN352" s="513"/>
      <c r="CO352" s="41"/>
      <c r="CP352" s="513"/>
      <c r="CQ352" s="513"/>
      <c r="CR352" s="513"/>
      <c r="CS352" s="513"/>
      <c r="CT352" s="41"/>
      <c r="CU352" s="513"/>
      <c r="CV352" s="513"/>
      <c r="CW352" s="513"/>
      <c r="CX352" s="513"/>
      <c r="CY352" s="41"/>
      <c r="CZ352" s="513"/>
      <c r="DA352" s="513"/>
      <c r="DB352" s="513"/>
      <c r="DC352" s="513"/>
      <c r="DD352" s="41"/>
      <c r="DE352" s="513"/>
      <c r="DF352" s="513"/>
      <c r="DG352" s="513"/>
      <c r="DH352" s="513"/>
      <c r="DI352" s="41"/>
    </row>
    <row r="353" spans="1:113" ht="12" customHeight="1">
      <c r="A353" s="219"/>
      <c r="B353" s="74" t="s">
        <v>235</v>
      </c>
      <c r="C353" s="9"/>
      <c r="D353" s="41"/>
      <c r="E353" s="9"/>
      <c r="F353" s="41"/>
      <c r="G353" s="9"/>
      <c r="H353" s="41"/>
      <c r="I353" s="9"/>
      <c r="J353" s="41"/>
      <c r="K353" s="9"/>
      <c r="L353" s="41"/>
      <c r="M353" s="9"/>
      <c r="N353" s="41"/>
      <c r="O353" s="41"/>
      <c r="P353" s="9"/>
      <c r="Q353" s="41"/>
      <c r="R353" s="9"/>
      <c r="S353" s="9"/>
      <c r="T353" s="9"/>
      <c r="U353" s="9"/>
      <c r="V353" s="41">
        <f>(34.8*2)*2</f>
        <v>139.19999999999999</v>
      </c>
      <c r="W353" s="9"/>
      <c r="X353" s="9"/>
      <c r="Y353" s="9"/>
      <c r="Z353" s="9"/>
      <c r="AA353" s="41">
        <v>128.6</v>
      </c>
      <c r="AB353" s="41"/>
      <c r="AC353" s="9"/>
      <c r="AD353" s="9"/>
      <c r="AE353" s="9"/>
      <c r="AF353" s="9"/>
      <c r="AG353" s="41">
        <v>135.4</v>
      </c>
      <c r="AH353" s="9"/>
      <c r="AI353" s="9"/>
      <c r="AJ353" s="9"/>
      <c r="AK353" s="9"/>
      <c r="AL353" s="41">
        <v>127</v>
      </c>
      <c r="AM353" s="9"/>
      <c r="AN353" s="9"/>
      <c r="AO353" s="9"/>
      <c r="AP353" s="9"/>
      <c r="AQ353" s="41">
        <v>116.2</v>
      </c>
      <c r="AR353" s="9"/>
      <c r="AS353" s="9"/>
      <c r="AT353" s="9"/>
      <c r="AU353" s="9"/>
      <c r="AV353" s="41">
        <v>112</v>
      </c>
      <c r="AW353" s="9"/>
      <c r="AX353" s="9"/>
      <c r="AY353" s="9"/>
      <c r="AZ353" s="9"/>
      <c r="BA353" s="41">
        <v>104.8</v>
      </c>
      <c r="BB353" s="9"/>
      <c r="BC353" s="9"/>
      <c r="BD353" s="477"/>
      <c r="BE353" s="477"/>
      <c r="BF353" s="476">
        <v>93.2</v>
      </c>
      <c r="BG353" s="477"/>
      <c r="BH353" s="477"/>
      <c r="BI353" s="477"/>
      <c r="BJ353" s="477"/>
      <c r="BK353" s="476">
        <v>91.3</v>
      </c>
      <c r="BL353" s="477"/>
      <c r="BM353" s="477"/>
      <c r="BN353" s="477"/>
      <c r="BO353" s="477"/>
      <c r="BP353" s="476">
        <v>88.1</v>
      </c>
      <c r="BQ353" s="477"/>
      <c r="BR353" s="477"/>
      <c r="BS353" s="477"/>
      <c r="BT353" s="477"/>
      <c r="BU353" s="476">
        <v>78.3</v>
      </c>
      <c r="BV353" s="477"/>
      <c r="BW353" s="477"/>
      <c r="BX353" s="477"/>
      <c r="BY353" s="477"/>
      <c r="BZ353" s="476">
        <v>68</v>
      </c>
      <c r="CA353" s="477"/>
      <c r="CB353" s="477"/>
      <c r="CC353" s="477"/>
      <c r="CD353" s="477"/>
      <c r="CE353" s="476">
        <v>71</v>
      </c>
      <c r="CF353" s="477"/>
      <c r="CG353" s="477"/>
      <c r="CH353" s="477"/>
      <c r="CI353" s="477"/>
      <c r="CJ353" s="476">
        <v>73.7</v>
      </c>
      <c r="CK353" s="477"/>
      <c r="CL353" s="477"/>
      <c r="CM353" s="477"/>
      <c r="CN353" s="477"/>
      <c r="CO353" s="476">
        <v>75.099999999999994</v>
      </c>
      <c r="CP353" s="477"/>
      <c r="CQ353" s="477"/>
      <c r="CR353" s="477"/>
      <c r="CS353" s="477"/>
      <c r="CT353" s="476">
        <v>76.8</v>
      </c>
      <c r="CU353" s="477">
        <f>+CY353</f>
        <v>76.8</v>
      </c>
      <c r="CV353" s="477">
        <f>+CY353</f>
        <v>76.8</v>
      </c>
      <c r="CW353" s="477">
        <f>+CY353</f>
        <v>76.8</v>
      </c>
      <c r="CX353" s="477">
        <f>+CY353</f>
        <v>76.8</v>
      </c>
      <c r="CY353" s="514">
        <f>CT353</f>
        <v>76.8</v>
      </c>
      <c r="CZ353" s="477">
        <f>+DD353</f>
        <v>76.8</v>
      </c>
      <c r="DA353" s="477">
        <f>+DD353</f>
        <v>76.8</v>
      </c>
      <c r="DB353" s="477">
        <f>+DD353</f>
        <v>76.8</v>
      </c>
      <c r="DC353" s="477">
        <f>+DD353</f>
        <v>76.8</v>
      </c>
      <c r="DD353" s="514">
        <f>CY353</f>
        <v>76.8</v>
      </c>
      <c r="DE353" s="477">
        <f>+DI353</f>
        <v>76.8</v>
      </c>
      <c r="DF353" s="477">
        <f>+DI353</f>
        <v>76.8</v>
      </c>
      <c r="DG353" s="477">
        <f>+DI353</f>
        <v>76.8</v>
      </c>
      <c r="DH353" s="477">
        <f>+DI353</f>
        <v>76.8</v>
      </c>
      <c r="DI353" s="514">
        <f>DD353</f>
        <v>76.8</v>
      </c>
    </row>
    <row r="354" spans="1:113" ht="12" customHeight="1">
      <c r="A354" s="219"/>
      <c r="B354" s="74" t="s">
        <v>236</v>
      </c>
      <c r="C354" s="9"/>
      <c r="D354" s="41"/>
      <c r="E354" s="9"/>
      <c r="F354" s="41"/>
      <c r="G354" s="9"/>
      <c r="H354" s="41"/>
      <c r="I354" s="9"/>
      <c r="J354" s="41"/>
      <c r="K354" s="9"/>
      <c r="L354" s="41"/>
      <c r="M354" s="9"/>
      <c r="N354" s="41"/>
      <c r="O354" s="41"/>
      <c r="P354" s="9"/>
      <c r="Q354" s="41"/>
      <c r="R354" s="9"/>
      <c r="S354" s="9"/>
      <c r="T354" s="9"/>
      <c r="U354" s="9"/>
      <c r="V354" s="41">
        <f>(51.29/2)/2</f>
        <v>12.8225</v>
      </c>
      <c r="W354" s="9"/>
      <c r="X354" s="9"/>
      <c r="Y354" s="9"/>
      <c r="Z354" s="9"/>
      <c r="AA354" s="41">
        <f>(61.18/2)/2</f>
        <v>15.295</v>
      </c>
      <c r="AB354" s="41"/>
      <c r="AC354" s="9"/>
      <c r="AD354" s="9"/>
      <c r="AE354" s="9"/>
      <c r="AF354" s="9"/>
      <c r="AG354" s="41">
        <v>17.36</v>
      </c>
      <c r="AH354" s="9"/>
      <c r="AI354" s="9"/>
      <c r="AJ354" s="9"/>
      <c r="AK354" s="9"/>
      <c r="AL354" s="41">
        <v>19.64</v>
      </c>
      <c r="AM354" s="9"/>
      <c r="AN354" s="9"/>
      <c r="AO354" s="9"/>
      <c r="AP354" s="9"/>
      <c r="AQ354" s="41">
        <v>23.5</v>
      </c>
      <c r="AR354" s="9"/>
      <c r="AS354" s="9"/>
      <c r="AT354" s="9"/>
      <c r="AU354" s="9"/>
      <c r="AV354" s="41">
        <v>30.38</v>
      </c>
      <c r="AW354" s="9"/>
      <c r="AX354" s="9"/>
      <c r="AY354" s="9"/>
      <c r="AZ354" s="9"/>
      <c r="BA354" s="41">
        <v>34.79</v>
      </c>
      <c r="BB354" s="9"/>
      <c r="BC354" s="9"/>
      <c r="BD354" s="477"/>
      <c r="BE354" s="477"/>
      <c r="BF354" s="41">
        <v>40.729999999999997</v>
      </c>
      <c r="BG354" s="477"/>
      <c r="BH354" s="477"/>
      <c r="BI354" s="477"/>
      <c r="BJ354" s="477"/>
      <c r="BK354" s="41">
        <v>50.59</v>
      </c>
      <c r="BL354" s="477"/>
      <c r="BM354" s="477"/>
      <c r="BN354" s="477"/>
      <c r="BO354" s="477"/>
      <c r="BP354" s="476">
        <v>60.98</v>
      </c>
      <c r="BQ354" s="477"/>
      <c r="BR354" s="477"/>
      <c r="BS354" s="477"/>
      <c r="BT354" s="477"/>
      <c r="BU354" s="476">
        <v>72.88</v>
      </c>
      <c r="BV354" s="477"/>
      <c r="BW354" s="477"/>
      <c r="BX354" s="477"/>
      <c r="BY354" s="477"/>
      <c r="BZ354" s="476">
        <v>88.66</v>
      </c>
      <c r="CA354" s="477"/>
      <c r="CB354" s="477"/>
      <c r="CC354" s="477"/>
      <c r="CD354" s="477"/>
      <c r="CE354" s="476">
        <v>94.4</v>
      </c>
      <c r="CF354" s="477"/>
      <c r="CG354" s="477"/>
      <c r="CH354" s="477"/>
      <c r="CI354" s="477"/>
      <c r="CJ354" s="476">
        <v>98.1</v>
      </c>
      <c r="CK354" s="477"/>
      <c r="CL354" s="477"/>
      <c r="CM354" s="477"/>
      <c r="CN354" s="477"/>
      <c r="CO354" s="476">
        <v>97.99</v>
      </c>
      <c r="CP354" s="477"/>
      <c r="CQ354" s="477"/>
      <c r="CR354" s="477"/>
      <c r="CS354" s="477"/>
      <c r="CT354" s="476">
        <v>96.44</v>
      </c>
      <c r="CU354" s="477">
        <f>+CY354</f>
        <v>96.44</v>
      </c>
      <c r="CV354" s="477">
        <f>+CY354</f>
        <v>96.44</v>
      </c>
      <c r="CW354" s="477">
        <f>+CY354</f>
        <v>96.44</v>
      </c>
      <c r="CX354" s="477">
        <f>+CY354</f>
        <v>96.44</v>
      </c>
      <c r="CY354" s="41">
        <f>(CT353*CT354+(CY353-CT353)*CY359)/CY353</f>
        <v>96.44</v>
      </c>
      <c r="CZ354" s="477">
        <f>+DD354</f>
        <v>96.44</v>
      </c>
      <c r="DA354" s="477">
        <f>+DD354</f>
        <v>96.44</v>
      </c>
      <c r="DB354" s="477">
        <f>+DD354</f>
        <v>96.44</v>
      </c>
      <c r="DC354" s="477">
        <f>+DD354</f>
        <v>96.44</v>
      </c>
      <c r="DD354" s="41">
        <f>(CY353*CY354+(DD353-CY353)*DD359)/DD353</f>
        <v>96.44</v>
      </c>
      <c r="DE354" s="477">
        <f>+DI354</f>
        <v>96.44</v>
      </c>
      <c r="DF354" s="477">
        <f>+DI354</f>
        <v>96.44</v>
      </c>
      <c r="DG354" s="477">
        <f>+DI354</f>
        <v>96.44</v>
      </c>
      <c r="DH354" s="477">
        <f>+DI354</f>
        <v>96.44</v>
      </c>
      <c r="DI354" s="41">
        <f>(DD353*DD354+(DI353-DD353)*DI359)/DI353</f>
        <v>96.44</v>
      </c>
    </row>
    <row r="355" spans="1:113" ht="12" customHeight="1">
      <c r="A355" s="219"/>
      <c r="B355" s="74" t="s">
        <v>237</v>
      </c>
      <c r="C355" s="9"/>
      <c r="D355" s="41"/>
      <c r="E355" s="9"/>
      <c r="F355" s="41"/>
      <c r="G355" s="9"/>
      <c r="H355" s="41"/>
      <c r="I355" s="9"/>
      <c r="J355" s="41"/>
      <c r="K355" s="9"/>
      <c r="L355" s="41"/>
      <c r="M355" s="9"/>
      <c r="N355" s="41"/>
      <c r="O355" s="41"/>
      <c r="P355" s="9"/>
      <c r="Q355" s="41"/>
      <c r="R355" s="9"/>
      <c r="S355" s="9"/>
      <c r="T355" s="9"/>
      <c r="U355" s="9"/>
      <c r="V355" s="41">
        <f>V353*V354</f>
        <v>1784.8919999999998</v>
      </c>
      <c r="W355" s="9"/>
      <c r="X355" s="9"/>
      <c r="Y355" s="9"/>
      <c r="Z355" s="9"/>
      <c r="AA355" s="41">
        <f>AA353*AA354</f>
        <v>1966.9369999999999</v>
      </c>
      <c r="AB355" s="41"/>
      <c r="AC355" s="9"/>
      <c r="AD355" s="9"/>
      <c r="AE355" s="9"/>
      <c r="AF355" s="9"/>
      <c r="AG355" s="41">
        <f>AG353*AG354</f>
        <v>2350.5439999999999</v>
      </c>
      <c r="AH355" s="9"/>
      <c r="AI355" s="9"/>
      <c r="AJ355" s="9"/>
      <c r="AK355" s="9"/>
      <c r="AL355" s="41">
        <f>AL353*AL354</f>
        <v>2494.2800000000002</v>
      </c>
      <c r="AM355" s="9"/>
      <c r="AN355" s="9"/>
      <c r="AO355" s="9"/>
      <c r="AP355" s="9"/>
      <c r="AQ355" s="41">
        <f>AQ353*AQ354</f>
        <v>2730.7000000000003</v>
      </c>
      <c r="AR355" s="9"/>
      <c r="AS355" s="9"/>
      <c r="AT355" s="9"/>
      <c r="AU355" s="9"/>
      <c r="AV355" s="41">
        <f>AV353*AV354</f>
        <v>3402.56</v>
      </c>
      <c r="AW355" s="9"/>
      <c r="AX355" s="9"/>
      <c r="AY355" s="9"/>
      <c r="AZ355" s="9"/>
      <c r="BA355" s="41">
        <f>BA353*BA354</f>
        <v>3645.9919999999997</v>
      </c>
      <c r="BB355" s="9"/>
      <c r="BC355" s="9"/>
      <c r="BD355" s="477"/>
      <c r="BE355" s="477"/>
      <c r="BF355" s="41">
        <f>BF353*BF354</f>
        <v>3796.0359999999996</v>
      </c>
      <c r="BG355" s="477"/>
      <c r="BH355" s="477"/>
      <c r="BI355" s="477"/>
      <c r="BJ355" s="477"/>
      <c r="BK355" s="41">
        <f>BK353*BK354</f>
        <v>4618.8670000000002</v>
      </c>
      <c r="BL355" s="477"/>
      <c r="BM355" s="477"/>
      <c r="BN355" s="477"/>
      <c r="BO355" s="477"/>
      <c r="BP355" s="41">
        <f>BP353*BP354</f>
        <v>5372.3379999999997</v>
      </c>
      <c r="BQ355" s="477"/>
      <c r="BR355" s="477"/>
      <c r="BS355" s="477"/>
      <c r="BT355" s="477"/>
      <c r="BU355" s="41">
        <f>BU353*BU354</f>
        <v>5706.503999999999</v>
      </c>
      <c r="BV355" s="477"/>
      <c r="BW355" s="477"/>
      <c r="BX355" s="477"/>
      <c r="BY355" s="477"/>
      <c r="BZ355" s="41">
        <f>BZ353*BZ354</f>
        <v>6028.88</v>
      </c>
      <c r="CA355" s="477"/>
      <c r="CB355" s="477"/>
      <c r="CC355" s="477"/>
      <c r="CD355" s="477"/>
      <c r="CE355" s="41">
        <f>CE353*CE354</f>
        <v>6702.4000000000005</v>
      </c>
      <c r="CF355" s="477"/>
      <c r="CG355" s="477"/>
      <c r="CH355" s="477"/>
      <c r="CI355" s="477"/>
      <c r="CJ355" s="41">
        <f>CJ353*CJ354</f>
        <v>7229.97</v>
      </c>
      <c r="CK355" s="477"/>
      <c r="CL355" s="477"/>
      <c r="CM355" s="477"/>
      <c r="CN355" s="477"/>
      <c r="CO355" s="41">
        <f>CO353*CO354</f>
        <v>7359.0489999999991</v>
      </c>
      <c r="CP355" s="477"/>
      <c r="CQ355" s="477"/>
      <c r="CR355" s="477"/>
      <c r="CS355" s="477"/>
      <c r="CT355" s="41">
        <f>CT353*CT354</f>
        <v>7406.5919999999996</v>
      </c>
      <c r="CU355" s="477">
        <f>+CY355</f>
        <v>7406.5919999999996</v>
      </c>
      <c r="CV355" s="477">
        <f>+CY355</f>
        <v>7406.5919999999996</v>
      </c>
      <c r="CW355" s="477">
        <f>+CY355</f>
        <v>7406.5919999999996</v>
      </c>
      <c r="CX355" s="477">
        <f>+CY355</f>
        <v>7406.5919999999996</v>
      </c>
      <c r="CY355" s="41">
        <f>CY353*CY354</f>
        <v>7406.5919999999996</v>
      </c>
      <c r="CZ355" s="477">
        <f>+DD355</f>
        <v>7406.5919999999996</v>
      </c>
      <c r="DA355" s="477">
        <f>+DD355</f>
        <v>7406.5919999999996</v>
      </c>
      <c r="DB355" s="477">
        <f>+DD355</f>
        <v>7406.5919999999996</v>
      </c>
      <c r="DC355" s="477">
        <f>+DD355</f>
        <v>7406.5919999999996</v>
      </c>
      <c r="DD355" s="41">
        <f>DD353*DD354</f>
        <v>7406.5919999999996</v>
      </c>
      <c r="DE355" s="477">
        <f>+DI355</f>
        <v>7406.5919999999996</v>
      </c>
      <c r="DF355" s="477">
        <f>+DI355</f>
        <v>7406.5919999999996</v>
      </c>
      <c r="DG355" s="477">
        <f>+DI355</f>
        <v>7406.5919999999996</v>
      </c>
      <c r="DH355" s="477">
        <f>+DI355</f>
        <v>7406.5919999999996</v>
      </c>
      <c r="DI355" s="41">
        <f>DI353*DI354</f>
        <v>7406.5919999999996</v>
      </c>
    </row>
    <row r="356" spans="1:113" ht="12" customHeight="1">
      <c r="A356" s="219"/>
      <c r="B356" s="74"/>
      <c r="C356" s="9"/>
      <c r="D356" s="41"/>
      <c r="E356" s="9"/>
      <c r="F356" s="41"/>
      <c r="G356" s="9"/>
      <c r="H356" s="41"/>
      <c r="I356" s="9"/>
      <c r="J356" s="41"/>
      <c r="K356" s="9"/>
      <c r="L356" s="41"/>
      <c r="M356" s="9"/>
      <c r="N356" s="41"/>
      <c r="O356" s="41"/>
      <c r="P356" s="9"/>
      <c r="Q356" s="41"/>
      <c r="R356" s="9"/>
      <c r="S356" s="9"/>
      <c r="T356" s="9"/>
      <c r="U356" s="9"/>
      <c r="V356" s="41"/>
      <c r="W356" s="9"/>
      <c r="X356" s="9"/>
      <c r="Y356" s="9"/>
      <c r="Z356" s="9"/>
      <c r="AA356" s="41"/>
      <c r="AB356" s="41"/>
      <c r="AC356" s="9"/>
      <c r="AD356" s="9"/>
      <c r="AE356" s="9"/>
      <c r="AF356" s="9"/>
      <c r="AG356" s="41"/>
      <c r="AH356" s="9"/>
      <c r="AI356" s="9"/>
      <c r="AJ356" s="9"/>
      <c r="AK356" s="9"/>
      <c r="AL356" s="41"/>
      <c r="AM356" s="9"/>
      <c r="AN356" s="9"/>
      <c r="AO356" s="9"/>
      <c r="AP356" s="9"/>
      <c r="AQ356" s="41"/>
      <c r="AR356" s="9"/>
      <c r="AS356" s="9"/>
      <c r="AT356" s="9"/>
      <c r="AU356" s="9"/>
      <c r="AV356" s="41"/>
      <c r="AW356" s="9"/>
      <c r="AX356" s="9"/>
      <c r="AY356" s="9"/>
      <c r="AZ356" s="9"/>
      <c r="BA356" s="41"/>
      <c r="BB356" s="9"/>
      <c r="BC356" s="9"/>
      <c r="BD356" s="9"/>
      <c r="BE356" s="9"/>
      <c r="BF356" s="41"/>
      <c r="BG356" s="9"/>
      <c r="BH356" s="9"/>
      <c r="BI356" s="9"/>
      <c r="BJ356" s="9"/>
      <c r="BK356" s="41"/>
      <c r="BL356" s="9"/>
      <c r="BM356" s="9"/>
      <c r="BN356" s="9"/>
      <c r="BO356" s="9"/>
      <c r="BP356" s="41"/>
      <c r="BQ356" s="9"/>
      <c r="BR356" s="9"/>
      <c r="BS356" s="9"/>
      <c r="BT356" s="9"/>
      <c r="BU356" s="41"/>
      <c r="BV356" s="9"/>
      <c r="BW356" s="9"/>
      <c r="BX356" s="9"/>
      <c r="BY356" s="9"/>
      <c r="BZ356" s="41"/>
      <c r="CA356" s="9"/>
      <c r="CB356" s="9"/>
      <c r="CC356" s="9"/>
      <c r="CD356" s="9"/>
      <c r="CE356" s="41"/>
      <c r="CF356" s="9"/>
      <c r="CG356" s="9"/>
      <c r="CH356" s="9"/>
      <c r="CI356" s="9"/>
      <c r="CJ356" s="41"/>
      <c r="CK356" s="9"/>
      <c r="CL356" s="9"/>
      <c r="CM356" s="9"/>
      <c r="CN356" s="9"/>
      <c r="CO356" s="41"/>
      <c r="CP356" s="9"/>
      <c r="CQ356" s="9"/>
      <c r="CR356" s="9"/>
      <c r="CS356" s="9"/>
      <c r="CT356" s="41"/>
      <c r="CU356" s="9"/>
      <c r="CV356" s="9"/>
      <c r="CW356" s="9"/>
      <c r="CX356" s="9"/>
      <c r="CY356" s="41"/>
      <c r="CZ356" s="9"/>
      <c r="DA356" s="9"/>
      <c r="DB356" s="9"/>
      <c r="DC356" s="9"/>
      <c r="DD356" s="41"/>
      <c r="DE356" s="9"/>
      <c r="DF356" s="9"/>
      <c r="DG356" s="9"/>
      <c r="DH356" s="9"/>
      <c r="DI356" s="41"/>
    </row>
    <row r="357" spans="1:113" s="7" customFormat="1" ht="12" customHeight="1">
      <c r="A357" s="239"/>
      <c r="B357" s="20" t="s">
        <v>221</v>
      </c>
      <c r="C357" s="43">
        <f>-'2. Consolidated'!C131</f>
        <v>18.7</v>
      </c>
      <c r="D357" s="36">
        <f>-'2. Consolidated'!D131</f>
        <v>0</v>
      </c>
      <c r="E357" s="43">
        <f>-'2. Consolidated'!E131</f>
        <v>202.3</v>
      </c>
      <c r="F357" s="36">
        <f>-'2. Consolidated'!F131</f>
        <v>299.8</v>
      </c>
      <c r="G357" s="43">
        <f>-'2. Consolidated'!G131</f>
        <v>646.29999999999995</v>
      </c>
      <c r="H357" s="36">
        <f>-'2. Consolidated'!H131</f>
        <v>157</v>
      </c>
      <c r="I357" s="43">
        <f>-'2. Consolidated'!I131</f>
        <v>226.9</v>
      </c>
      <c r="J357" s="36">
        <f>-'2. Consolidated'!J131</f>
        <v>196.3</v>
      </c>
      <c r="K357" s="43">
        <f>-'2. Consolidated'!K131</f>
        <v>419.8</v>
      </c>
      <c r="L357" s="36">
        <f>-'2. Consolidated'!L131</f>
        <v>556.20000000000005</v>
      </c>
      <c r="M357" s="43">
        <f>-'2. Consolidated'!M131</f>
        <v>761.1</v>
      </c>
      <c r="N357" s="36">
        <f>-'2. Consolidated'!N131</f>
        <v>985.2</v>
      </c>
      <c r="O357" s="36">
        <f>-'2. Consolidated'!O131</f>
        <v>1248</v>
      </c>
      <c r="P357" s="43">
        <f>-'2. Consolidated'!P131</f>
        <v>649.20000000000005</v>
      </c>
      <c r="Q357" s="36">
        <f>-'2. Consolidated'!Q131</f>
        <v>741.2</v>
      </c>
      <c r="R357" s="43">
        <f>-'2. Consolidated'!R131</f>
        <v>488</v>
      </c>
      <c r="S357" s="43">
        <f>-'2. Consolidated'!S131</f>
        <v>297</v>
      </c>
      <c r="T357" s="43">
        <f>-'2. Consolidated'!T131</f>
        <v>467</v>
      </c>
      <c r="U357" s="43">
        <f>-'2. Consolidated'!U131</f>
        <v>607</v>
      </c>
      <c r="V357" s="36">
        <f>-'2. Consolidated'!V131</f>
        <v>1859</v>
      </c>
      <c r="W357" s="43">
        <f>-'2. Consolidated'!W131</f>
        <v>626</v>
      </c>
      <c r="X357" s="43">
        <f>-'2. Consolidated'!X131</f>
        <v>699</v>
      </c>
      <c r="Y357" s="43">
        <f>-'2. Consolidated'!Y131</f>
        <v>260</v>
      </c>
      <c r="Z357" s="43">
        <f>-'2. Consolidated'!Z131</f>
        <v>229</v>
      </c>
      <c r="AA357" s="36">
        <f>-'2. Consolidated'!AA131</f>
        <v>1814</v>
      </c>
      <c r="AB357" s="36">
        <f>+AA357</f>
        <v>1814</v>
      </c>
      <c r="AC357" s="43">
        <f>-'2. Consolidated'!AC131</f>
        <v>766</v>
      </c>
      <c r="AD357" s="43">
        <f>-'2. Consolidated'!AD131</f>
        <v>413</v>
      </c>
      <c r="AE357" s="43">
        <f>-'2. Consolidated'!AE131</f>
        <v>253</v>
      </c>
      <c r="AF357" s="43">
        <f>-'2. Consolidated'!AF131</f>
        <v>242</v>
      </c>
      <c r="AG357" s="36">
        <f>-'2. Consolidated'!AG131</f>
        <v>1674</v>
      </c>
      <c r="AH357" s="43">
        <f>-'2. Consolidated'!AH131</f>
        <v>526</v>
      </c>
      <c r="AI357" s="43">
        <f>-'2. Consolidated'!AI131</f>
        <v>402</v>
      </c>
      <c r="AJ357" s="43">
        <f>-'2. Consolidated'!AJ131</f>
        <v>788</v>
      </c>
      <c r="AK357" s="43">
        <f>-'2. Consolidated'!AK131</f>
        <v>912</v>
      </c>
      <c r="AL357" s="36">
        <f>-'2. Consolidated'!AL131</f>
        <v>2628</v>
      </c>
      <c r="AM357" s="43">
        <f>-'2. Consolidated'!AM131</f>
        <v>819</v>
      </c>
      <c r="AN357" s="43">
        <f>-'2. Consolidated'!AN131</f>
        <v>424</v>
      </c>
      <c r="AO357" s="43">
        <f>-'2. Consolidated'!AO131</f>
        <v>612</v>
      </c>
      <c r="AP357" s="43">
        <f>-'2. Consolidated'!AP131</f>
        <v>679</v>
      </c>
      <c r="AQ357" s="36">
        <f>-'2. Consolidated'!AQ131</f>
        <v>2534</v>
      </c>
      <c r="AR357" s="43">
        <f>-'2. Consolidated'!AR131</f>
        <v>588</v>
      </c>
      <c r="AS357" s="43">
        <f>-'2. Consolidated'!AS131</f>
        <v>652</v>
      </c>
      <c r="AT357" s="43">
        <f>-'2. Consolidated'!AT131</f>
        <v>1458</v>
      </c>
      <c r="AU357" s="43">
        <f>-'2. Consolidated'!AU131</f>
        <v>540</v>
      </c>
      <c r="AV357" s="36">
        <f>-'2. Consolidated'!AV131</f>
        <v>3238</v>
      </c>
      <c r="AW357" s="43">
        <f>-'2. Consolidated'!AW131</f>
        <v>1054</v>
      </c>
      <c r="AX357" s="43">
        <f>-'2. Consolidated'!AX131</f>
        <v>900</v>
      </c>
      <c r="AY357" s="43">
        <f>-'2. Consolidated'!AY131</f>
        <v>475</v>
      </c>
      <c r="AZ357" s="43">
        <f>-'2. Consolidated'!AZ131</f>
        <v>794</v>
      </c>
      <c r="BA357" s="36">
        <f>-'2. Consolidated'!BA131</f>
        <v>3223</v>
      </c>
      <c r="BB357" s="43">
        <f>-'2. Consolidated'!BB131</f>
        <v>804</v>
      </c>
      <c r="BC357" s="43">
        <f>-'2. Consolidated'!BC131</f>
        <v>972</v>
      </c>
      <c r="BD357" s="43">
        <f>-'2. Consolidated'!BD131</f>
        <v>918</v>
      </c>
      <c r="BE357" s="43">
        <f>-'2. Consolidated'!BE131</f>
        <v>1560</v>
      </c>
      <c r="BF357" s="36">
        <f>-'2. Consolidated'!BF131</f>
        <v>4254</v>
      </c>
      <c r="BG357" s="43">
        <f>-'2. Consolidated'!BG131</f>
        <v>1360</v>
      </c>
      <c r="BH357" s="43">
        <f>-'2. Consolidated'!BH131</f>
        <v>1277</v>
      </c>
      <c r="BI357" s="43">
        <f>-'2. Consolidated'!BI131</f>
        <v>768</v>
      </c>
      <c r="BJ357" s="43">
        <f>-'2. Consolidated'!BJ131</f>
        <v>881</v>
      </c>
      <c r="BK357" s="36">
        <f>-'2. Consolidated'!BK131</f>
        <v>4286</v>
      </c>
      <c r="BL357" s="43">
        <f>-'2. Consolidated'!BL131</f>
        <v>999</v>
      </c>
      <c r="BM357" s="43">
        <f>-'2. Consolidated'!BM131</f>
        <v>922</v>
      </c>
      <c r="BN357" s="43">
        <f>-'2. Consolidated'!BN131</f>
        <v>944</v>
      </c>
      <c r="BO357" s="43">
        <f>-'2. Consolidated'!BO131</f>
        <v>202</v>
      </c>
      <c r="BP357" s="36">
        <f>-'2. Consolidated'!BP131</f>
        <v>3067</v>
      </c>
      <c r="BQ357" s="43">
        <f>-'2. Consolidated'!BQ131</f>
        <v>0</v>
      </c>
      <c r="BR357" s="43">
        <f>-'2. Consolidated'!BR131</f>
        <v>0</v>
      </c>
      <c r="BS357" s="43">
        <f>-'2. Consolidated'!BS131</f>
        <v>0</v>
      </c>
      <c r="BT357" s="43">
        <f>-'2. Consolidated'!BT131</f>
        <v>608</v>
      </c>
      <c r="BU357" s="36">
        <f>-'2. Consolidated'!BU131</f>
        <v>608</v>
      </c>
      <c r="BV357" s="43">
        <f>-'2. Consolidated'!BV131</f>
        <v>752</v>
      </c>
      <c r="BW357" s="43">
        <f>-'2. Consolidated'!BW131</f>
        <v>971</v>
      </c>
      <c r="BX357" s="43">
        <f>-'2. Consolidated'!BX131</f>
        <v>1200</v>
      </c>
      <c r="BY357" s="43">
        <f>-'2. Consolidated'!BY131</f>
        <v>1091</v>
      </c>
      <c r="BZ357" s="36">
        <f>-'2. Consolidated'!BZ131</f>
        <v>4014</v>
      </c>
      <c r="CA357" s="43">
        <f>-'2. Consolidated'!CA131</f>
        <v>983</v>
      </c>
      <c r="CB357" s="43">
        <f>-'2. Consolidated'!CB131</f>
        <v>1567</v>
      </c>
      <c r="CC357" s="43">
        <f>-'2. Consolidated'!CC131</f>
        <v>1551</v>
      </c>
      <c r="CD357" s="43">
        <f>-'2. Consolidated'!CD131</f>
        <v>1379</v>
      </c>
      <c r="CE357" s="36">
        <f>-'2. Consolidated'!CE131</f>
        <v>5480</v>
      </c>
      <c r="CF357" s="43">
        <f>-'2. Consolidated'!CF131</f>
        <v>1133</v>
      </c>
      <c r="CG357" s="43">
        <f>-'2. Consolidated'!CG131</f>
        <v>1198</v>
      </c>
      <c r="CH357" s="43">
        <f>-'2. Consolidated'!CH131</f>
        <v>883</v>
      </c>
      <c r="CI357" s="43">
        <f>-'2. Consolidated'!CI131</f>
        <v>1036</v>
      </c>
      <c r="CJ357" s="36">
        <f>-'2. Consolidated'!CJ131</f>
        <v>4250</v>
      </c>
      <c r="CK357" s="43">
        <f>-'2. Consolidated'!CK131</f>
        <v>1184</v>
      </c>
      <c r="CL357" s="43">
        <f>-'2. Consolidated'!CL131</f>
        <v>1096</v>
      </c>
      <c r="CM357" s="43">
        <f>-'2. Consolidated'!CM131</f>
        <v>506</v>
      </c>
      <c r="CN357" s="43">
        <f>-'2. Consolidated'!CN131</f>
        <v>199</v>
      </c>
      <c r="CO357" s="36">
        <f>-'2. Consolidated'!CO131</f>
        <v>2985</v>
      </c>
      <c r="CP357" s="43">
        <f>-'2. Consolidated'!CP131</f>
        <v>126</v>
      </c>
      <c r="CQ357" s="43">
        <f>-'2. Consolidated'!CQ131</f>
        <v>20</v>
      </c>
      <c r="CR357" s="43">
        <f>-'2. Consolidated'!CR131</f>
        <v>0</v>
      </c>
      <c r="CS357" s="43">
        <f>-'2. Consolidated'!CS131</f>
        <v>0</v>
      </c>
      <c r="CT357" s="36">
        <f>-'2. Consolidated'!CT131</f>
        <v>146</v>
      </c>
      <c r="CU357" s="43">
        <f>-'2. Consolidated'!CU131</f>
        <v>0</v>
      </c>
      <c r="CV357" s="43">
        <f>-'2. Consolidated'!CV131</f>
        <v>0</v>
      </c>
      <c r="CW357" s="43">
        <f>-'2. Consolidated'!CW131</f>
        <v>0</v>
      </c>
      <c r="CX357" s="43">
        <f>-'2. Consolidated'!CX131</f>
        <v>0</v>
      </c>
      <c r="CY357" s="36">
        <f>-'2. Consolidated'!CY131</f>
        <v>0</v>
      </c>
      <c r="CZ357" s="43">
        <f>-'2. Consolidated'!CZ131</f>
        <v>0</v>
      </c>
      <c r="DA357" s="43">
        <f>-'2. Consolidated'!DA131</f>
        <v>0</v>
      </c>
      <c r="DB357" s="43">
        <f>-'2. Consolidated'!DB131</f>
        <v>0</v>
      </c>
      <c r="DC357" s="43">
        <f>-'2. Consolidated'!DC131</f>
        <v>0</v>
      </c>
      <c r="DD357" s="36">
        <f>-'2. Consolidated'!DD131</f>
        <v>0</v>
      </c>
      <c r="DE357" s="43">
        <f>-'2. Consolidated'!DE131</f>
        <v>250</v>
      </c>
      <c r="DF357" s="43">
        <f>-'2. Consolidated'!DF131</f>
        <v>250</v>
      </c>
      <c r="DG357" s="43">
        <f>-'2. Consolidated'!DG131</f>
        <v>250</v>
      </c>
      <c r="DH357" s="43">
        <f>-'2. Consolidated'!DH131</f>
        <v>250</v>
      </c>
      <c r="DI357" s="36">
        <f>-'2. Consolidated'!DI131</f>
        <v>1000</v>
      </c>
    </row>
    <row r="358" spans="1:113" ht="12" customHeight="1">
      <c r="A358" s="219"/>
      <c r="B358" s="74" t="s">
        <v>234</v>
      </c>
      <c r="C358" s="9">
        <f>+C357/C359</f>
        <v>4.7610144085169646</v>
      </c>
      <c r="D358" s="41">
        <f t="shared" ref="D358:Q358" si="827">+D357/D359</f>
        <v>0</v>
      </c>
      <c r="E358" s="9">
        <f t="shared" si="827"/>
        <v>32.556459265689782</v>
      </c>
      <c r="F358" s="41">
        <f t="shared" si="827"/>
        <v>51.14861495990813</v>
      </c>
      <c r="G358" s="9">
        <f t="shared" si="827"/>
        <v>108.28451900027206</v>
      </c>
      <c r="H358" s="41">
        <f t="shared" si="827"/>
        <v>28.914081816074543</v>
      </c>
      <c r="I358" s="9">
        <f t="shared" si="827"/>
        <v>34.821043094801183</v>
      </c>
      <c r="J358" s="41">
        <f t="shared" si="827"/>
        <v>33.081752909715448</v>
      </c>
      <c r="K358" s="9">
        <f t="shared" si="827"/>
        <v>52.120917678812411</v>
      </c>
      <c r="L358" s="41">
        <f t="shared" si="827"/>
        <v>55.345868413613388</v>
      </c>
      <c r="M358" s="9">
        <f t="shared" si="827"/>
        <v>72.371157268468352</v>
      </c>
      <c r="N358" s="41">
        <f t="shared" si="827"/>
        <v>83.891892257194925</v>
      </c>
      <c r="O358" s="41">
        <f t="shared" si="827"/>
        <v>81.631787750733324</v>
      </c>
      <c r="P358" s="9">
        <f t="shared" si="827"/>
        <v>48.169596325412961</v>
      </c>
      <c r="Q358" s="41">
        <f t="shared" si="827"/>
        <v>46.651955528245111</v>
      </c>
      <c r="R358" s="9">
        <f>+R357/R359</f>
        <v>27.329888246824311</v>
      </c>
      <c r="S358" s="9">
        <f>+S357/S359</f>
        <v>14.784537992910289</v>
      </c>
      <c r="T358" s="9">
        <f>+T357/T359</f>
        <v>21.744215955195834</v>
      </c>
      <c r="U358" s="9">
        <f>+V358-T358-S358-R358</f>
        <v>31.341357805069578</v>
      </c>
      <c r="V358" s="41">
        <v>95.2</v>
      </c>
      <c r="W358" s="9">
        <f>7.7*2*2</f>
        <v>30.8</v>
      </c>
      <c r="X358" s="9">
        <f>30.42*2-W358</f>
        <v>30.040000000000003</v>
      </c>
      <c r="Y358" s="9">
        <f>34.8*2-SUM(W358:X358)</f>
        <v>8.7599999999999909</v>
      </c>
      <c r="Z358" s="9">
        <f>2.3*2*2</f>
        <v>9.1999999999999993</v>
      </c>
      <c r="AA358" s="41">
        <f>SUM(W358:Z358)</f>
        <v>78.8</v>
      </c>
      <c r="AB358" s="41">
        <f>+AA358</f>
        <v>78.8</v>
      </c>
      <c r="AC358" s="9">
        <f>8.2*2*2</f>
        <v>32.799999999999997</v>
      </c>
      <c r="AD358" s="9">
        <f>8.039074*2</f>
        <v>16.078147999999999</v>
      </c>
      <c r="AE358" s="9">
        <f>+AE357/AE359</f>
        <v>9.6434853516875947</v>
      </c>
      <c r="AF358" s="9">
        <f>+AF357/AF359</f>
        <v>8.0436083228079518</v>
      </c>
      <c r="AG358" s="41">
        <f>SUM(AC358:AF358)</f>
        <v>66.565241674495539</v>
      </c>
      <c r="AH358" s="9">
        <v>16.8</v>
      </c>
      <c r="AI358" s="9">
        <v>11</v>
      </c>
      <c r="AJ358" s="9">
        <v>20.8</v>
      </c>
      <c r="AK358" s="9">
        <v>24.6</v>
      </c>
      <c r="AL358" s="41">
        <f>SUM(AH358:AK358)</f>
        <v>73.2</v>
      </c>
      <c r="AM358" s="9">
        <v>21.2</v>
      </c>
      <c r="AN358" s="9">
        <v>10.199999999999999</v>
      </c>
      <c r="AO358" s="9">
        <v>13</v>
      </c>
      <c r="AP358" s="9">
        <v>13.6</v>
      </c>
      <c r="AQ358" s="41">
        <f>SUM(AM358:AP358)</f>
        <v>58</v>
      </c>
      <c r="AR358" s="9">
        <v>11</v>
      </c>
      <c r="AS358" s="9">
        <v>11.2</v>
      </c>
      <c r="AT358" s="9">
        <v>24.28539</v>
      </c>
      <c r="AU358" s="9">
        <v>9</v>
      </c>
      <c r="AV358" s="41">
        <f>SUM(AR358:AU358)</f>
        <v>55.485389999999995</v>
      </c>
      <c r="AW358" s="9">
        <v>19</v>
      </c>
      <c r="AX358" s="9">
        <f>35.9-AW358</f>
        <v>16.899999999999999</v>
      </c>
      <c r="AY358" s="9">
        <v>8.9</v>
      </c>
      <c r="AZ358" s="9">
        <v>14.9</v>
      </c>
      <c r="BA358" s="41">
        <f>SUM(AW358:AZ358)</f>
        <v>59.699999999999996</v>
      </c>
      <c r="BB358" s="9">
        <v>15.3</v>
      </c>
      <c r="BC358" s="9">
        <v>16.7</v>
      </c>
      <c r="BD358" s="9">
        <v>14.6</v>
      </c>
      <c r="BE358" s="9">
        <v>23.1</v>
      </c>
      <c r="BF358" s="41">
        <f>SUM(BB358:BE358)</f>
        <v>69.7</v>
      </c>
      <c r="BG358" s="9">
        <v>17.8</v>
      </c>
      <c r="BH358" s="9">
        <v>16.100000000000001</v>
      </c>
      <c r="BI358" s="9">
        <v>9.8000000000000007</v>
      </c>
      <c r="BJ358" s="9">
        <v>10.6</v>
      </c>
      <c r="BK358" s="41">
        <f>SUM(BG358:BJ358)</f>
        <v>54.300000000000004</v>
      </c>
      <c r="BL358" s="9">
        <v>11.9</v>
      </c>
      <c r="BM358" s="9">
        <v>10.1</v>
      </c>
      <c r="BN358" s="9">
        <v>9.6</v>
      </c>
      <c r="BO358" s="477">
        <v>1.9</v>
      </c>
      <c r="BP358" s="41">
        <f>SUM(BL358:BO358)</f>
        <v>33.5</v>
      </c>
      <c r="BQ358" s="9">
        <v>0</v>
      </c>
      <c r="BR358" s="477">
        <v>0</v>
      </c>
      <c r="BS358" s="477">
        <v>0</v>
      </c>
      <c r="BT358" s="9">
        <v>4.8674569999999999</v>
      </c>
      <c r="BU358" s="41">
        <f>SUM(BQ358:BT358)</f>
        <v>4.8674569999999999</v>
      </c>
      <c r="BV358" s="9">
        <v>4.7796729999999998</v>
      </c>
      <c r="BW358" s="9">
        <v>6.0138879999999997</v>
      </c>
      <c r="BX358" s="9">
        <v>8.0913679999999992</v>
      </c>
      <c r="BY358" s="9">
        <v>8.4530069999999995</v>
      </c>
      <c r="BZ358" s="41">
        <f>SUM(BV358:BY358)</f>
        <v>27.337935999999999</v>
      </c>
      <c r="CA358" s="9">
        <v>9</v>
      </c>
      <c r="CB358" s="9">
        <v>16.5</v>
      </c>
      <c r="CC358" s="9">
        <v>12.9</v>
      </c>
      <c r="CD358" s="477">
        <v>11.5</v>
      </c>
      <c r="CE358" s="41">
        <f>SUM(CA358:CD358)</f>
        <v>49.9</v>
      </c>
      <c r="CF358" s="9">
        <v>10.5</v>
      </c>
      <c r="CG358" s="9">
        <v>11.9</v>
      </c>
      <c r="CH358" s="477">
        <v>7.9</v>
      </c>
      <c r="CI358" s="9">
        <v>11.1</v>
      </c>
      <c r="CJ358" s="41">
        <f>SUM(CF358:CI358)</f>
        <v>41.4</v>
      </c>
      <c r="CK358" s="9">
        <v>14.8</v>
      </c>
      <c r="CL358" s="9">
        <v>13.1</v>
      </c>
      <c r="CM358" s="9">
        <v>6.5</v>
      </c>
      <c r="CN358" s="9">
        <v>3.2</v>
      </c>
      <c r="CO358" s="41">
        <f>SUM(CK358:CN358)</f>
        <v>37.6</v>
      </c>
      <c r="CP358" s="9">
        <v>1.8</v>
      </c>
      <c r="CQ358" s="9">
        <f>+CQ357/CQ359</f>
        <v>0.29338418659234267</v>
      </c>
      <c r="CR358" s="9">
        <f>+CR357/CR359</f>
        <v>0</v>
      </c>
      <c r="CS358" s="9">
        <f>+CS357/CS359</f>
        <v>0</v>
      </c>
      <c r="CT358" s="41">
        <f>SUM(CP358:CS358)</f>
        <v>2.0933841865923428</v>
      </c>
      <c r="CU358" s="9">
        <f>+CU357/CU359</f>
        <v>0</v>
      </c>
      <c r="CV358" s="9">
        <f>+CV357/CV359</f>
        <v>0</v>
      </c>
      <c r="CW358" s="9">
        <f>+CW357/CW359</f>
        <v>0</v>
      </c>
      <c r="CX358" s="9">
        <f>+CX357/CX359</f>
        <v>0</v>
      </c>
      <c r="CY358" s="41">
        <f>SUM(CU358:CX358)</f>
        <v>0</v>
      </c>
      <c r="CZ358" s="9">
        <f>+CZ357/CZ359</f>
        <v>0</v>
      </c>
      <c r="DA358" s="9">
        <f>+DA357/DA359</f>
        <v>0</v>
      </c>
      <c r="DB358" s="9">
        <f>+DB357/DB359</f>
        <v>0</v>
      </c>
      <c r="DC358" s="9">
        <f>+DC357/DC359</f>
        <v>0</v>
      </c>
      <c r="DD358" s="41">
        <f>SUM(CZ358:DC358)</f>
        <v>0</v>
      </c>
      <c r="DE358" s="9">
        <f>+DE357/DE359</f>
        <v>5.0276294250124369</v>
      </c>
      <c r="DF358" s="9">
        <f>+DF357/DF359</f>
        <v>4.9290484558945451</v>
      </c>
      <c r="DG358" s="9">
        <f>+DG357/DG359</f>
        <v>4.8324004469554369</v>
      </c>
      <c r="DH358" s="9">
        <f>+DH357/DH359</f>
        <v>4.7376474970151339</v>
      </c>
      <c r="DI358" s="41">
        <f>SUM(DE358:DH358)</f>
        <v>19.526725824877552</v>
      </c>
    </row>
    <row r="359" spans="1:113" ht="12" customHeight="1">
      <c r="A359" s="219"/>
      <c r="B359" s="74" t="s">
        <v>222</v>
      </c>
      <c r="C359" s="9">
        <v>3.9277343850393782</v>
      </c>
      <c r="D359" s="41">
        <v>7.3228754940711456</v>
      </c>
      <c r="E359" s="9">
        <v>6.2138206845238093</v>
      </c>
      <c r="F359" s="41">
        <v>5.8613512845849796</v>
      </c>
      <c r="G359" s="9">
        <v>5.9685355392156856</v>
      </c>
      <c r="H359" s="41">
        <v>5.4298801877470364</v>
      </c>
      <c r="I359" s="9">
        <v>6.5161746987951776</v>
      </c>
      <c r="J359" s="41">
        <v>5.9337847222222209</v>
      </c>
      <c r="K359" s="9">
        <v>8.054347826086957</v>
      </c>
      <c r="L359" s="41">
        <v>10.04953063241107</v>
      </c>
      <c r="M359" s="9">
        <v>10.516620553359679</v>
      </c>
      <c r="N359" s="41">
        <v>11.74368551587302</v>
      </c>
      <c r="O359" s="41">
        <v>15.28816205533596</v>
      </c>
      <c r="P359" s="9">
        <v>13.477380952380949</v>
      </c>
      <c r="Q359" s="41">
        <v>15.88786561264823</v>
      </c>
      <c r="R359" s="9">
        <v>17.855909090909101</v>
      </c>
      <c r="S359" s="9">
        <v>20.088554687500011</v>
      </c>
      <c r="T359" s="9">
        <v>21.476975806451609</v>
      </c>
      <c r="U359" s="9">
        <v>20.538576923076921</v>
      </c>
      <c r="V359" s="41">
        <f>AVERAGE(R359:U359)</f>
        <v>19.99000412698441</v>
      </c>
      <c r="W359" s="9">
        <v>21.407272727272719</v>
      </c>
      <c r="X359" s="9">
        <v>22.6752734375</v>
      </c>
      <c r="Y359" s="9">
        <v>25.097016129032269</v>
      </c>
      <c r="Z359" s="9">
        <v>27.29657692307692</v>
      </c>
      <c r="AA359" s="41">
        <f>AVERAGE(W359:Z359)</f>
        <v>24.119034804220476</v>
      </c>
      <c r="AB359" s="41">
        <f>+AA359</f>
        <v>24.119034804220476</v>
      </c>
      <c r="AC359" s="9">
        <v>24.248068181818191</v>
      </c>
      <c r="AD359" s="9">
        <v>23.91052419354839</v>
      </c>
      <c r="AE359" s="9">
        <v>26.235327868852458</v>
      </c>
      <c r="AF359" s="9">
        <v>30.085999999999999</v>
      </c>
      <c r="AG359" s="41">
        <f>AVERAGE(AC359:AF359)</f>
        <v>26.119980061054758</v>
      </c>
      <c r="AH359" s="9">
        <v>31.649692307692298</v>
      </c>
      <c r="AI359" s="9">
        <v>36.61671874999999</v>
      </c>
      <c r="AJ359" s="9">
        <v>37.984112903225807</v>
      </c>
      <c r="AK359" s="9">
        <v>37.425625000000011</v>
      </c>
      <c r="AL359" s="41">
        <f>AVERAGE(AH359:AK359)</f>
        <v>35.919037240229528</v>
      </c>
      <c r="AM359" s="9">
        <v>38.614923076923077</v>
      </c>
      <c r="AN359" s="9">
        <v>44.382578124999988</v>
      </c>
      <c r="AO359" s="9">
        <v>47.545887096774187</v>
      </c>
      <c r="AP359" s="9">
        <v>50.121718750000007</v>
      </c>
      <c r="AQ359" s="41">
        <f>AVERAGE(AM359:AP359)</f>
        <v>45.166276762174313</v>
      </c>
      <c r="AR359" s="9">
        <v>54.815303030303042</v>
      </c>
      <c r="AS359" s="9">
        <v>61.955468750000023</v>
      </c>
      <c r="AT359" s="9">
        <v>61.57725806451613</v>
      </c>
      <c r="AU359" s="9">
        <v>59.552769230769208</v>
      </c>
      <c r="AV359" s="41">
        <f>AVERAGE(AR359:AU359)</f>
        <v>59.475199768897099</v>
      </c>
      <c r="AW359" s="9">
        <v>55.992727272727272</v>
      </c>
      <c r="AX359" s="9">
        <v>52.70656249999999</v>
      </c>
      <c r="AY359" s="9">
        <v>53.279672131147557</v>
      </c>
      <c r="AZ359" s="9">
        <v>55.233692307692309</v>
      </c>
      <c r="BA359" s="41">
        <f>AVERAGE(AW359:AZ359)</f>
        <v>54.303163552891782</v>
      </c>
      <c r="BB359" s="9">
        <v>56.030454545454553</v>
      </c>
      <c r="BC359" s="9">
        <v>54.443593749999991</v>
      </c>
      <c r="BD359" s="9">
        <v>60.5</v>
      </c>
      <c r="BE359" s="9">
        <f>1600/BE358</f>
        <v>69.264069264069263</v>
      </c>
      <c r="BF359" s="41">
        <f>AVERAGE(BB359:BE359)</f>
        <v>60.05952938988095</v>
      </c>
      <c r="BG359" s="9">
        <f>BG357/BG358</f>
        <v>76.404494382022463</v>
      </c>
      <c r="BH359" s="9">
        <f>BH357/BH358</f>
        <v>79.31677018633539</v>
      </c>
      <c r="BI359" s="9">
        <f>BI357/BI358</f>
        <v>78.367346938775498</v>
      </c>
      <c r="BJ359" s="9">
        <f>BJ357/BJ358</f>
        <v>83.113207547169807</v>
      </c>
      <c r="BK359" s="41">
        <f>AVERAGE(BG359:BJ359)</f>
        <v>79.300454763575786</v>
      </c>
      <c r="BL359" s="9">
        <f>BL357/BL358</f>
        <v>83.949579831932766</v>
      </c>
      <c r="BM359" s="9">
        <f>BM357/BM358</f>
        <v>91.287128712871294</v>
      </c>
      <c r="BN359" s="9">
        <f>BN357/BN358</f>
        <v>98.333333333333343</v>
      </c>
      <c r="BO359" s="9">
        <f>BO357/BO358</f>
        <v>106.31578947368422</v>
      </c>
      <c r="BP359" s="41">
        <f>AVERAGE(BL359:BO359)</f>
        <v>94.971457837955413</v>
      </c>
      <c r="BQ359" s="9">
        <v>98.18</v>
      </c>
      <c r="BR359" s="477">
        <v>124.86640624999997</v>
      </c>
      <c r="BS359" s="477">
        <v>139.86737704918039</v>
      </c>
      <c r="BT359" s="9">
        <f>BT357/BT358</f>
        <v>124.91122160914827</v>
      </c>
      <c r="BU359" s="41">
        <f>AVERAGE(BQ359:BT359)</f>
        <v>121.95625122708216</v>
      </c>
      <c r="BV359" s="9">
        <v>155.30000000000001</v>
      </c>
      <c r="BW359" s="477">
        <v>160.94999999999999</v>
      </c>
      <c r="BX359" s="477">
        <v>151.05000000000001</v>
      </c>
      <c r="BY359" s="477">
        <v>125.61</v>
      </c>
      <c r="BZ359" s="41">
        <f>AVERAGE(BV359:BY359)</f>
        <v>148.22749999999999</v>
      </c>
      <c r="CA359" s="477">
        <f>+CA357/CA358</f>
        <v>109.22222222222223</v>
      </c>
      <c r="CB359" s="477">
        <f>+CB357/CB358</f>
        <v>94.969696969696969</v>
      </c>
      <c r="CC359" s="477">
        <f>+CC357/CC358</f>
        <v>120.23255813953487</v>
      </c>
      <c r="CD359" s="477">
        <f>+CD357/CD358</f>
        <v>119.91304347826087</v>
      </c>
      <c r="CE359" s="41">
        <f>AVERAGE(CA359:CD359)</f>
        <v>111.08438020242873</v>
      </c>
      <c r="CF359" s="9">
        <f>+CF357/CF358</f>
        <v>107.9047619047619</v>
      </c>
      <c r="CG359" s="9">
        <f>+CG357/CG358</f>
        <v>100.67226890756302</v>
      </c>
      <c r="CH359" s="9">
        <f>+CH357/CH358</f>
        <v>111.77215189873417</v>
      </c>
      <c r="CI359" s="9">
        <f>+CI357/CI358</f>
        <v>93.333333333333343</v>
      </c>
      <c r="CJ359" s="41">
        <f>AVERAGE(CF359:CI359)</f>
        <v>103.4206290110981</v>
      </c>
      <c r="CK359" s="9">
        <f>+CK357/CK358</f>
        <v>80</v>
      </c>
      <c r="CL359" s="9">
        <f>+CL357/CL358</f>
        <v>83.664122137404576</v>
      </c>
      <c r="CM359" s="9">
        <f>+CM357/CM358</f>
        <v>77.84615384615384</v>
      </c>
      <c r="CN359" s="9">
        <f>+CN357/CN358</f>
        <v>62.1875</v>
      </c>
      <c r="CO359" s="41">
        <f>AVERAGE(CK359:CN359)</f>
        <v>75.924443995889604</v>
      </c>
      <c r="CP359" s="9">
        <f>+CP357/CP358</f>
        <v>70</v>
      </c>
      <c r="CQ359" s="9">
        <v>68.17</v>
      </c>
      <c r="CR359" s="9">
        <v>63.84</v>
      </c>
      <c r="CS359" s="9">
        <v>47.93</v>
      </c>
      <c r="CT359" s="41">
        <f>AVERAGE(CP359:CS359)</f>
        <v>62.485000000000007</v>
      </c>
      <c r="CU359" s="9">
        <v>42.44</v>
      </c>
      <c r="CV359" s="9">
        <f>+CU359*(1+CV360)</f>
        <v>43.288800000000002</v>
      </c>
      <c r="CW359" s="9">
        <f>+CV359*(1+CW360)</f>
        <v>44.154576000000006</v>
      </c>
      <c r="CX359" s="9">
        <f>+CW359*(1+CX360)</f>
        <v>45.037667520000007</v>
      </c>
      <c r="CY359" s="41">
        <f>AVERAGE(CU359:CX359)</f>
        <v>43.730260880000003</v>
      </c>
      <c r="CZ359" s="9">
        <f>+CX359*(1+CZ360)</f>
        <v>45.938420870400009</v>
      </c>
      <c r="DA359" s="9">
        <f>+CZ359*(1+DA360)</f>
        <v>46.857189287808012</v>
      </c>
      <c r="DB359" s="9">
        <f>+DA359*(1+DB360)</f>
        <v>47.794333073564175</v>
      </c>
      <c r="DC359" s="9">
        <f>+DB359*(1+DC360)</f>
        <v>48.750219735035458</v>
      </c>
      <c r="DD359" s="41">
        <f>AVERAGE(CZ359:DC359)</f>
        <v>47.335040741701917</v>
      </c>
      <c r="DE359" s="9">
        <f>+DC359*(1+DE360)</f>
        <v>49.725224129736169</v>
      </c>
      <c r="DF359" s="9">
        <f>+DE359*(1+DF360)</f>
        <v>50.719728612330897</v>
      </c>
      <c r="DG359" s="9">
        <f>+DF359*(1+DG360)</f>
        <v>51.734123184577513</v>
      </c>
      <c r="DH359" s="9">
        <f>+DG359*(1+DH360)</f>
        <v>52.768805648269066</v>
      </c>
      <c r="DI359" s="41">
        <f>AVERAGE(DE359:DH359)</f>
        <v>51.236970393728413</v>
      </c>
    </row>
    <row r="360" spans="1:113" ht="12" customHeight="1">
      <c r="A360" s="219"/>
      <c r="B360" s="74" t="s">
        <v>223</v>
      </c>
      <c r="C360" s="376" t="s">
        <v>126</v>
      </c>
      <c r="D360" s="375" t="s">
        <v>126</v>
      </c>
      <c r="E360" s="376" t="s">
        <v>126</v>
      </c>
      <c r="F360" s="375" t="s">
        <v>126</v>
      </c>
      <c r="G360" s="376" t="s">
        <v>126</v>
      </c>
      <c r="H360" s="375" t="s">
        <v>126</v>
      </c>
      <c r="I360" s="376" t="s">
        <v>126</v>
      </c>
      <c r="J360" s="375" t="s">
        <v>126</v>
      </c>
      <c r="K360" s="376" t="s">
        <v>126</v>
      </c>
      <c r="L360" s="375" t="s">
        <v>126</v>
      </c>
      <c r="M360" s="376" t="s">
        <v>126</v>
      </c>
      <c r="N360" s="375" t="s">
        <v>126</v>
      </c>
      <c r="O360" s="375" t="s">
        <v>126</v>
      </c>
      <c r="P360" s="376" t="s">
        <v>126</v>
      </c>
      <c r="Q360" s="375" t="s">
        <v>126</v>
      </c>
      <c r="R360" s="376" t="s">
        <v>126</v>
      </c>
      <c r="S360" s="376" t="s">
        <v>126</v>
      </c>
      <c r="T360" s="376" t="s">
        <v>126</v>
      </c>
      <c r="U360" s="376" t="s">
        <v>126</v>
      </c>
      <c r="V360" s="375" t="s">
        <v>126</v>
      </c>
      <c r="W360" s="376" t="s">
        <v>126</v>
      </c>
      <c r="X360" s="376" t="s">
        <v>126</v>
      </c>
      <c r="Y360" s="376" t="s">
        <v>126</v>
      </c>
      <c r="Z360" s="376" t="s">
        <v>126</v>
      </c>
      <c r="AA360" s="375" t="s">
        <v>126</v>
      </c>
      <c r="AB360" s="375" t="s">
        <v>126</v>
      </c>
      <c r="AC360" s="376" t="s">
        <v>126</v>
      </c>
      <c r="AD360" s="376" t="s">
        <v>126</v>
      </c>
      <c r="AE360" s="376" t="s">
        <v>126</v>
      </c>
      <c r="AF360" s="376" t="s">
        <v>126</v>
      </c>
      <c r="AG360" s="375" t="s">
        <v>126</v>
      </c>
      <c r="AH360" s="376" t="s">
        <v>126</v>
      </c>
      <c r="AI360" s="376" t="s">
        <v>126</v>
      </c>
      <c r="AJ360" s="376" t="s">
        <v>126</v>
      </c>
      <c r="AK360" s="376" t="s">
        <v>126</v>
      </c>
      <c r="AL360" s="375" t="s">
        <v>126</v>
      </c>
      <c r="AM360" s="376" t="s">
        <v>126</v>
      </c>
      <c r="AN360" s="376" t="s">
        <v>126</v>
      </c>
      <c r="AO360" s="376" t="s">
        <v>126</v>
      </c>
      <c r="AP360" s="376" t="s">
        <v>126</v>
      </c>
      <c r="AQ360" s="375" t="s">
        <v>126</v>
      </c>
      <c r="AR360" s="376" t="s">
        <v>126</v>
      </c>
      <c r="AS360" s="376" t="s">
        <v>126</v>
      </c>
      <c r="AT360" s="376" t="s">
        <v>126</v>
      </c>
      <c r="AU360" s="376" t="s">
        <v>126</v>
      </c>
      <c r="AV360" s="375" t="s">
        <v>126</v>
      </c>
      <c r="AW360" s="376" t="s">
        <v>126</v>
      </c>
      <c r="AX360" s="376" t="s">
        <v>126</v>
      </c>
      <c r="AY360" s="376" t="s">
        <v>126</v>
      </c>
      <c r="AZ360" s="376" t="s">
        <v>126</v>
      </c>
      <c r="BA360" s="375" t="s">
        <v>126</v>
      </c>
      <c r="BB360" s="376" t="s">
        <v>126</v>
      </c>
      <c r="BC360" s="376" t="s">
        <v>126</v>
      </c>
      <c r="BD360" s="376" t="s">
        <v>126</v>
      </c>
      <c r="BE360" s="376" t="s">
        <v>126</v>
      </c>
      <c r="BF360" s="42"/>
      <c r="BG360" s="376" t="s">
        <v>126</v>
      </c>
      <c r="BH360" s="26"/>
      <c r="BI360" s="26"/>
      <c r="BJ360" s="26"/>
      <c r="BK360" s="42"/>
      <c r="BL360" s="26"/>
      <c r="BM360" s="26"/>
      <c r="BN360" s="26"/>
      <c r="BO360" s="26"/>
      <c r="BP360" s="42"/>
      <c r="BQ360" s="26"/>
      <c r="BR360" s="26"/>
      <c r="BS360" s="26"/>
      <c r="BT360" s="26"/>
      <c r="BU360" s="42">
        <f>+BU359/BP359-1</f>
        <v>0.28413582357732592</v>
      </c>
      <c r="BV360" s="26"/>
      <c r="BW360" s="26"/>
      <c r="BX360" s="26"/>
      <c r="BY360" s="26"/>
      <c r="BZ360" s="42">
        <f>+BZ359/BU359-1</f>
        <v>0.21541535188713579</v>
      </c>
      <c r="CA360" s="26"/>
      <c r="CB360" s="26"/>
      <c r="CC360" s="26"/>
      <c r="CD360" s="26"/>
      <c r="CE360" s="42">
        <f>+CE359/BZ359-1</f>
        <v>-0.25058184073516221</v>
      </c>
      <c r="CF360" s="26"/>
      <c r="CG360" s="26"/>
      <c r="CH360" s="26"/>
      <c r="CI360" s="26"/>
      <c r="CJ360" s="42">
        <f>+CJ359/CE359-1</f>
        <v>-6.8990358296683985E-2</v>
      </c>
      <c r="CK360" s="26"/>
      <c r="CL360" s="26"/>
      <c r="CM360" s="26"/>
      <c r="CN360" s="26"/>
      <c r="CO360" s="42">
        <f>+CO359/CJ359-1</f>
        <v>-0.2658675090078777</v>
      </c>
      <c r="CP360" s="26"/>
      <c r="CQ360" s="26"/>
      <c r="CR360" s="26"/>
      <c r="CS360" s="26"/>
      <c r="CT360" s="42">
        <f>+CT359/CO359-1</f>
        <v>-0.17701076607972499</v>
      </c>
      <c r="CU360" s="26"/>
      <c r="CV360" s="26">
        <v>0.02</v>
      </c>
      <c r="CW360" s="26">
        <v>0.02</v>
      </c>
      <c r="CX360" s="26">
        <v>0.02</v>
      </c>
      <c r="CY360" s="42">
        <f>+CY359/CT359-1</f>
        <v>-0.30014786140673766</v>
      </c>
      <c r="CZ360" s="26">
        <v>0.02</v>
      </c>
      <c r="DA360" s="26">
        <v>0.02</v>
      </c>
      <c r="DB360" s="26">
        <v>0.02</v>
      </c>
      <c r="DC360" s="26">
        <v>0.02</v>
      </c>
      <c r="DD360" s="42">
        <f>+DD359/CY359-1</f>
        <v>8.2432160000000199E-2</v>
      </c>
      <c r="DE360" s="26">
        <v>0.02</v>
      </c>
      <c r="DF360" s="26">
        <v>0.02</v>
      </c>
      <c r="DG360" s="26">
        <v>0.02</v>
      </c>
      <c r="DH360" s="26">
        <v>0.02</v>
      </c>
      <c r="DI360" s="42">
        <f>+DI359/DD359-1</f>
        <v>8.2432160000000199E-2</v>
      </c>
    </row>
    <row r="361" spans="1:113" ht="12" customHeight="1">
      <c r="A361" s="219"/>
      <c r="B361" s="515"/>
      <c r="C361" s="516"/>
      <c r="D361" s="517"/>
      <c r="E361" s="516"/>
      <c r="F361" s="517"/>
      <c r="G361" s="516"/>
      <c r="H361" s="517"/>
      <c r="I361" s="516"/>
      <c r="J361" s="517"/>
      <c r="K361" s="516"/>
      <c r="L361" s="517"/>
      <c r="M361" s="516"/>
      <c r="N361" s="517"/>
      <c r="O361" s="517"/>
      <c r="P361" s="516"/>
      <c r="Q361" s="517"/>
      <c r="R361" s="516"/>
      <c r="S361" s="516"/>
      <c r="T361" s="516"/>
      <c r="U361" s="516"/>
      <c r="V361" s="517"/>
      <c r="W361" s="516"/>
      <c r="X361" s="516"/>
      <c r="Y361" s="516"/>
      <c r="Z361" s="516"/>
      <c r="AA361" s="517"/>
      <c r="AB361" s="517"/>
      <c r="AC361" s="516"/>
      <c r="AD361" s="516"/>
      <c r="AE361" s="516"/>
      <c r="AF361" s="516"/>
      <c r="AG361" s="517"/>
      <c r="AH361" s="516"/>
      <c r="AI361" s="516"/>
      <c r="AJ361" s="516"/>
      <c r="AK361" s="516"/>
      <c r="AL361" s="517"/>
      <c r="AM361" s="516"/>
      <c r="AN361" s="516"/>
      <c r="AO361" s="516"/>
      <c r="AP361" s="516"/>
      <c r="AQ361" s="517"/>
      <c r="AR361" s="516"/>
      <c r="AS361" s="516"/>
      <c r="AT361" s="516"/>
      <c r="AU361" s="516"/>
      <c r="AV361" s="517"/>
      <c r="AW361" s="516"/>
      <c r="AX361" s="516"/>
      <c r="AY361" s="516"/>
      <c r="AZ361" s="516"/>
      <c r="BA361" s="517"/>
      <c r="BB361" s="516"/>
      <c r="BC361" s="516"/>
      <c r="BD361" s="516"/>
      <c r="BE361" s="516"/>
      <c r="BF361" s="517"/>
      <c r="BG361" s="516"/>
      <c r="BH361" s="516"/>
      <c r="BI361" s="516"/>
      <c r="BJ361" s="516"/>
      <c r="BK361" s="517"/>
      <c r="BL361" s="516"/>
      <c r="BM361" s="516"/>
      <c r="BN361" s="516"/>
      <c r="BO361" s="516"/>
      <c r="BP361" s="517"/>
      <c r="BQ361" s="516"/>
      <c r="BR361" s="516"/>
      <c r="BS361" s="516"/>
      <c r="BT361" s="516"/>
      <c r="BU361" s="517"/>
      <c r="BV361" s="516"/>
      <c r="BW361" s="516"/>
      <c r="BX361" s="516"/>
      <c r="BY361" s="516"/>
      <c r="BZ361" s="517"/>
      <c r="CA361" s="516"/>
      <c r="CB361" s="516"/>
      <c r="CC361" s="516"/>
      <c r="CD361" s="516"/>
      <c r="CE361" s="517"/>
      <c r="CF361" s="516"/>
      <c r="CG361" s="516"/>
      <c r="CH361" s="516"/>
      <c r="CI361" s="516"/>
      <c r="CJ361" s="517"/>
      <c r="CK361" s="516"/>
      <c r="CL361" s="516"/>
      <c r="CM361" s="516"/>
      <c r="CN361" s="516"/>
      <c r="CO361" s="517"/>
      <c r="CP361" s="516"/>
      <c r="CQ361" s="516"/>
      <c r="CR361" s="516"/>
      <c r="CS361" s="516"/>
      <c r="CT361" s="517"/>
      <c r="CU361" s="516"/>
      <c r="CV361" s="516"/>
      <c r="CW361" s="516"/>
      <c r="CX361" s="516"/>
      <c r="CY361" s="517"/>
      <c r="CZ361" s="516"/>
      <c r="DA361" s="516"/>
      <c r="DB361" s="516"/>
      <c r="DC361" s="516"/>
      <c r="DD361" s="517"/>
      <c r="DE361" s="516"/>
      <c r="DF361" s="516"/>
      <c r="DG361" s="516"/>
      <c r="DH361" s="516"/>
      <c r="DI361" s="517"/>
    </row>
    <row r="362" spans="1:113" ht="12" customHeight="1">
      <c r="CC362" s="518"/>
    </row>
    <row r="363" spans="1:113" ht="12" customHeight="1">
      <c r="BH363" s="477"/>
      <c r="BI363" s="477"/>
      <c r="BJ363" s="477"/>
      <c r="BK363" s="477"/>
      <c r="BL363" s="477"/>
      <c r="BM363" s="477"/>
      <c r="BN363" s="477"/>
      <c r="BO363" s="477"/>
      <c r="BP363" s="477"/>
      <c r="BQ363" s="477"/>
      <c r="BR363" s="477"/>
      <c r="BS363" s="477"/>
      <c r="BT363" s="477"/>
      <c r="BU363" s="477"/>
      <c r="BV363" s="477"/>
      <c r="BW363" s="477"/>
      <c r="BX363" s="477"/>
      <c r="BY363" s="477"/>
      <c r="BZ363" s="477"/>
      <c r="CA363" s="477"/>
      <c r="CB363" s="477"/>
      <c r="CC363" s="477"/>
      <c r="CD363" s="477"/>
      <c r="CE363" s="477"/>
      <c r="CF363" s="477"/>
      <c r="CG363" s="477"/>
      <c r="CH363" s="477"/>
      <c r="CI363" s="477"/>
      <c r="CJ363" s="477"/>
      <c r="CK363" s="477"/>
      <c r="CL363" s="477"/>
      <c r="CM363" s="477"/>
      <c r="CN363" s="477"/>
      <c r="CO363" s="477"/>
      <c r="CP363" s="477"/>
      <c r="CQ363" s="477"/>
      <c r="CR363" s="477"/>
      <c r="CS363" s="477"/>
      <c r="CT363" s="477"/>
      <c r="CU363" s="477"/>
      <c r="CV363" s="477"/>
      <c r="CW363" s="477"/>
      <c r="CX363" s="477"/>
      <c r="CY363" s="477"/>
      <c r="CZ363" s="477"/>
      <c r="DA363" s="477"/>
      <c r="DB363" s="477"/>
      <c r="DC363" s="477"/>
      <c r="DD363" s="477"/>
      <c r="DE363" s="477"/>
      <c r="DF363" s="477"/>
      <c r="DG363" s="477"/>
      <c r="DH363" s="477"/>
      <c r="DI363" s="477"/>
    </row>
    <row r="364" spans="1:113" ht="12" customHeight="1">
      <c r="CO364" s="205"/>
    </row>
    <row r="365" spans="1:113" ht="12" customHeight="1">
      <c r="B365" s="205"/>
      <c r="CO365" s="205"/>
      <c r="CP365" s="205"/>
    </row>
    <row r="366" spans="1:113" ht="12" customHeight="1">
      <c r="B366" s="205"/>
      <c r="CO366" s="205"/>
      <c r="CP366" s="205"/>
      <c r="CQ366" s="319"/>
    </row>
    <row r="367" spans="1:113" ht="12" customHeight="1">
      <c r="B367" s="205"/>
      <c r="BK367" s="205"/>
      <c r="CO367" s="205"/>
      <c r="CP367" s="205"/>
      <c r="CQ367" s="319"/>
    </row>
    <row r="368" spans="1:113" ht="12" customHeight="1">
      <c r="B368" s="205"/>
      <c r="BK368" s="205"/>
      <c r="CO368" s="205"/>
      <c r="CP368" s="205"/>
      <c r="CQ368" s="319"/>
    </row>
    <row r="369" spans="2:95" ht="12" customHeight="1">
      <c r="B369" s="205"/>
      <c r="CO369" s="205"/>
      <c r="CP369" s="205"/>
      <c r="CQ369" s="319"/>
    </row>
    <row r="370" spans="2:95" ht="12" customHeight="1">
      <c r="CO370" s="205"/>
      <c r="CP370" s="205"/>
      <c r="CQ370" s="319"/>
    </row>
    <row r="371" spans="2:95" ht="12" customHeight="1">
      <c r="CO371" s="205"/>
      <c r="CP371" s="205"/>
      <c r="CQ371" s="319"/>
    </row>
    <row r="372" spans="2:95" ht="12" customHeight="1">
      <c r="CO372" s="205"/>
      <c r="CP372" s="205"/>
      <c r="CQ372" s="319"/>
    </row>
    <row r="373" spans="2:95" ht="12" customHeight="1">
      <c r="CO373" s="205"/>
      <c r="CP373" s="205"/>
      <c r="CQ373" s="319"/>
    </row>
    <row r="374" spans="2:95" ht="12" customHeight="1">
      <c r="CO374" s="205"/>
      <c r="CP374" s="205"/>
      <c r="CQ374" s="319"/>
    </row>
    <row r="375" spans="2:95" ht="12" customHeight="1">
      <c r="CO375" s="205"/>
      <c r="CP375" s="205"/>
      <c r="CQ375" s="319"/>
    </row>
    <row r="376" spans="2:95" ht="12" customHeight="1">
      <c r="CO376" s="205"/>
      <c r="CP376" s="205"/>
      <c r="CQ376" s="319"/>
    </row>
    <row r="377" spans="2:95" ht="12" customHeight="1">
      <c r="CO377" s="205"/>
      <c r="CP377" s="205"/>
      <c r="CQ377" s="319"/>
    </row>
    <row r="378" spans="2:95" ht="12" customHeight="1">
      <c r="CO378" s="205"/>
      <c r="CP378" s="205"/>
      <c r="CQ378" s="319"/>
    </row>
    <row r="379" spans="2:95" ht="12" customHeight="1">
      <c r="CO379" s="205"/>
      <c r="CP379" s="205"/>
      <c r="CQ379" s="319"/>
    </row>
    <row r="380" spans="2:95" ht="12" customHeight="1">
      <c r="CO380" s="205"/>
      <c r="CP380" s="205"/>
      <c r="CQ380" s="319"/>
    </row>
    <row r="381" spans="2:95" ht="12" customHeight="1">
      <c r="CO381" s="205"/>
      <c r="CP381" s="205"/>
      <c r="CQ381" s="319"/>
    </row>
    <row r="382" spans="2:95" ht="12" customHeight="1">
      <c r="CO382" s="205"/>
      <c r="CP382" s="205"/>
      <c r="CQ382" s="319"/>
    </row>
    <row r="383" spans="2:95" ht="12" customHeight="1">
      <c r="CO383" s="205"/>
      <c r="CP383" s="205"/>
      <c r="CQ383" s="319"/>
    </row>
    <row r="384" spans="2:95" ht="12" customHeight="1">
      <c r="CO384" s="205"/>
      <c r="CP384" s="205"/>
      <c r="CQ384" s="319"/>
    </row>
    <row r="385" spans="93:95" ht="12" customHeight="1">
      <c r="CO385" s="205"/>
      <c r="CP385" s="205"/>
      <c r="CQ385" s="319"/>
    </row>
    <row r="386" spans="93:95" ht="12" customHeight="1">
      <c r="CO386" s="205"/>
      <c r="CP386" s="205"/>
      <c r="CQ386" s="319"/>
    </row>
    <row r="387" spans="93:95" ht="12" customHeight="1">
      <c r="CO387" s="205"/>
      <c r="CP387" s="205"/>
      <c r="CQ387" s="319"/>
    </row>
    <row r="388" spans="93:95" ht="12" customHeight="1">
      <c r="CO388" s="205"/>
      <c r="CP388" s="205"/>
      <c r="CQ388" s="319"/>
    </row>
    <row r="389" spans="93:95" ht="12" customHeight="1">
      <c r="CO389" s="205"/>
      <c r="CP389" s="205"/>
      <c r="CQ389" s="319"/>
    </row>
    <row r="390" spans="93:95" ht="12" customHeight="1">
      <c r="CO390" s="205"/>
      <c r="CP390" s="205"/>
      <c r="CQ390" s="319"/>
    </row>
    <row r="391" spans="93:95" ht="12" customHeight="1">
      <c r="CO391" s="205"/>
      <c r="CP391" s="205"/>
      <c r="CQ391" s="319"/>
    </row>
    <row r="392" spans="93:95" ht="12" customHeight="1">
      <c r="CO392" s="205"/>
      <c r="CP392" s="205"/>
      <c r="CQ392" s="319"/>
    </row>
    <row r="393" spans="93:95" ht="12" customHeight="1">
      <c r="CO393" s="205"/>
      <c r="CP393" s="205"/>
      <c r="CQ393" s="319"/>
    </row>
    <row r="394" spans="93:95" ht="12" customHeight="1">
      <c r="CO394" s="205"/>
      <c r="CP394" s="205"/>
      <c r="CQ394" s="319"/>
    </row>
    <row r="395" spans="93:95" ht="12" customHeight="1">
      <c r="CO395" s="205"/>
      <c r="CP395" s="205"/>
      <c r="CQ395" s="319"/>
    </row>
    <row r="396" spans="93:95" ht="12" customHeight="1">
      <c r="CO396" s="205"/>
      <c r="CP396" s="205"/>
      <c r="CQ396" s="319"/>
    </row>
    <row r="397" spans="93:95" ht="12" customHeight="1">
      <c r="CO397" s="205"/>
      <c r="CP397" s="205"/>
      <c r="CQ397" s="319"/>
    </row>
    <row r="398" spans="93:95" ht="12" customHeight="1">
      <c r="CO398" s="205"/>
      <c r="CP398" s="205"/>
      <c r="CQ398" s="319"/>
    </row>
    <row r="399" spans="93:95" ht="12" customHeight="1">
      <c r="CO399" s="205"/>
      <c r="CP399" s="205"/>
      <c r="CQ399" s="319"/>
    </row>
    <row r="400" spans="93:95" ht="12" customHeight="1">
      <c r="CO400" s="205"/>
      <c r="CP400" s="205"/>
      <c r="CQ400" s="319"/>
    </row>
    <row r="401" spans="93:95" ht="12" customHeight="1">
      <c r="CO401" s="205"/>
      <c r="CP401" s="205"/>
      <c r="CQ401" s="319"/>
    </row>
    <row r="402" spans="93:95" ht="12" customHeight="1">
      <c r="CO402" s="205"/>
      <c r="CP402" s="205"/>
      <c r="CQ402" s="319"/>
    </row>
    <row r="403" spans="93:95" ht="12" customHeight="1">
      <c r="CO403" s="205"/>
      <c r="CP403" s="205"/>
      <c r="CQ403" s="319"/>
    </row>
    <row r="404" spans="93:95" ht="12" customHeight="1">
      <c r="CO404" s="205"/>
      <c r="CP404" s="205"/>
      <c r="CQ404" s="319"/>
    </row>
    <row r="405" spans="93:95" ht="12" customHeight="1">
      <c r="CO405" s="205"/>
      <c r="CP405" s="205"/>
      <c r="CQ405" s="319"/>
    </row>
    <row r="406" spans="93:95" ht="12" customHeight="1">
      <c r="CO406" s="205"/>
      <c r="CP406" s="205"/>
      <c r="CQ406" s="319"/>
    </row>
    <row r="407" spans="93:95" ht="12" customHeight="1">
      <c r="CO407" s="205"/>
      <c r="CP407" s="205"/>
      <c r="CQ407" s="319"/>
    </row>
    <row r="408" spans="93:95" ht="12" customHeight="1">
      <c r="CO408" s="205"/>
      <c r="CP408" s="205"/>
      <c r="CQ408" s="319"/>
    </row>
    <row r="409" spans="93:95" ht="12" customHeight="1">
      <c r="CO409" s="205"/>
      <c r="CP409" s="205"/>
      <c r="CQ409" s="319"/>
    </row>
    <row r="410" spans="93:95" ht="12" customHeight="1">
      <c r="CO410" s="205"/>
      <c r="CP410" s="205"/>
      <c r="CQ410" s="319"/>
    </row>
    <row r="411" spans="93:95" ht="12" customHeight="1">
      <c r="CO411" s="205"/>
      <c r="CP411" s="205"/>
      <c r="CQ411" s="319"/>
    </row>
    <row r="412" spans="93:95" ht="12" customHeight="1">
      <c r="CO412" s="205"/>
      <c r="CP412" s="205"/>
      <c r="CQ412" s="319"/>
    </row>
    <row r="413" spans="93:95" ht="12" customHeight="1">
      <c r="CO413" s="205"/>
      <c r="CP413" s="205"/>
      <c r="CQ413" s="319"/>
    </row>
    <row r="414" spans="93:95" ht="12" customHeight="1">
      <c r="CO414" s="205"/>
      <c r="CP414" s="205"/>
      <c r="CQ414" s="319"/>
    </row>
    <row r="415" spans="93:95" ht="12" customHeight="1">
      <c r="CO415" s="205"/>
      <c r="CP415" s="205"/>
      <c r="CQ415" s="319"/>
    </row>
    <row r="416" spans="93:95" ht="12" customHeight="1">
      <c r="CO416" s="205"/>
      <c r="CP416" s="205"/>
      <c r="CQ416" s="319"/>
    </row>
    <row r="417" spans="93:95" ht="12" customHeight="1">
      <c r="CO417" s="205"/>
      <c r="CP417" s="205"/>
      <c r="CQ417" s="319"/>
    </row>
    <row r="418" spans="93:95" ht="12" customHeight="1">
      <c r="CO418" s="205"/>
      <c r="CP418" s="205"/>
      <c r="CQ418" s="319"/>
    </row>
    <row r="419" spans="93:95" ht="12" customHeight="1">
      <c r="CO419" s="205"/>
      <c r="CP419" s="205"/>
      <c r="CQ419" s="319"/>
    </row>
    <row r="420" spans="93:95" ht="12" customHeight="1">
      <c r="CO420" s="205"/>
      <c r="CP420" s="205"/>
      <c r="CQ420" s="319"/>
    </row>
    <row r="421" spans="93:95" ht="12" customHeight="1">
      <c r="CO421" s="205"/>
      <c r="CP421" s="205"/>
      <c r="CQ421" s="319"/>
    </row>
    <row r="422" spans="93:95" ht="12" customHeight="1">
      <c r="CO422" s="205"/>
      <c r="CP422" s="205"/>
      <c r="CQ422" s="319"/>
    </row>
    <row r="423" spans="93:95" ht="12" customHeight="1">
      <c r="CO423" s="205"/>
      <c r="CP423" s="205"/>
      <c r="CQ423" s="319"/>
    </row>
    <row r="424" spans="93:95" ht="12" customHeight="1">
      <c r="CO424" s="205"/>
      <c r="CP424" s="205"/>
      <c r="CQ424" s="319"/>
    </row>
    <row r="425" spans="93:95" ht="12" customHeight="1">
      <c r="CO425" s="205"/>
      <c r="CP425" s="205"/>
      <c r="CQ425" s="319"/>
    </row>
    <row r="426" spans="93:95" ht="12" customHeight="1">
      <c r="CO426" s="205"/>
      <c r="CP426" s="205"/>
      <c r="CQ426" s="319"/>
    </row>
    <row r="427" spans="93:95" ht="12" customHeight="1">
      <c r="CO427" s="205"/>
      <c r="CP427" s="205"/>
      <c r="CQ427" s="319"/>
    </row>
    <row r="428" spans="93:95" ht="12" customHeight="1">
      <c r="CO428" s="205"/>
      <c r="CP428" s="205"/>
      <c r="CQ428" s="319"/>
    </row>
    <row r="429" spans="93:95" ht="12" customHeight="1">
      <c r="CO429" s="205"/>
      <c r="CP429" s="205"/>
      <c r="CQ429" s="319"/>
    </row>
    <row r="430" spans="93:95" ht="12" customHeight="1">
      <c r="CO430" s="205"/>
      <c r="CP430" s="205"/>
      <c r="CQ430" s="319"/>
    </row>
    <row r="431" spans="93:95" ht="12" customHeight="1">
      <c r="CP431" s="205"/>
    </row>
    <row r="432" spans="93:95" ht="12" customHeight="1">
      <c r="CP432" s="205"/>
    </row>
    <row r="433" spans="94:94" ht="12" customHeight="1">
      <c r="CP433" s="205"/>
    </row>
    <row r="434" spans="94:94" ht="12" customHeight="1">
      <c r="CP434" s="205"/>
    </row>
    <row r="435" spans="94:94" ht="12" customHeight="1">
      <c r="CP435" s="205"/>
    </row>
    <row r="436" spans="94:94" ht="12" customHeight="1">
      <c r="CP436" s="205"/>
    </row>
    <row r="437" spans="94:94" ht="12" customHeight="1">
      <c r="CP437" s="205"/>
    </row>
    <row r="438" spans="94:94" ht="12" customHeight="1">
      <c r="CP438" s="205"/>
    </row>
    <row r="439" spans="94:94" ht="12" customHeight="1">
      <c r="CP439" s="205"/>
    </row>
    <row r="440" spans="94:94" ht="12" customHeight="1">
      <c r="CP440" s="205"/>
    </row>
    <row r="441" spans="94:94" ht="12" customHeight="1">
      <c r="CP441" s="205"/>
    </row>
    <row r="442" spans="94:94" ht="12" customHeight="1">
      <c r="CP442" s="205"/>
    </row>
    <row r="443" spans="94:94" ht="12" customHeight="1">
      <c r="CP443" s="205"/>
    </row>
    <row r="444" spans="94:94" ht="12" customHeight="1">
      <c r="CP444" s="205"/>
    </row>
    <row r="445" spans="94:94" ht="12" customHeight="1">
      <c r="CP445" s="205"/>
    </row>
    <row r="446" spans="94:94" ht="12" customHeight="1">
      <c r="CP446" s="205"/>
    </row>
    <row r="447" spans="94:94" ht="12" customHeight="1">
      <c r="CP447" s="205"/>
    </row>
    <row r="448" spans="94:94" ht="12" customHeight="1">
      <c r="CP448" s="205"/>
    </row>
    <row r="449" spans="94:94" ht="12" customHeight="1">
      <c r="CP449" s="205"/>
    </row>
    <row r="450" spans="94:94" ht="12" customHeight="1">
      <c r="CP450" s="205"/>
    </row>
    <row r="451" spans="94:94" ht="12" customHeight="1">
      <c r="CP451" s="205"/>
    </row>
    <row r="452" spans="94:94" ht="12" customHeight="1">
      <c r="CP452" s="205"/>
    </row>
    <row r="453" spans="94:94" ht="12" customHeight="1">
      <c r="CP453" s="205"/>
    </row>
    <row r="454" spans="94:94" ht="12" customHeight="1">
      <c r="CP454" s="205"/>
    </row>
  </sheetData>
  <pageMargins left="0.25" right="0.25" top="0.75" bottom="0.75" header="0.3" footer="0.3"/>
  <pageSetup scale="10" orientation="portrait" r:id="rId1"/>
  <rowBreaks count="1" manualBreakCount="1">
    <brk id="360" max="16383" man="1"/>
  </rowBreaks>
  <customProperties>
    <customPr name="Qube.Worksheet.ID" r:id="rId2"/>
    <customPr name="Qube.Worksheet.Visibility" r:id="rId3"/>
  </customProperties>
  <ignoredErrors>
    <ignoredError sqref="V54 V51" formula="1"/>
    <ignoredError sqref="V52:V53 V44:V5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DI588"/>
  <sheetViews>
    <sheetView showGridLines="0" zoomScale="85" zoomScaleNormal="85" workbookViewId="0">
      <pane xSplit="2" ySplit="6" topLeftCell="CE7" activePane="bottomRight" state="frozen"/>
      <selection activeCell="CQ557" sqref="CQ557"/>
      <selection pane="topRight" activeCell="CQ557" sqref="CQ557"/>
      <selection pane="bottomLeft" activeCell="CQ557" sqref="CQ557"/>
      <selection pane="bottomRight"/>
    </sheetView>
  </sheetViews>
  <sheetFormatPr defaultColWidth="9.85546875" defaultRowHeight="12" customHeight="1" outlineLevelRow="2" outlineLevelCol="1"/>
  <cols>
    <col min="1" max="1" width="2.7109375" style="5" customWidth="1"/>
    <col min="2" max="2" width="34.7109375" style="5" customWidth="1"/>
    <col min="3" max="16" width="9.85546875" style="5" hidden="1" customWidth="1" outlineLevel="1"/>
    <col min="17" max="17" width="9.85546875" style="5" collapsed="1"/>
    <col min="18" max="21" width="9.85546875" style="5" hidden="1" customWidth="1" outlineLevel="1"/>
    <col min="22" max="22" width="9.85546875" style="5" collapsed="1"/>
    <col min="23" max="26" width="9.85546875" style="5" hidden="1" customWidth="1" outlineLevel="1"/>
    <col min="27" max="27" width="9.85546875" style="5" collapsed="1"/>
    <col min="28" max="32" width="9.85546875" style="5" hidden="1" customWidth="1" outlineLevel="1"/>
    <col min="33" max="33" width="9.85546875" style="5" collapsed="1"/>
    <col min="34" max="37" width="9.85546875" style="5" hidden="1" customWidth="1" outlineLevel="1"/>
    <col min="38" max="38" width="9.85546875" style="5" collapsed="1"/>
    <col min="39" max="42" width="9.85546875" style="5" hidden="1" customWidth="1" outlineLevel="1"/>
    <col min="43" max="43" width="9.85546875" style="5" collapsed="1"/>
    <col min="44" max="47" width="9.85546875" style="5" hidden="1" customWidth="1" outlineLevel="1"/>
    <col min="48" max="48" width="9.85546875" style="5" collapsed="1"/>
    <col min="49" max="52" width="9.85546875" style="5" hidden="1" customWidth="1" outlineLevel="1"/>
    <col min="53" max="53" width="9.85546875" style="5" collapsed="1"/>
    <col min="54" max="57" width="9.85546875" style="5" hidden="1" customWidth="1" outlineLevel="1"/>
    <col min="58" max="58" width="9.85546875" style="5" collapsed="1"/>
    <col min="59" max="62" width="9.85546875" style="5" hidden="1" customWidth="1" outlineLevel="1"/>
    <col min="63" max="63" width="9.85546875" style="5" collapsed="1"/>
    <col min="64" max="67" width="9.85546875" style="5" hidden="1" customWidth="1" outlineLevel="1"/>
    <col min="68" max="68" width="9.85546875" style="5" collapsed="1"/>
    <col min="69" max="72" width="9.85546875" style="5" hidden="1" customWidth="1" outlineLevel="1"/>
    <col min="73" max="73" width="9.85546875" style="5" collapsed="1"/>
    <col min="74" max="77" width="9.85546875" style="5" hidden="1" customWidth="1" outlineLevel="1"/>
    <col min="78" max="78" width="9.85546875" style="5" collapsed="1"/>
    <col min="79" max="82" width="9.85546875" style="5" hidden="1" customWidth="1" outlineLevel="1"/>
    <col min="83" max="83" width="9.85546875" style="5" collapsed="1"/>
    <col min="84" max="87" width="9.85546875" style="5" hidden="1" customWidth="1" outlineLevel="1"/>
    <col min="88" max="88" width="9.85546875" style="5" collapsed="1"/>
    <col min="89" max="92" width="9.85546875" style="5" hidden="1" customWidth="1" outlineLevel="1"/>
    <col min="93" max="93" width="9.85546875" style="5" collapsed="1"/>
    <col min="94" max="97" width="9.85546875" style="5" customWidth="1" outlineLevel="1"/>
    <col min="98" max="98" width="9.85546875" style="5"/>
    <col min="99" max="102" width="9.85546875" style="5" customWidth="1" outlineLevel="1"/>
    <col min="103" max="103" width="9.85546875" style="5"/>
    <col min="104" max="107" width="9.85546875" style="5" customWidth="1" outlineLevel="1"/>
    <col min="108" max="108" width="9.85546875" style="5"/>
    <col min="109" max="112" width="9.85546875" style="5" customWidth="1" outlineLevel="1"/>
    <col min="113" max="16384" width="9.85546875" style="5"/>
  </cols>
  <sheetData>
    <row r="1" spans="1:113" ht="12.75" customHeight="1">
      <c r="B1" s="28" t="s">
        <v>75</v>
      </c>
      <c r="C1" s="29"/>
      <c r="D1" s="29"/>
      <c r="E1" s="29"/>
      <c r="F1" s="29"/>
      <c r="G1" s="29"/>
      <c r="H1" s="29"/>
      <c r="I1" s="29"/>
      <c r="J1" s="29"/>
      <c r="K1" s="30"/>
      <c r="L1" s="30"/>
      <c r="M1" s="30"/>
      <c r="N1" s="30"/>
      <c r="O1" s="30"/>
      <c r="P1" s="31"/>
      <c r="Q1" s="30"/>
      <c r="R1" s="30"/>
      <c r="S1" s="30"/>
      <c r="T1" s="30"/>
      <c r="U1" s="30"/>
      <c r="V1" s="28"/>
      <c r="W1" s="29"/>
      <c r="X1" s="29"/>
      <c r="Y1" s="29"/>
      <c r="Z1" s="29"/>
      <c r="AA1" s="29"/>
      <c r="AB1" s="29"/>
      <c r="AC1" s="29"/>
      <c r="AD1" s="29"/>
      <c r="AE1" s="29"/>
      <c r="AF1" s="30"/>
      <c r="AG1" s="30"/>
      <c r="AH1" s="30"/>
      <c r="AI1" s="30"/>
      <c r="AJ1" s="30"/>
      <c r="AK1" s="31"/>
      <c r="AL1" s="30"/>
      <c r="AM1" s="30"/>
      <c r="AN1" s="30"/>
      <c r="AO1" s="30"/>
      <c r="AP1" s="30"/>
      <c r="AQ1" s="28"/>
      <c r="AR1" s="29"/>
      <c r="AS1" s="29"/>
      <c r="AT1" s="29"/>
      <c r="AU1" s="29"/>
      <c r="AV1" s="29"/>
      <c r="AW1" s="29"/>
      <c r="AX1" s="29"/>
      <c r="AY1" s="29"/>
      <c r="AZ1" s="30"/>
      <c r="BA1" s="30"/>
      <c r="BB1" s="30"/>
      <c r="BC1" s="30"/>
      <c r="BD1" s="30"/>
      <c r="BE1" s="31"/>
      <c r="BF1" s="30"/>
      <c r="BG1" s="30"/>
      <c r="BH1" s="30"/>
      <c r="BI1" s="30"/>
      <c r="BJ1" s="30"/>
      <c r="BK1" s="28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</row>
    <row r="2" spans="1:113" ht="12" customHeight="1">
      <c r="B2" s="33" t="s">
        <v>203</v>
      </c>
      <c r="C2" s="32"/>
      <c r="D2" s="32"/>
      <c r="E2" s="32"/>
      <c r="F2" s="32"/>
      <c r="G2" s="32"/>
      <c r="H2" s="32"/>
      <c r="I2" s="32"/>
      <c r="J2" s="32"/>
      <c r="K2" s="30"/>
      <c r="L2" s="30"/>
      <c r="M2" s="30"/>
      <c r="N2" s="30"/>
      <c r="O2" s="30"/>
      <c r="P2" s="31"/>
      <c r="Q2" s="30"/>
      <c r="R2" s="30"/>
      <c r="S2" s="30"/>
      <c r="T2" s="30"/>
      <c r="U2" s="30"/>
      <c r="V2" s="33"/>
      <c r="W2" s="32"/>
      <c r="X2" s="32"/>
      <c r="Y2" s="32"/>
      <c r="Z2" s="32"/>
      <c r="AA2" s="32"/>
      <c r="AB2" s="32"/>
      <c r="AC2" s="32"/>
      <c r="AD2" s="32"/>
      <c r="AE2" s="32"/>
      <c r="AF2" s="30"/>
      <c r="AG2" s="30"/>
      <c r="AH2" s="30"/>
      <c r="AI2" s="30"/>
      <c r="AJ2" s="30"/>
      <c r="AK2" s="31"/>
      <c r="AL2" s="30"/>
      <c r="AM2" s="30"/>
      <c r="AN2" s="30"/>
      <c r="AO2" s="30"/>
      <c r="AP2" s="30"/>
      <c r="AQ2" s="33"/>
      <c r="AR2" s="32"/>
      <c r="AS2" s="32"/>
      <c r="AT2" s="32"/>
      <c r="AU2" s="32"/>
      <c r="AV2" s="32"/>
      <c r="AW2" s="32"/>
      <c r="AX2" s="32"/>
      <c r="AY2" s="32"/>
      <c r="AZ2" s="30"/>
      <c r="BA2" s="30"/>
      <c r="BB2" s="31"/>
      <c r="BC2" s="31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  <c r="BW2" s="177"/>
      <c r="BX2" s="177"/>
      <c r="BY2" s="177"/>
      <c r="BZ2" s="177"/>
      <c r="CA2" s="177"/>
      <c r="CB2" s="177"/>
      <c r="CC2" s="177"/>
      <c r="CD2" s="177"/>
      <c r="CE2" s="177"/>
      <c r="CF2" s="177"/>
      <c r="CG2" s="177"/>
      <c r="CH2" s="177"/>
      <c r="CI2" s="177"/>
      <c r="CJ2" s="177"/>
      <c r="CK2" s="177"/>
      <c r="CL2" s="177"/>
      <c r="CM2" s="177"/>
      <c r="CN2" s="177"/>
      <c r="CO2" s="177"/>
      <c r="CP2" s="177"/>
      <c r="CQ2" s="177"/>
      <c r="CR2" s="177"/>
      <c r="CS2" s="177"/>
      <c r="CT2" s="177"/>
      <c r="CU2" s="177"/>
      <c r="CV2" s="177"/>
      <c r="CW2" s="177"/>
      <c r="CX2" s="177"/>
      <c r="CY2" s="177"/>
      <c r="CZ2" s="177"/>
      <c r="DA2" s="177"/>
      <c r="DB2" s="177"/>
      <c r="DC2" s="177"/>
      <c r="DD2" s="177"/>
      <c r="DE2" s="177"/>
      <c r="DF2" s="177"/>
      <c r="DG2" s="177"/>
      <c r="DH2" s="177"/>
      <c r="DI2" s="177"/>
    </row>
    <row r="3" spans="1:113" ht="12" customHeight="1">
      <c r="B3" s="33" t="s">
        <v>78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  <c r="P3" s="31"/>
      <c r="Q3" s="31"/>
      <c r="R3" s="31"/>
      <c r="S3" s="31"/>
      <c r="T3" s="31"/>
      <c r="U3" s="31"/>
      <c r="V3" s="33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1"/>
      <c r="AK3" s="31"/>
      <c r="AL3" s="31"/>
      <c r="AM3" s="31"/>
      <c r="AN3" s="31"/>
      <c r="AO3" s="31"/>
      <c r="AP3" s="31"/>
      <c r="AQ3" s="33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1"/>
      <c r="BC3" s="31"/>
      <c r="BD3" s="31"/>
      <c r="BE3" s="31"/>
      <c r="BF3" s="31"/>
      <c r="BG3" s="31"/>
      <c r="BH3" s="31"/>
      <c r="BI3" s="31"/>
      <c r="BJ3" s="31"/>
      <c r="BK3" s="104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</row>
    <row r="4" spans="1:113" ht="12" customHeight="1"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56"/>
      <c r="CV4" s="356"/>
      <c r="CW4" s="356"/>
      <c r="CX4" s="356"/>
      <c r="CY4" s="356"/>
      <c r="CZ4" s="38"/>
      <c r="DA4" s="38"/>
      <c r="DB4" s="38"/>
      <c r="DC4" s="38"/>
      <c r="DD4" s="38"/>
      <c r="DE4" s="38"/>
      <c r="DF4" s="38"/>
      <c r="DG4" s="38"/>
      <c r="DH4" s="38"/>
      <c r="DI4" s="38"/>
    </row>
    <row r="5" spans="1:113" ht="12" customHeight="1">
      <c r="B5" s="241"/>
      <c r="C5" s="34">
        <f>+'2. Consolidated'!C5</f>
        <v>35216</v>
      </c>
      <c r="D5" s="34">
        <f>+'2. Consolidated'!D5</f>
        <v>35581</v>
      </c>
      <c r="E5" s="34">
        <f>+'2. Consolidated'!E5</f>
        <v>35946</v>
      </c>
      <c r="F5" s="34">
        <f>+'2. Consolidated'!F5</f>
        <v>36311</v>
      </c>
      <c r="G5" s="34">
        <f>+'2. Consolidated'!G5</f>
        <v>36677</v>
      </c>
      <c r="H5" s="34">
        <f>+'2. Consolidated'!H5</f>
        <v>37042</v>
      </c>
      <c r="I5" s="34">
        <f>+'2. Consolidated'!I5</f>
        <v>37407</v>
      </c>
      <c r="J5" s="34">
        <f>+'2. Consolidated'!J5</f>
        <v>37772</v>
      </c>
      <c r="K5" s="34">
        <f>+'2. Consolidated'!K5</f>
        <v>38138</v>
      </c>
      <c r="L5" s="34">
        <f>+'2. Consolidated'!L5</f>
        <v>38503</v>
      </c>
      <c r="M5" s="34">
        <f>+'2. Consolidated'!M5</f>
        <v>38868</v>
      </c>
      <c r="N5" s="34">
        <f>+'2. Consolidated'!N5</f>
        <v>39233</v>
      </c>
      <c r="O5" s="34">
        <f>+'2. Consolidated'!O5</f>
        <v>39599</v>
      </c>
      <c r="P5" s="34">
        <f>+'2. Consolidated'!P5</f>
        <v>39964</v>
      </c>
      <c r="Q5" s="34">
        <f>+'2. Consolidated'!Q5</f>
        <v>40329</v>
      </c>
      <c r="R5" s="35">
        <f>+'2. Consolidated'!R5</f>
        <v>40421</v>
      </c>
      <c r="S5" s="35">
        <f>+'2. Consolidated'!S5</f>
        <v>40512</v>
      </c>
      <c r="T5" s="35">
        <f>+'2. Consolidated'!T5</f>
        <v>40602</v>
      </c>
      <c r="U5" s="35">
        <f>+'2. Consolidated'!U5</f>
        <v>40694</v>
      </c>
      <c r="V5" s="34">
        <f>+'2. Consolidated'!V5</f>
        <v>40694</v>
      </c>
      <c r="W5" s="35">
        <f>+'2. Consolidated'!W5</f>
        <v>40786</v>
      </c>
      <c r="X5" s="35">
        <f>+'2. Consolidated'!X5</f>
        <v>40877</v>
      </c>
      <c r="Y5" s="35">
        <f>+'2. Consolidated'!Y5</f>
        <v>40968</v>
      </c>
      <c r="Z5" s="35">
        <f>+'2. Consolidated'!Z5</f>
        <v>41060</v>
      </c>
      <c r="AA5" s="34">
        <f>+'2. Consolidated'!AA5</f>
        <v>41060</v>
      </c>
      <c r="AB5" s="34">
        <f>+'2. Consolidated'!AB5</f>
        <v>41060</v>
      </c>
      <c r="AC5" s="35">
        <f>+'2. Consolidated'!AC5</f>
        <v>41152</v>
      </c>
      <c r="AD5" s="35">
        <f>+'2. Consolidated'!AD5</f>
        <v>41243</v>
      </c>
      <c r="AE5" s="35">
        <f>+'2. Consolidated'!AE5</f>
        <v>41333</v>
      </c>
      <c r="AF5" s="35">
        <f>+'2. Consolidated'!AF5</f>
        <v>41425</v>
      </c>
      <c r="AG5" s="34">
        <f>+'2. Consolidated'!AG5</f>
        <v>41425</v>
      </c>
      <c r="AH5" s="35">
        <f>+'2. Consolidated'!AH5</f>
        <v>41517</v>
      </c>
      <c r="AI5" s="35">
        <f>+'2. Consolidated'!AI5</f>
        <v>41608</v>
      </c>
      <c r="AJ5" s="35">
        <f>+'2. Consolidated'!AJ5</f>
        <v>41698</v>
      </c>
      <c r="AK5" s="35">
        <f>+'2. Consolidated'!AK5</f>
        <v>41790</v>
      </c>
      <c r="AL5" s="34">
        <f>+'2. Consolidated'!AL5</f>
        <v>41790</v>
      </c>
      <c r="AM5" s="35">
        <f>+'2. Consolidated'!AM5</f>
        <v>41882</v>
      </c>
      <c r="AN5" s="35">
        <f>+'2. Consolidated'!AN5</f>
        <v>41973</v>
      </c>
      <c r="AO5" s="35">
        <f>+'2. Consolidated'!AO5</f>
        <v>42063</v>
      </c>
      <c r="AP5" s="35">
        <f>+'2. Consolidated'!AP5</f>
        <v>42155</v>
      </c>
      <c r="AQ5" s="34">
        <f>+'2. Consolidated'!AQ5</f>
        <v>42155</v>
      </c>
      <c r="AR5" s="35">
        <f>+'2. Consolidated'!AR5</f>
        <v>42247</v>
      </c>
      <c r="AS5" s="35">
        <f>+'2. Consolidated'!AS5</f>
        <v>42338</v>
      </c>
      <c r="AT5" s="35">
        <f>+'2. Consolidated'!AT5</f>
        <v>42429</v>
      </c>
      <c r="AU5" s="35">
        <f>+'2. Consolidated'!AU5</f>
        <v>42521</v>
      </c>
      <c r="AV5" s="34">
        <f>+'2. Consolidated'!AV5</f>
        <v>42521</v>
      </c>
      <c r="AW5" s="35">
        <f>+'2. Consolidated'!AW5</f>
        <v>42613</v>
      </c>
      <c r="AX5" s="35">
        <f>+'2. Consolidated'!AX5</f>
        <v>42704</v>
      </c>
      <c r="AY5" s="35">
        <f>+'2. Consolidated'!AY5</f>
        <v>42794</v>
      </c>
      <c r="AZ5" s="35">
        <f>+'2. Consolidated'!AZ5</f>
        <v>42886</v>
      </c>
      <c r="BA5" s="34">
        <f>+'2. Consolidated'!BA5</f>
        <v>42886</v>
      </c>
      <c r="BB5" s="35">
        <f>+'2. Consolidated'!BB5</f>
        <v>42978</v>
      </c>
      <c r="BC5" s="35">
        <f>+'2. Consolidated'!BC5</f>
        <v>43069</v>
      </c>
      <c r="BD5" s="35">
        <f>+'2. Consolidated'!BD5</f>
        <v>43159</v>
      </c>
      <c r="BE5" s="35">
        <f>+'2. Consolidated'!BE5</f>
        <v>43251</v>
      </c>
      <c r="BF5" s="34">
        <f>+'2. Consolidated'!BF5</f>
        <v>43251</v>
      </c>
      <c r="BG5" s="35">
        <f>+'2. Consolidated'!BG5</f>
        <v>43343</v>
      </c>
      <c r="BH5" s="35">
        <f>+'2. Consolidated'!BH5</f>
        <v>43434</v>
      </c>
      <c r="BI5" s="35">
        <f>+'2. Consolidated'!BI5</f>
        <v>43524</v>
      </c>
      <c r="BJ5" s="35">
        <f>+'2. Consolidated'!BJ5</f>
        <v>43616</v>
      </c>
      <c r="BK5" s="34">
        <f>+'2. Consolidated'!BK5</f>
        <v>43616</v>
      </c>
      <c r="BL5" s="35">
        <f>+'2. Consolidated'!BL5</f>
        <v>43708</v>
      </c>
      <c r="BM5" s="35">
        <f>+'2. Consolidated'!BM5</f>
        <v>43799</v>
      </c>
      <c r="BN5" s="35">
        <f>+'2. Consolidated'!BN5</f>
        <v>43890</v>
      </c>
      <c r="BO5" s="35">
        <f>+'2. Consolidated'!BO5</f>
        <v>43982</v>
      </c>
      <c r="BP5" s="34">
        <f>+'2. Consolidated'!BP5</f>
        <v>43982</v>
      </c>
      <c r="BQ5" s="35">
        <f>+'2. Consolidated'!BQ5</f>
        <v>44074</v>
      </c>
      <c r="BR5" s="35">
        <f>+'2. Consolidated'!BR5</f>
        <v>44165</v>
      </c>
      <c r="BS5" s="35">
        <f>+'2. Consolidated'!BS5</f>
        <v>44255</v>
      </c>
      <c r="BT5" s="35">
        <f>+'2. Consolidated'!BT5</f>
        <v>44347</v>
      </c>
      <c r="BU5" s="34">
        <f>+'2. Consolidated'!BU5</f>
        <v>44347</v>
      </c>
      <c r="BV5" s="35">
        <f>+'2. Consolidated'!BV5</f>
        <v>44439</v>
      </c>
      <c r="BW5" s="35">
        <f>+'2. Consolidated'!BW5</f>
        <v>44530</v>
      </c>
      <c r="BX5" s="35">
        <f>+'2. Consolidated'!BX5</f>
        <v>44620</v>
      </c>
      <c r="BY5" s="35">
        <f>+'2. Consolidated'!BY5</f>
        <v>44712</v>
      </c>
      <c r="BZ5" s="34">
        <f>+'2. Consolidated'!BZ5</f>
        <v>44712</v>
      </c>
      <c r="CA5" s="35">
        <f>+'2. Consolidated'!CA5</f>
        <v>44804</v>
      </c>
      <c r="CB5" s="35">
        <f>+'2. Consolidated'!CB5</f>
        <v>44895</v>
      </c>
      <c r="CC5" s="35">
        <f>+'2. Consolidated'!CC5</f>
        <v>44985</v>
      </c>
      <c r="CD5" s="35">
        <f>+'2. Consolidated'!CD5</f>
        <v>45077</v>
      </c>
      <c r="CE5" s="34">
        <f>+'2. Consolidated'!CE5</f>
        <v>45077</v>
      </c>
      <c r="CF5" s="35">
        <f>+'2. Consolidated'!CF5</f>
        <v>45169</v>
      </c>
      <c r="CG5" s="35">
        <f>+'2. Consolidated'!CG5</f>
        <v>45260</v>
      </c>
      <c r="CH5" s="35">
        <f>+'2. Consolidated'!CH5</f>
        <v>45350</v>
      </c>
      <c r="CI5" s="35">
        <f>+'2. Consolidated'!CI5</f>
        <v>45443</v>
      </c>
      <c r="CJ5" s="34">
        <f>+'2. Consolidated'!CJ5</f>
        <v>45443</v>
      </c>
      <c r="CK5" s="35">
        <f>+'2. Consolidated'!CK5</f>
        <v>45535</v>
      </c>
      <c r="CL5" s="35">
        <f>+'2. Consolidated'!CL5</f>
        <v>45626</v>
      </c>
      <c r="CM5" s="35">
        <f>+'2. Consolidated'!CM5</f>
        <v>45716</v>
      </c>
      <c r="CN5" s="35">
        <f>+'2. Consolidated'!CN5</f>
        <v>45808</v>
      </c>
      <c r="CO5" s="34">
        <f>+'2. Consolidated'!CO5</f>
        <v>45808</v>
      </c>
      <c r="CP5" s="35">
        <f>+'2. Consolidated'!CP5</f>
        <v>45900</v>
      </c>
      <c r="CQ5" s="35">
        <f>+'2. Consolidated'!CQ5</f>
        <v>45991</v>
      </c>
      <c r="CR5" s="35">
        <f>+'2. Consolidated'!CR5</f>
        <v>46081</v>
      </c>
      <c r="CS5" s="35">
        <f>+'2. Consolidated'!CS5</f>
        <v>46173</v>
      </c>
      <c r="CT5" s="34">
        <f>+'2. Consolidated'!CT5</f>
        <v>46173</v>
      </c>
      <c r="CU5" s="35">
        <f>+'2. Consolidated'!CU5</f>
        <v>46265</v>
      </c>
      <c r="CV5" s="35">
        <f>+'2. Consolidated'!CV5</f>
        <v>46356</v>
      </c>
      <c r="CW5" s="35">
        <f>+'2. Consolidated'!CW5</f>
        <v>46446</v>
      </c>
      <c r="CX5" s="35">
        <f>+'2. Consolidated'!CX5</f>
        <v>46538</v>
      </c>
      <c r="CY5" s="34">
        <f>+'2. Consolidated'!CY5</f>
        <v>46538</v>
      </c>
      <c r="CZ5" s="35">
        <f>+'2. Consolidated'!CZ5</f>
        <v>46630</v>
      </c>
      <c r="DA5" s="35">
        <f>+'2. Consolidated'!DA5</f>
        <v>46721</v>
      </c>
      <c r="DB5" s="35">
        <f>+'2. Consolidated'!DB5</f>
        <v>46811</v>
      </c>
      <c r="DC5" s="35">
        <f>+'2. Consolidated'!DC5</f>
        <v>46904</v>
      </c>
      <c r="DD5" s="34">
        <f>+'2. Consolidated'!DD5</f>
        <v>46904</v>
      </c>
      <c r="DE5" s="35">
        <f>+'2. Consolidated'!DE5</f>
        <v>46995</v>
      </c>
      <c r="DF5" s="35">
        <f>+'2. Consolidated'!DF5</f>
        <v>47086</v>
      </c>
      <c r="DG5" s="35">
        <f>+'2. Consolidated'!DG5</f>
        <v>47177</v>
      </c>
      <c r="DH5" s="35">
        <f>+'2. Consolidated'!DH5</f>
        <v>47268</v>
      </c>
      <c r="DI5" s="34">
        <f>+'2. Consolidated'!DI5</f>
        <v>46904</v>
      </c>
    </row>
    <row r="6" spans="1:113" ht="12" customHeight="1">
      <c r="B6" s="240"/>
      <c r="C6" s="296">
        <f>+'2. Consolidated'!C6</f>
        <v>1996</v>
      </c>
      <c r="D6" s="296">
        <f>+'2. Consolidated'!D6</f>
        <v>1997</v>
      </c>
      <c r="E6" s="296">
        <f>+'2. Consolidated'!E6</f>
        <v>1998</v>
      </c>
      <c r="F6" s="296">
        <f>+'2. Consolidated'!F6</f>
        <v>1999</v>
      </c>
      <c r="G6" s="296">
        <f>+'2. Consolidated'!G6</f>
        <v>2000</v>
      </c>
      <c r="H6" s="296">
        <f>+'2. Consolidated'!H6</f>
        <v>2001</v>
      </c>
      <c r="I6" s="296">
        <f>+'2. Consolidated'!I6</f>
        <v>2002</v>
      </c>
      <c r="J6" s="296">
        <f>+'2. Consolidated'!J6</f>
        <v>2003</v>
      </c>
      <c r="K6" s="296">
        <f>+'2. Consolidated'!K6</f>
        <v>2004</v>
      </c>
      <c r="L6" s="296">
        <f>+'2. Consolidated'!L6</f>
        <v>2005</v>
      </c>
      <c r="M6" s="296">
        <f>+'2. Consolidated'!M6</f>
        <v>2006</v>
      </c>
      <c r="N6" s="296">
        <f>+'2. Consolidated'!N6</f>
        <v>2007</v>
      </c>
      <c r="O6" s="296">
        <f>+'2. Consolidated'!O6</f>
        <v>2008</v>
      </c>
      <c r="P6" s="296">
        <f>+'2. Consolidated'!P6</f>
        <v>2009</v>
      </c>
      <c r="Q6" s="296">
        <f>+'2. Consolidated'!Q6</f>
        <v>2010</v>
      </c>
      <c r="R6" s="297" t="str">
        <f>+'2. Consolidated'!R6</f>
        <v>1Q</v>
      </c>
      <c r="S6" s="297" t="str">
        <f>+'2. Consolidated'!S6</f>
        <v>2Q</v>
      </c>
      <c r="T6" s="297" t="str">
        <f>+'2. Consolidated'!T6</f>
        <v>3Q</v>
      </c>
      <c r="U6" s="297" t="str">
        <f>+'2. Consolidated'!U6</f>
        <v>4Q</v>
      </c>
      <c r="V6" s="296">
        <f>+'2. Consolidated'!V6</f>
        <v>2011</v>
      </c>
      <c r="W6" s="297" t="str">
        <f>+'2. Consolidated'!W6</f>
        <v>1Q</v>
      </c>
      <c r="X6" s="297" t="str">
        <f>+'2. Consolidated'!X6</f>
        <v>2Q</v>
      </c>
      <c r="Y6" s="297" t="str">
        <f>+'2. Consolidated'!Y6</f>
        <v>3Q</v>
      </c>
      <c r="Z6" s="297" t="str">
        <f>+'2. Consolidated'!Z6</f>
        <v>4Q</v>
      </c>
      <c r="AA6" s="296">
        <f>+'2. Consolidated'!AA6</f>
        <v>2012</v>
      </c>
      <c r="AB6" s="296" t="str">
        <f>+'2. Consolidated'!AB6</f>
        <v>2012R</v>
      </c>
      <c r="AC6" s="297" t="str">
        <f>+'2. Consolidated'!AC6</f>
        <v>1Q</v>
      </c>
      <c r="AD6" s="297" t="str">
        <f>+'2. Consolidated'!AD6</f>
        <v>2Q</v>
      </c>
      <c r="AE6" s="297" t="str">
        <f>+'2. Consolidated'!AE6</f>
        <v>3Q</v>
      </c>
      <c r="AF6" s="297" t="str">
        <f>+'2. Consolidated'!AF6</f>
        <v>4Q</v>
      </c>
      <c r="AG6" s="296">
        <f>+'2. Consolidated'!AG6</f>
        <v>2013</v>
      </c>
      <c r="AH6" s="297" t="str">
        <f>+'2. Consolidated'!AH6</f>
        <v>1Q</v>
      </c>
      <c r="AI6" s="297" t="str">
        <f>+'2. Consolidated'!AI6</f>
        <v>2Q</v>
      </c>
      <c r="AJ6" s="297" t="str">
        <f>+'2. Consolidated'!AJ6</f>
        <v>3Q</v>
      </c>
      <c r="AK6" s="297" t="str">
        <f>+'2. Consolidated'!AK6</f>
        <v>4Q</v>
      </c>
      <c r="AL6" s="296">
        <f>+'2. Consolidated'!AL6</f>
        <v>2014</v>
      </c>
      <c r="AM6" s="297" t="str">
        <f>+'2. Consolidated'!AM6</f>
        <v>1Q</v>
      </c>
      <c r="AN6" s="297" t="str">
        <f>+'2. Consolidated'!AN6</f>
        <v>2Q</v>
      </c>
      <c r="AO6" s="297" t="str">
        <f>+'2. Consolidated'!AO6</f>
        <v>3Q</v>
      </c>
      <c r="AP6" s="297" t="str">
        <f>+'2. Consolidated'!AP6</f>
        <v>4Q</v>
      </c>
      <c r="AQ6" s="296">
        <f>+'2. Consolidated'!AQ6</f>
        <v>2015</v>
      </c>
      <c r="AR6" s="297" t="str">
        <f>+'2. Consolidated'!AR6</f>
        <v>1Q</v>
      </c>
      <c r="AS6" s="297" t="str">
        <f>+'2. Consolidated'!AS6</f>
        <v>2Q</v>
      </c>
      <c r="AT6" s="297" t="str">
        <f>+'2. Consolidated'!AT6</f>
        <v>3Q</v>
      </c>
      <c r="AU6" s="297" t="str">
        <f>+'2. Consolidated'!AU6</f>
        <v>4Q</v>
      </c>
      <c r="AV6" s="296">
        <f>+'2. Consolidated'!AV6</f>
        <v>2016</v>
      </c>
      <c r="AW6" s="297" t="str">
        <f>+'2. Consolidated'!AW6</f>
        <v>1Q</v>
      </c>
      <c r="AX6" s="297" t="str">
        <f>+'2. Consolidated'!AX6</f>
        <v>2Q</v>
      </c>
      <c r="AY6" s="297" t="str">
        <f>+'2. Consolidated'!AY6</f>
        <v>3Q</v>
      </c>
      <c r="AZ6" s="297" t="str">
        <f>+'2. Consolidated'!AZ6</f>
        <v>4Q</v>
      </c>
      <c r="BA6" s="296">
        <f>+'2. Consolidated'!BA6</f>
        <v>2017</v>
      </c>
      <c r="BB6" s="297" t="str">
        <f>+'2. Consolidated'!BB6</f>
        <v>1Q</v>
      </c>
      <c r="BC6" s="297" t="str">
        <f>+'2. Consolidated'!BC6</f>
        <v>2Q</v>
      </c>
      <c r="BD6" s="297" t="str">
        <f>+'2. Consolidated'!BD6</f>
        <v>3Q</v>
      </c>
      <c r="BE6" s="297" t="str">
        <f>+'2. Consolidated'!BE6</f>
        <v>4Q</v>
      </c>
      <c r="BF6" s="296">
        <f>+'2. Consolidated'!BF6</f>
        <v>2018</v>
      </c>
      <c r="BG6" s="297" t="str">
        <f>+'2. Consolidated'!BG6</f>
        <v>1Q</v>
      </c>
      <c r="BH6" s="297" t="str">
        <f>+'2. Consolidated'!BH6</f>
        <v>2Q</v>
      </c>
      <c r="BI6" s="297" t="str">
        <f>+'2. Consolidated'!BI6</f>
        <v>3Q</v>
      </c>
      <c r="BJ6" s="297" t="str">
        <f>+'2. Consolidated'!BJ6</f>
        <v>4Q</v>
      </c>
      <c r="BK6" s="296">
        <f>+'2. Consolidated'!BK6</f>
        <v>2019</v>
      </c>
      <c r="BL6" s="297" t="str">
        <f>+'2. Consolidated'!BL6</f>
        <v>1Q</v>
      </c>
      <c r="BM6" s="297" t="str">
        <f>+'2. Consolidated'!BM6</f>
        <v>2Q</v>
      </c>
      <c r="BN6" s="297" t="str">
        <f>+'2. Consolidated'!BN6</f>
        <v>3Q</v>
      </c>
      <c r="BO6" s="297" t="str">
        <f>+'2. Consolidated'!BO6</f>
        <v>4Q</v>
      </c>
      <c r="BP6" s="296">
        <f>+'2. Consolidated'!BP6</f>
        <v>2020</v>
      </c>
      <c r="BQ6" s="297" t="str">
        <f>+'2. Consolidated'!BQ6</f>
        <v>1Q</v>
      </c>
      <c r="BR6" s="297" t="str">
        <f>+'2. Consolidated'!BR6</f>
        <v>2Q</v>
      </c>
      <c r="BS6" s="297" t="str">
        <f>+'2. Consolidated'!BS6</f>
        <v>3Q</v>
      </c>
      <c r="BT6" s="297" t="str">
        <f>+'2. Consolidated'!BT6</f>
        <v>4Q</v>
      </c>
      <c r="BU6" s="296">
        <f>+'2. Consolidated'!BU6</f>
        <v>2021</v>
      </c>
      <c r="BV6" s="297" t="str">
        <f>+'2. Consolidated'!BV6</f>
        <v>1Q</v>
      </c>
      <c r="BW6" s="297" t="str">
        <f>+'2. Consolidated'!BW6</f>
        <v>2Q</v>
      </c>
      <c r="BX6" s="297" t="str">
        <f>+'2. Consolidated'!BX6</f>
        <v>3Q</v>
      </c>
      <c r="BY6" s="297" t="str">
        <f>+'2. Consolidated'!BY6</f>
        <v>4Q</v>
      </c>
      <c r="BZ6" s="296">
        <f>+'2. Consolidated'!BZ6</f>
        <v>2022</v>
      </c>
      <c r="CA6" s="297" t="str">
        <f>+'2. Consolidated'!CA6</f>
        <v>1Q</v>
      </c>
      <c r="CB6" s="297" t="str">
        <f>+'2. Consolidated'!CB6</f>
        <v>2Q</v>
      </c>
      <c r="CC6" s="297" t="str">
        <f>+'2. Consolidated'!CC6</f>
        <v>3Q</v>
      </c>
      <c r="CD6" s="297" t="str">
        <f>+'2. Consolidated'!CD6</f>
        <v>4Q</v>
      </c>
      <c r="CE6" s="296">
        <f>+'2. Consolidated'!CE6</f>
        <v>2023</v>
      </c>
      <c r="CF6" s="297" t="str">
        <f>+'2. Consolidated'!CF6</f>
        <v>1Q</v>
      </c>
      <c r="CG6" s="297" t="str">
        <f>+'2. Consolidated'!CG6</f>
        <v>2Q</v>
      </c>
      <c r="CH6" s="297" t="str">
        <f>+'2. Consolidated'!CH6</f>
        <v>3Q</v>
      </c>
      <c r="CI6" s="297" t="str">
        <f>+'2. Consolidated'!CI6</f>
        <v>4Q</v>
      </c>
      <c r="CJ6" s="296">
        <f>+'2. Consolidated'!CJ6</f>
        <v>2024</v>
      </c>
      <c r="CK6" s="297" t="str">
        <f>+'2. Consolidated'!CK6</f>
        <v>1Q</v>
      </c>
      <c r="CL6" s="297" t="str">
        <f>+'2. Consolidated'!CL6</f>
        <v>2Q</v>
      </c>
      <c r="CM6" s="297" t="str">
        <f>+'2. Consolidated'!CM6</f>
        <v>3Q</v>
      </c>
      <c r="CN6" s="297" t="str">
        <f>+'2. Consolidated'!CN6</f>
        <v>4Q</v>
      </c>
      <c r="CO6" s="296">
        <f>+'2. Consolidated'!CO6</f>
        <v>2025</v>
      </c>
      <c r="CP6" s="297" t="str">
        <f>+'2. Consolidated'!CP6</f>
        <v>1Q</v>
      </c>
      <c r="CQ6" s="297" t="str">
        <f>+'2. Consolidated'!CQ6</f>
        <v>2Q</v>
      </c>
      <c r="CR6" s="297" t="str">
        <f>+'2. Consolidated'!CR6</f>
        <v>3Q</v>
      </c>
      <c r="CS6" s="297" t="str">
        <f>+'2. Consolidated'!CS6</f>
        <v>4Q</v>
      </c>
      <c r="CT6" s="296">
        <f>+'2. Consolidated'!CT6</f>
        <v>2026</v>
      </c>
      <c r="CU6" s="297" t="str">
        <f>+'2. Consolidated'!CU6</f>
        <v>1Q</v>
      </c>
      <c r="CV6" s="297" t="str">
        <f>+'2. Consolidated'!CV6</f>
        <v>2QE</v>
      </c>
      <c r="CW6" s="297" t="str">
        <f>+'2. Consolidated'!CW6</f>
        <v>3QE</v>
      </c>
      <c r="CX6" s="297" t="str">
        <f>+'2. Consolidated'!CX6</f>
        <v>4QE</v>
      </c>
      <c r="CY6" s="296" t="str">
        <f>+'2. Consolidated'!CY6</f>
        <v>2027E</v>
      </c>
      <c r="CZ6" s="297" t="str">
        <f>+'2. Consolidated'!CZ6</f>
        <v>1QE</v>
      </c>
      <c r="DA6" s="297" t="str">
        <f>+'2. Consolidated'!DA6</f>
        <v>2QE</v>
      </c>
      <c r="DB6" s="297" t="str">
        <f>+'2. Consolidated'!DB6</f>
        <v>3QE</v>
      </c>
      <c r="DC6" s="297" t="str">
        <f>+'2. Consolidated'!DC6</f>
        <v>4QE</v>
      </c>
      <c r="DD6" s="296" t="str">
        <f>+'2. Consolidated'!DD6</f>
        <v>2028E</v>
      </c>
      <c r="DE6" s="297" t="str">
        <f>+'2. Consolidated'!DE6</f>
        <v>1QE</v>
      </c>
      <c r="DF6" s="297" t="str">
        <f>+'2. Consolidated'!DF6</f>
        <v>2QE</v>
      </c>
      <c r="DG6" s="297" t="str">
        <f>+'2. Consolidated'!DG6</f>
        <v>3QE</v>
      </c>
      <c r="DH6" s="297" t="str">
        <f>+'2. Consolidated'!DH6</f>
        <v>4QE</v>
      </c>
      <c r="DI6" s="296" t="str">
        <f>+'2. Consolidated'!DI6</f>
        <v>2029E</v>
      </c>
    </row>
    <row r="7" spans="1:113" ht="12" customHeight="1">
      <c r="A7" s="5" t="str">
        <f t="shared" ref="A7:A139" si="0">IF(ISBLANK(B7),"Scrap", " ")</f>
        <v xml:space="preserve"> </v>
      </c>
      <c r="B7" s="78" t="s">
        <v>209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242"/>
      <c r="CZ7" s="11"/>
      <c r="DA7" s="11"/>
      <c r="DB7" s="11"/>
      <c r="DC7" s="11"/>
      <c r="DD7" s="242"/>
      <c r="DE7" s="11"/>
      <c r="DF7" s="11"/>
      <c r="DG7" s="11"/>
      <c r="DH7" s="11"/>
      <c r="DI7" s="242"/>
    </row>
    <row r="8" spans="1:113" ht="12" customHeight="1">
      <c r="A8" s="5" t="str">
        <f t="shared" si="0"/>
        <v xml:space="preserve"> </v>
      </c>
      <c r="B8" s="61" t="s">
        <v>208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4"/>
      <c r="AP8" s="64"/>
      <c r="AQ8" s="62"/>
      <c r="AR8" s="62"/>
      <c r="AS8" s="62"/>
      <c r="AT8" s="64"/>
      <c r="AU8" s="64"/>
      <c r="AV8" s="64"/>
      <c r="AW8" s="62"/>
      <c r="AX8" s="62"/>
      <c r="AY8" s="64"/>
      <c r="AZ8" s="64"/>
      <c r="BA8" s="64"/>
      <c r="BB8" s="62"/>
      <c r="BC8" s="62"/>
      <c r="BD8" s="64"/>
      <c r="BE8" s="118"/>
      <c r="BF8" s="64"/>
      <c r="BG8" s="62"/>
      <c r="BH8" s="62"/>
      <c r="BI8" s="64"/>
      <c r="BJ8" s="64"/>
      <c r="BK8" s="64"/>
      <c r="BL8" s="62"/>
      <c r="BM8" s="62"/>
      <c r="BN8" s="64"/>
      <c r="BO8" s="64"/>
      <c r="BP8" s="64"/>
      <c r="BQ8" s="62"/>
      <c r="BR8" s="62"/>
      <c r="BS8" s="64"/>
      <c r="BT8" s="64"/>
      <c r="BU8" s="64"/>
      <c r="BV8" s="62"/>
      <c r="BW8" s="62"/>
      <c r="BX8" s="64"/>
      <c r="BY8" s="64"/>
      <c r="BZ8" s="64"/>
      <c r="CA8" s="64"/>
      <c r="CB8" s="62"/>
      <c r="CC8" s="64"/>
      <c r="CD8" s="64"/>
      <c r="CE8" s="64"/>
      <c r="CF8" s="62"/>
      <c r="CG8" s="62"/>
      <c r="CH8" s="64"/>
      <c r="CI8" s="64"/>
      <c r="CJ8" s="64"/>
      <c r="CK8" s="62"/>
      <c r="CL8" s="62"/>
      <c r="CM8" s="64"/>
      <c r="CN8" s="64"/>
      <c r="CO8" s="64"/>
      <c r="CP8" s="62"/>
      <c r="CQ8" s="62"/>
      <c r="CR8" s="64"/>
      <c r="CS8" s="64"/>
      <c r="CT8" s="64"/>
      <c r="CU8" s="62"/>
      <c r="CV8" s="62"/>
      <c r="CW8" s="64"/>
      <c r="CX8" s="64"/>
      <c r="CY8" s="64"/>
      <c r="CZ8" s="64"/>
      <c r="DA8" s="62"/>
      <c r="DB8" s="64"/>
      <c r="DC8" s="64"/>
      <c r="DD8" s="64"/>
      <c r="DE8" s="64"/>
      <c r="DF8" s="62"/>
      <c r="DG8" s="64"/>
      <c r="DH8" s="64"/>
      <c r="DI8" s="65"/>
    </row>
    <row r="9" spans="1:113" ht="12" customHeight="1">
      <c r="A9" s="219" t="str">
        <f t="shared" si="0"/>
        <v xml:space="preserve"> </v>
      </c>
      <c r="B9" s="17" t="s">
        <v>87</v>
      </c>
      <c r="C9" s="359">
        <f>+'2. Consolidated'!C9</f>
        <v>3615.0619999999999</v>
      </c>
      <c r="D9" s="358">
        <f>+'2. Consolidated'!D9</f>
        <v>5201.6239999999998</v>
      </c>
      <c r="E9" s="359">
        <f>+'2. Consolidated'!E9</f>
        <v>5139.4120000000003</v>
      </c>
      <c r="F9" s="358">
        <f>+'2. Consolidated'!F9</f>
        <v>4750.7109999999993</v>
      </c>
      <c r="G9" s="359">
        <f>+'2. Consolidated'!G9</f>
        <v>4732.0730000000003</v>
      </c>
      <c r="H9" s="358">
        <f>+'2. Consolidated'!H9</f>
        <v>4819</v>
      </c>
      <c r="I9" s="359">
        <f>+'2. Consolidated'!I9</f>
        <v>4669.6000000000004</v>
      </c>
      <c r="J9" s="358">
        <f>+'2. Consolidated'!J9</f>
        <v>4658.5</v>
      </c>
      <c r="K9" s="359">
        <f>+'2. Consolidated'!K9</f>
        <v>4786.2999999999993</v>
      </c>
      <c r="L9" s="358">
        <f>+'2. Consolidated'!L9</f>
        <v>5129.2999999999993</v>
      </c>
      <c r="M9" s="359">
        <f>+'2. Consolidated'!M9</f>
        <v>5722.5</v>
      </c>
      <c r="N9" s="358">
        <f>+'2. Consolidated'!N9</f>
        <v>6107.0999999999995</v>
      </c>
      <c r="O9" s="359">
        <f>+'2. Consolidated'!O9</f>
        <v>6414.5</v>
      </c>
      <c r="P9" s="39">
        <f>+'2. Consolidated'!P9</f>
        <v>6778.3</v>
      </c>
      <c r="Q9" s="40">
        <f>+'2. Consolidated'!Q9</f>
        <v>6696</v>
      </c>
      <c r="R9" s="43">
        <f>+R182</f>
        <v>1903</v>
      </c>
      <c r="S9" s="43">
        <f>+S182</f>
        <v>1701</v>
      </c>
      <c r="T9" s="43">
        <f>+T182</f>
        <v>1836</v>
      </c>
      <c r="U9" s="43">
        <f>+U182</f>
        <v>2139</v>
      </c>
      <c r="V9" s="36">
        <f t="shared" ref="V9:V14" si="1">SUM(R9:U9)</f>
        <v>7579</v>
      </c>
      <c r="W9" s="43">
        <f>+W182</f>
        <v>2200</v>
      </c>
      <c r="X9" s="43">
        <f>+X182</f>
        <v>2066</v>
      </c>
      <c r="Y9" s="43">
        <f>+Y182</f>
        <v>2149</v>
      </c>
      <c r="Z9" s="43">
        <f>+Z182</f>
        <v>2424</v>
      </c>
      <c r="AA9" s="36">
        <f t="shared" ref="AA9:AA14" si="2">SUM(W9:Z9)</f>
        <v>8839</v>
      </c>
      <c r="AB9" s="36"/>
      <c r="AC9" s="43">
        <f>+AC182</f>
        <v>2866</v>
      </c>
      <c r="AD9" s="43">
        <f>+AD182</f>
        <v>2564</v>
      </c>
      <c r="AE9" s="43">
        <f>+AE182</f>
        <v>2737</v>
      </c>
      <c r="AF9" s="43">
        <f>+AF182</f>
        <v>2991</v>
      </c>
      <c r="AG9" s="36">
        <f t="shared" ref="AG9:AG14" si="3">SUM(AC9:AF9)</f>
        <v>11158</v>
      </c>
      <c r="AH9" s="43">
        <f>+AH182</f>
        <v>3135</v>
      </c>
      <c r="AI9" s="43">
        <f>+AI182</f>
        <v>2801</v>
      </c>
      <c r="AJ9" s="43">
        <f>+AJ182</f>
        <v>3069</v>
      </c>
      <c r="AK9" s="43">
        <f>+AK182</f>
        <v>3294</v>
      </c>
      <c r="AL9" s="36">
        <f t="shared" ref="AL9:AL14" si="4">SUM(AH9:AK9)</f>
        <v>12299</v>
      </c>
      <c r="AM9" s="43">
        <f>+AM182</f>
        <v>3513</v>
      </c>
      <c r="AN9" s="43">
        <f>+AN182</f>
        <v>3241</v>
      </c>
      <c r="AO9" s="43">
        <f>+AO182</f>
        <v>3254</v>
      </c>
      <c r="AP9" s="43">
        <f>+AP182</f>
        <v>3732</v>
      </c>
      <c r="AQ9" s="36">
        <f t="shared" ref="AQ9:AQ14" si="5">SUM(AM9:AP9)</f>
        <v>13740</v>
      </c>
      <c r="AR9" s="43">
        <f>+AR182</f>
        <v>3799</v>
      </c>
      <c r="AS9" s="43">
        <f>+AS182</f>
        <v>3547</v>
      </c>
      <c r="AT9" s="43">
        <f>+AT182</f>
        <v>3683</v>
      </c>
      <c r="AU9" s="43">
        <f>+AU182</f>
        <v>3735</v>
      </c>
      <c r="AV9" s="36">
        <f t="shared" ref="AV9:AV14" si="6">SUM(AR9:AU9)</f>
        <v>14764</v>
      </c>
      <c r="AW9" s="43">
        <f>+AW182</f>
        <v>4031</v>
      </c>
      <c r="AX9" s="43">
        <f>+AX182</f>
        <v>3650</v>
      </c>
      <c r="AY9" s="43">
        <f>+AY182</f>
        <v>3782</v>
      </c>
      <c r="AZ9" s="43">
        <f>+AZ182</f>
        <v>3753</v>
      </c>
      <c r="BA9" s="36">
        <f t="shared" ref="BA9:BA14" si="7">SUM(AW9:AZ9)</f>
        <v>15216</v>
      </c>
      <c r="BB9" s="43">
        <f>+BB182</f>
        <v>3924</v>
      </c>
      <c r="BC9" s="43">
        <f>+BC182</f>
        <v>3485</v>
      </c>
      <c r="BD9" s="43">
        <f>+BD182</f>
        <v>3571</v>
      </c>
      <c r="BE9" s="43">
        <f>+BE182</f>
        <v>3875</v>
      </c>
      <c r="BF9" s="36">
        <f t="shared" ref="BF9:BF14" si="8">SUM(BB9:BE9)</f>
        <v>14855</v>
      </c>
      <c r="BG9" s="43">
        <f>+BG182</f>
        <v>4145</v>
      </c>
      <c r="BH9" s="43">
        <f>+BH182</f>
        <v>3782</v>
      </c>
      <c r="BI9" s="43">
        <f>+BI182</f>
        <v>3810</v>
      </c>
      <c r="BJ9" s="43">
        <f>+BJ182</f>
        <v>4165</v>
      </c>
      <c r="BK9" s="36">
        <f t="shared" ref="BK9:BK14" si="9">SUM(BG9:BJ9)</f>
        <v>15902</v>
      </c>
      <c r="BL9" s="43">
        <f>+BL182</f>
        <v>4293</v>
      </c>
      <c r="BM9" s="43">
        <f>+BM182</f>
        <v>3982</v>
      </c>
      <c r="BN9" s="43">
        <f>+BN182</f>
        <v>3979</v>
      </c>
      <c r="BO9" s="43">
        <f>+BO182</f>
        <v>2230</v>
      </c>
      <c r="BP9" s="36">
        <f t="shared" ref="BP9:BP14" si="10">SUM(BL9:BO9)</f>
        <v>14484</v>
      </c>
      <c r="BQ9" s="43">
        <f>+BQ182</f>
        <v>4225</v>
      </c>
      <c r="BR9" s="43">
        <f>+BR182</f>
        <v>4006</v>
      </c>
      <c r="BS9" s="43">
        <f>+BS182</f>
        <v>3564</v>
      </c>
      <c r="BT9" s="43">
        <f>+BT182</f>
        <v>5384</v>
      </c>
      <c r="BU9" s="36">
        <f t="shared" ref="BU9:BU14" si="11">SUM(BQ9:BT9)</f>
        <v>17179</v>
      </c>
      <c r="BV9" s="43">
        <f>+BV182</f>
        <v>4879</v>
      </c>
      <c r="BW9" s="43">
        <f>+BW182</f>
        <v>4477</v>
      </c>
      <c r="BX9" s="43">
        <f>+BX182</f>
        <v>3882</v>
      </c>
      <c r="BY9" s="43">
        <f>+BY182</f>
        <v>5115</v>
      </c>
      <c r="BZ9" s="36">
        <f t="shared" ref="BZ9:BZ14" si="12">SUM(BV9:BY9)</f>
        <v>18353</v>
      </c>
      <c r="CA9" s="43">
        <f>+CA182</f>
        <v>5510</v>
      </c>
      <c r="CB9" s="43">
        <f>+CB182</f>
        <v>5830</v>
      </c>
      <c r="CC9" s="43">
        <f>+CC182</f>
        <v>4913</v>
      </c>
      <c r="CD9" s="43">
        <f>+CD182</f>
        <v>5355</v>
      </c>
      <c r="CE9" s="36">
        <f t="shared" ref="CE9:CE14" si="13">SUM(CA9:CD9)</f>
        <v>21608</v>
      </c>
      <c r="CF9" s="43">
        <f>+CF182</f>
        <v>5423</v>
      </c>
      <c r="CG9" s="43">
        <f>+CG182</f>
        <v>5625</v>
      </c>
      <c r="CH9" s="43">
        <f>+CH182</f>
        <v>5070</v>
      </c>
      <c r="CI9" s="43">
        <f>+CI182</f>
        <v>5278</v>
      </c>
      <c r="CJ9" s="36">
        <f t="shared" ref="CJ9:CJ14" si="14">SUM(CF9:CI9)</f>
        <v>21396</v>
      </c>
      <c r="CK9" s="43">
        <f>+CK182</f>
        <v>4826</v>
      </c>
      <c r="CL9" s="43">
        <f>+CL182</f>
        <v>5179</v>
      </c>
      <c r="CM9" s="43">
        <f>+CM182</f>
        <v>4864</v>
      </c>
      <c r="CN9" s="43">
        <f>+CN182</f>
        <v>4703</v>
      </c>
      <c r="CO9" s="36">
        <f t="shared" ref="CO9:CO14" si="15">SUM(CK9:CN9)</f>
        <v>19572</v>
      </c>
      <c r="CP9" s="43">
        <f>+CP182</f>
        <v>5020</v>
      </c>
      <c r="CQ9" s="43">
        <f>+CQ182</f>
        <v>5633</v>
      </c>
      <c r="CR9" s="43">
        <f>+CR182</f>
        <v>5026</v>
      </c>
      <c r="CS9" s="43">
        <f>+CS182</f>
        <v>4832</v>
      </c>
      <c r="CT9" s="36">
        <f t="shared" ref="CT9:CT14" si="16">SUM(CP9:CS9)</f>
        <v>20511</v>
      </c>
      <c r="CU9" s="43">
        <f>+CU182</f>
        <v>5127</v>
      </c>
      <c r="CV9" s="43">
        <f>+CV182</f>
        <v>5050.9340099999999</v>
      </c>
      <c r="CW9" s="43">
        <f>+CW182</f>
        <v>4799.0825999999988</v>
      </c>
      <c r="CX9" s="43">
        <f>+CX182</f>
        <v>4509.502919999999</v>
      </c>
      <c r="CY9" s="36">
        <f t="shared" ref="CY9:CY14" si="17">SUM(CU9:CX9)</f>
        <v>19486.519529999998</v>
      </c>
      <c r="CZ9" s="43">
        <f>+CZ182</f>
        <v>4775.4098099999992</v>
      </c>
      <c r="DA9" s="43">
        <f>+DA182</f>
        <v>4837.1291288999982</v>
      </c>
      <c r="DB9" s="43">
        <f>+DB182</f>
        <v>4671.5671419999981</v>
      </c>
      <c r="DC9" s="43">
        <f>+DC182</f>
        <v>4389.3339395999983</v>
      </c>
      <c r="DD9" s="36">
        <f t="shared" ref="DD9:DD14" si="18">SUM(CZ9:DC9)</f>
        <v>18673.440020499995</v>
      </c>
      <c r="DE9" s="43">
        <f>+DE182</f>
        <v>4775.4098099999992</v>
      </c>
      <c r="DF9" s="43">
        <f>+DF182</f>
        <v>4837.1291288999982</v>
      </c>
      <c r="DG9" s="43">
        <f>+DG182</f>
        <v>4671.5671419999981</v>
      </c>
      <c r="DH9" s="43">
        <f>+DH182</f>
        <v>4389.3339395999983</v>
      </c>
      <c r="DI9" s="36">
        <f t="shared" ref="DI9:DI14" si="19">SUM(DE9:DH9)</f>
        <v>18673.440020499995</v>
      </c>
    </row>
    <row r="10" spans="1:113" ht="12" customHeight="1">
      <c r="A10" s="219" t="str">
        <f t="shared" si="0"/>
        <v xml:space="preserve"> </v>
      </c>
      <c r="B10" s="17" t="s">
        <v>156</v>
      </c>
      <c r="C10" s="40" t="str">
        <f>+'2. Consolidated'!C10</f>
        <v xml:space="preserve">-- </v>
      </c>
      <c r="D10" s="39" t="str">
        <f>+'2. Consolidated'!D10</f>
        <v xml:space="preserve">-- </v>
      </c>
      <c r="E10" s="40" t="str">
        <f>+'2. Consolidated'!E10</f>
        <v xml:space="preserve">-- </v>
      </c>
      <c r="F10" s="39" t="str">
        <f>+'2. Consolidated'!F10</f>
        <v xml:space="preserve">-- </v>
      </c>
      <c r="G10" s="40" t="str">
        <f>+'2. Consolidated'!G10</f>
        <v xml:space="preserve">-- </v>
      </c>
      <c r="H10" s="39" t="str">
        <f>+'2. Consolidated'!H10</f>
        <v xml:space="preserve">-- </v>
      </c>
      <c r="I10" s="40" t="str">
        <f>+'2. Consolidated'!I10</f>
        <v xml:space="preserve">-- </v>
      </c>
      <c r="J10" s="39" t="str">
        <f>+'2. Consolidated'!J10</f>
        <v xml:space="preserve">-- </v>
      </c>
      <c r="K10" s="40" t="str">
        <f>+'2. Consolidated'!K10</f>
        <v xml:space="preserve">-- </v>
      </c>
      <c r="L10" s="39" t="str">
        <f>+'2. Consolidated'!L10</f>
        <v xml:space="preserve">-- </v>
      </c>
      <c r="M10" s="40" t="str">
        <f>+'2. Consolidated'!M10</f>
        <v xml:space="preserve">-- </v>
      </c>
      <c r="N10" s="39" t="str">
        <f>+'2. Consolidated'!N10</f>
        <v xml:space="preserve">-- </v>
      </c>
      <c r="O10" s="40" t="str">
        <f>+'2. Consolidated'!O10</f>
        <v xml:space="preserve">-- </v>
      </c>
      <c r="P10" s="39">
        <f>+'2. Consolidated'!P10</f>
        <v>5512.2999999999993</v>
      </c>
      <c r="Q10" s="40">
        <f>+'2. Consolidated'!Q10</f>
        <v>5041.8999999999996</v>
      </c>
      <c r="R10" s="43">
        <f>+R251</f>
        <v>1335</v>
      </c>
      <c r="S10" s="43">
        <f>+S251</f>
        <v>1077</v>
      </c>
      <c r="T10" s="43">
        <f>+T251</f>
        <v>1175</v>
      </c>
      <c r="U10" s="43">
        <f>+U251</f>
        <v>1311</v>
      </c>
      <c r="V10" s="36">
        <f t="shared" si="1"/>
        <v>4898</v>
      </c>
      <c r="W10" s="43">
        <f>+W251</f>
        <v>1562</v>
      </c>
      <c r="X10" s="43">
        <f>+X251</f>
        <v>1176</v>
      </c>
      <c r="Y10" s="43">
        <f>+Y251</f>
        <v>1237</v>
      </c>
      <c r="Z10" s="43">
        <f>+Z251</f>
        <v>1369</v>
      </c>
      <c r="AA10" s="36">
        <f t="shared" si="2"/>
        <v>5344</v>
      </c>
      <c r="AB10" s="36"/>
      <c r="AC10" s="43">
        <f>+AC251</f>
        <v>1503</v>
      </c>
      <c r="AD10" s="43">
        <f>+AD251</f>
        <v>1160</v>
      </c>
      <c r="AE10" s="43">
        <f>+AE251</f>
        <v>1360</v>
      </c>
      <c r="AF10" s="43">
        <f>+AF251</f>
        <v>1399</v>
      </c>
      <c r="AG10" s="36">
        <f t="shared" si="3"/>
        <v>5422</v>
      </c>
      <c r="AH10" s="43">
        <f>+AH251</f>
        <v>1667</v>
      </c>
      <c r="AI10" s="43">
        <f>+AI251</f>
        <v>1369</v>
      </c>
      <c r="AJ10" s="43">
        <f>+AJ251</f>
        <v>1648</v>
      </c>
      <c r="AK10" s="43">
        <f>+AK251</f>
        <v>1682</v>
      </c>
      <c r="AL10" s="36">
        <f t="shared" si="4"/>
        <v>6366</v>
      </c>
      <c r="AM10" s="43">
        <f>+AM251</f>
        <v>2106</v>
      </c>
      <c r="AN10" s="43">
        <f>+AN251</f>
        <v>1658</v>
      </c>
      <c r="AO10" s="43">
        <f>+AO251</f>
        <v>1735</v>
      </c>
      <c r="AP10" s="43">
        <f>+AP251</f>
        <v>1627</v>
      </c>
      <c r="AQ10" s="36">
        <f t="shared" si="5"/>
        <v>7126</v>
      </c>
      <c r="AR10" s="43">
        <f>+AR251</f>
        <v>2104</v>
      </c>
      <c r="AS10" s="43">
        <f>+AS251</f>
        <v>1707</v>
      </c>
      <c r="AT10" s="43">
        <f>+AT251</f>
        <v>1853</v>
      </c>
      <c r="AU10" s="43">
        <f>+AU251</f>
        <v>1904</v>
      </c>
      <c r="AV10" s="36">
        <f t="shared" si="6"/>
        <v>7568</v>
      </c>
      <c r="AW10" s="43">
        <f>+AW251</f>
        <v>2262</v>
      </c>
      <c r="AX10" s="43">
        <f>+AX251</f>
        <v>1792</v>
      </c>
      <c r="AY10" s="43">
        <f>+AY251</f>
        <v>1925</v>
      </c>
      <c r="AZ10" s="43">
        <f>+AZ251</f>
        <v>1991</v>
      </c>
      <c r="BA10" s="36">
        <f t="shared" si="7"/>
        <v>7970</v>
      </c>
      <c r="BB10" s="43">
        <f>+BB251</f>
        <v>2344</v>
      </c>
      <c r="BC10" s="43">
        <f>+BC251</f>
        <v>2133</v>
      </c>
      <c r="BD10" s="43">
        <f>+BD251</f>
        <v>2299</v>
      </c>
      <c r="BE10" s="43">
        <f>+BE251</f>
        <v>2466</v>
      </c>
      <c r="BF10" s="36">
        <f t="shared" si="8"/>
        <v>9242</v>
      </c>
      <c r="BG10" s="43">
        <f>+BG251</f>
        <v>2607</v>
      </c>
      <c r="BH10" s="43">
        <f>+BH251</f>
        <v>2313</v>
      </c>
      <c r="BI10" s="43">
        <f>+BI251</f>
        <v>2435</v>
      </c>
      <c r="BJ10" s="43">
        <f>+BJ251</f>
        <v>2457</v>
      </c>
      <c r="BK10" s="36">
        <f t="shared" si="9"/>
        <v>9812</v>
      </c>
      <c r="BL10" s="43">
        <f>+BL251</f>
        <v>2773</v>
      </c>
      <c r="BM10" s="43">
        <f>+BM251</f>
        <v>2537</v>
      </c>
      <c r="BN10" s="43">
        <f>+BN251</f>
        <v>2709</v>
      </c>
      <c r="BO10" s="43">
        <f>+BO251</f>
        <v>1328</v>
      </c>
      <c r="BP10" s="36">
        <f t="shared" si="10"/>
        <v>9347</v>
      </c>
      <c r="BQ10" s="43">
        <f>+BQ251</f>
        <v>2910</v>
      </c>
      <c r="BR10" s="43">
        <f>+BR251</f>
        <v>2958</v>
      </c>
      <c r="BS10" s="43">
        <f>+BS251</f>
        <v>2609</v>
      </c>
      <c r="BT10" s="43">
        <f>+BT251</f>
        <v>2979</v>
      </c>
      <c r="BU10" s="36">
        <f t="shared" si="11"/>
        <v>11456</v>
      </c>
      <c r="BV10" s="43">
        <f>+BV251</f>
        <v>3307</v>
      </c>
      <c r="BW10" s="43">
        <f>+BW251</f>
        <v>3142</v>
      </c>
      <c r="BX10" s="43">
        <f>+BX251</f>
        <v>2779</v>
      </c>
      <c r="BY10" s="43">
        <f>+BY251</f>
        <v>3251</v>
      </c>
      <c r="BZ10" s="36">
        <f t="shared" si="12"/>
        <v>12479</v>
      </c>
      <c r="CA10" s="43">
        <f>+CA251</f>
        <v>3333</v>
      </c>
      <c r="CB10" s="43">
        <f>+CB251</f>
        <v>3489</v>
      </c>
      <c r="CC10" s="43">
        <f>+CC251</f>
        <v>3246</v>
      </c>
      <c r="CD10" s="43">
        <f>+CD251</f>
        <v>3350</v>
      </c>
      <c r="CE10" s="36">
        <f t="shared" si="13"/>
        <v>13418</v>
      </c>
      <c r="CF10" s="43">
        <f>+CF251</f>
        <v>3610</v>
      </c>
      <c r="CG10" s="43">
        <f>+CG251</f>
        <v>3567</v>
      </c>
      <c r="CH10" s="43">
        <f>+CH251</f>
        <v>3138</v>
      </c>
      <c r="CI10" s="43">
        <f>+CI251</f>
        <v>3292</v>
      </c>
      <c r="CJ10" s="36">
        <f t="shared" si="14"/>
        <v>13607</v>
      </c>
      <c r="CK10" s="43">
        <f>+CK251</f>
        <v>3143</v>
      </c>
      <c r="CL10" s="43">
        <f>+CL251</f>
        <v>3303</v>
      </c>
      <c r="CM10" s="43">
        <f>+CM251</f>
        <v>2811</v>
      </c>
      <c r="CN10" s="43">
        <f>+CN251</f>
        <v>3000</v>
      </c>
      <c r="CO10" s="36">
        <f t="shared" si="15"/>
        <v>12257</v>
      </c>
      <c r="CP10" s="43">
        <f>+CP251</f>
        <v>3331</v>
      </c>
      <c r="CQ10" s="43">
        <f>+CQ251</f>
        <v>3392</v>
      </c>
      <c r="CR10" s="43">
        <f>+CR251</f>
        <v>2874</v>
      </c>
      <c r="CS10" s="43">
        <f>+CS251</f>
        <v>2975</v>
      </c>
      <c r="CT10" s="36">
        <f t="shared" si="16"/>
        <v>12572</v>
      </c>
      <c r="CU10" s="43">
        <f>+CU251</f>
        <v>3176</v>
      </c>
      <c r="CV10" s="43">
        <f>+CV251</f>
        <v>2888.6763600000004</v>
      </c>
      <c r="CW10" s="43">
        <f>+CW251</f>
        <v>2687.4199200000003</v>
      </c>
      <c r="CX10" s="43">
        <f>+CX251</f>
        <v>2732.7585599999998</v>
      </c>
      <c r="CY10" s="36">
        <f t="shared" si="17"/>
        <v>11484.854840000002</v>
      </c>
      <c r="CZ10" s="43">
        <f>+CZ251</f>
        <v>2958.4672</v>
      </c>
      <c r="DA10" s="43">
        <f>+DA251</f>
        <v>2795.5104216000004</v>
      </c>
      <c r="DB10" s="43">
        <f>+DB251</f>
        <v>2616.9429404000007</v>
      </c>
      <c r="DC10" s="43">
        <f>+DC251</f>
        <v>2661.4652759999994</v>
      </c>
      <c r="DD10" s="36">
        <f t="shared" si="18"/>
        <v>11032.385838</v>
      </c>
      <c r="DE10" s="43">
        <f>+DE251</f>
        <v>2958.4672</v>
      </c>
      <c r="DF10" s="43">
        <f>+DF251</f>
        <v>2795.5104216000004</v>
      </c>
      <c r="DG10" s="43">
        <f>+DG251</f>
        <v>2643.1123698040005</v>
      </c>
      <c r="DH10" s="43">
        <f>+DH251</f>
        <v>2688.0799287600003</v>
      </c>
      <c r="DI10" s="36">
        <f t="shared" si="19"/>
        <v>11085.169920164002</v>
      </c>
    </row>
    <row r="11" spans="1:113" ht="12" customHeight="1">
      <c r="A11" s="219" t="str">
        <f t="shared" si="0"/>
        <v xml:space="preserve"> </v>
      </c>
      <c r="B11" s="17" t="s">
        <v>188</v>
      </c>
      <c r="C11" s="361" t="str">
        <f>+'2. Consolidated'!C11</f>
        <v xml:space="preserve">-- </v>
      </c>
      <c r="D11" s="360" t="str">
        <f>+'2. Consolidated'!D11</f>
        <v xml:space="preserve">-- </v>
      </c>
      <c r="E11" s="361" t="str">
        <f>+'2. Consolidated'!E11</f>
        <v xml:space="preserve">-- </v>
      </c>
      <c r="F11" s="360" t="str">
        <f>+'2. Consolidated'!F11</f>
        <v xml:space="preserve">-- </v>
      </c>
      <c r="G11" s="361" t="str">
        <f>+'2. Consolidated'!G11</f>
        <v xml:space="preserve">-- </v>
      </c>
      <c r="H11" s="360" t="str">
        <f>+'2. Consolidated'!H11</f>
        <v xml:space="preserve">-- </v>
      </c>
      <c r="I11" s="361" t="str">
        <f>+'2. Consolidated'!I11</f>
        <v xml:space="preserve">-- </v>
      </c>
      <c r="J11" s="360" t="str">
        <f>+'2. Consolidated'!J11</f>
        <v xml:space="preserve">-- </v>
      </c>
      <c r="K11" s="361" t="str">
        <f>+'2. Consolidated'!K11</f>
        <v xml:space="preserve">-- </v>
      </c>
      <c r="L11" s="360" t="str">
        <f>+'2. Consolidated'!L11</f>
        <v xml:space="preserve">-- </v>
      </c>
      <c r="M11" s="361" t="str">
        <f>+'2. Consolidated'!M11</f>
        <v xml:space="preserve">-- </v>
      </c>
      <c r="N11" s="358">
        <f>+'2. Consolidated'!N11</f>
        <v>902.66666666666663</v>
      </c>
      <c r="O11" s="359">
        <f>+'2. Consolidated'!O11</f>
        <v>1354</v>
      </c>
      <c r="P11" s="39">
        <f>+'2. Consolidated'!P11</f>
        <v>1743.3</v>
      </c>
      <c r="Q11" s="40">
        <f>+'2. Consolidated'!Q11</f>
        <v>1741.8000000000002</v>
      </c>
      <c r="R11" s="43">
        <f>+R320</f>
        <v>460</v>
      </c>
      <c r="S11" s="43">
        <f>+S320</f>
        <v>482</v>
      </c>
      <c r="T11" s="43">
        <f>+T320</f>
        <v>554</v>
      </c>
      <c r="U11" s="43">
        <f>+U320</f>
        <v>564</v>
      </c>
      <c r="V11" s="36">
        <f t="shared" si="1"/>
        <v>2060</v>
      </c>
      <c r="W11" s="43">
        <f>+W320</f>
        <v>528</v>
      </c>
      <c r="X11" s="43">
        <f>+X320</f>
        <v>650</v>
      </c>
      <c r="Y11" s="43">
        <f>+Y320</f>
        <v>694</v>
      </c>
      <c r="Z11" s="43">
        <f>+Z320</f>
        <v>667</v>
      </c>
      <c r="AA11" s="36">
        <f t="shared" si="2"/>
        <v>2539</v>
      </c>
      <c r="AB11" s="36"/>
      <c r="AC11" s="43">
        <f>+AC320</f>
        <v>577</v>
      </c>
      <c r="AD11" s="43">
        <f>+AD320</f>
        <v>582</v>
      </c>
      <c r="AE11" s="43">
        <f>+AE320</f>
        <v>641</v>
      </c>
      <c r="AF11" s="43">
        <f>+AF320</f>
        <v>678</v>
      </c>
      <c r="AG11" s="36">
        <f t="shared" si="3"/>
        <v>2478</v>
      </c>
      <c r="AH11" s="43">
        <f>+AH320</f>
        <v>574</v>
      </c>
      <c r="AI11" s="43">
        <f>+AI320</f>
        <v>629</v>
      </c>
      <c r="AJ11" s="43">
        <f>+AJ320</f>
        <v>697</v>
      </c>
      <c r="AK11" s="43">
        <f>+AK320</f>
        <v>702</v>
      </c>
      <c r="AL11" s="36">
        <f t="shared" si="4"/>
        <v>2602</v>
      </c>
      <c r="AM11" s="43">
        <f>+AM320</f>
        <v>679</v>
      </c>
      <c r="AN11" s="43">
        <f>+AN320</f>
        <v>758</v>
      </c>
      <c r="AO11" s="43">
        <f>+AO320</f>
        <v>801</v>
      </c>
      <c r="AP11" s="43">
        <f>+AP320</f>
        <v>829</v>
      </c>
      <c r="AQ11" s="36">
        <f t="shared" si="5"/>
        <v>3067</v>
      </c>
      <c r="AR11" s="43">
        <f>+AR320</f>
        <v>886</v>
      </c>
      <c r="AS11" s="43">
        <f>+AS320</f>
        <v>938</v>
      </c>
      <c r="AT11" s="43">
        <f>+AT320</f>
        <v>982</v>
      </c>
      <c r="AU11" s="43">
        <f>+AU320</f>
        <v>979</v>
      </c>
      <c r="AV11" s="36">
        <f t="shared" si="6"/>
        <v>3785</v>
      </c>
      <c r="AW11" s="43">
        <f>+AW320</f>
        <v>1020</v>
      </c>
      <c r="AX11" s="43">
        <f>+AX320</f>
        <v>1055</v>
      </c>
      <c r="AY11" s="43">
        <f>+AY320</f>
        <v>1075</v>
      </c>
      <c r="AZ11" s="43">
        <f>+AZ320</f>
        <v>1087</v>
      </c>
      <c r="BA11" s="36">
        <f t="shared" si="7"/>
        <v>4237</v>
      </c>
      <c r="BB11" s="43">
        <f>+BB320</f>
        <v>1108</v>
      </c>
      <c r="BC11" s="43">
        <f>+BC320</f>
        <v>1222</v>
      </c>
      <c r="BD11" s="43">
        <f>+BD320</f>
        <v>1336</v>
      </c>
      <c r="BE11" s="43">
        <f>+BE320</f>
        <v>1468</v>
      </c>
      <c r="BF11" s="36">
        <f t="shared" si="8"/>
        <v>5134</v>
      </c>
      <c r="BG11" s="43">
        <f>+BG320</f>
        <v>1379</v>
      </c>
      <c r="BH11" s="43">
        <f>+BH320</f>
        <v>1544</v>
      </c>
      <c r="BI11" s="43">
        <f>+BI320</f>
        <v>1588</v>
      </c>
      <c r="BJ11" s="43">
        <f>+BJ320</f>
        <v>1697</v>
      </c>
      <c r="BK11" s="36">
        <f t="shared" si="9"/>
        <v>6208</v>
      </c>
      <c r="BL11" s="43">
        <f>+BL320</f>
        <v>1679</v>
      </c>
      <c r="BM11" s="43">
        <f>+BM320</f>
        <v>1847</v>
      </c>
      <c r="BN11" s="43">
        <f>+BN320</f>
        <v>1506</v>
      </c>
      <c r="BO11" s="43">
        <f>+BO320</f>
        <v>1647</v>
      </c>
      <c r="BP11" s="36">
        <f t="shared" si="10"/>
        <v>6679</v>
      </c>
      <c r="BQ11" s="43">
        <f>+BQ320</f>
        <v>1780</v>
      </c>
      <c r="BR11" s="43">
        <f>+BR320</f>
        <v>2298</v>
      </c>
      <c r="BS11" s="43">
        <f>+BS320</f>
        <v>2279</v>
      </c>
      <c r="BT11" s="43">
        <f>+BT320</f>
        <v>1933</v>
      </c>
      <c r="BU11" s="36">
        <f t="shared" si="11"/>
        <v>8290</v>
      </c>
      <c r="BV11" s="43">
        <f>+BV320</f>
        <v>1982</v>
      </c>
      <c r="BW11" s="43">
        <f>+BW320</f>
        <v>1844</v>
      </c>
      <c r="BX11" s="43">
        <f>+BX320</f>
        <v>2160</v>
      </c>
      <c r="BY11" s="43">
        <f>+BY320</f>
        <v>1561</v>
      </c>
      <c r="BZ11" s="36">
        <f t="shared" si="12"/>
        <v>7547</v>
      </c>
      <c r="CA11" s="43">
        <f>+CA320</f>
        <v>1656</v>
      </c>
      <c r="CB11" s="43">
        <f>+CB320</f>
        <v>1788</v>
      </c>
      <c r="CC11" s="43">
        <f>+CC320</f>
        <v>1994</v>
      </c>
      <c r="CD11" s="43">
        <f>+CD320</f>
        <v>1810</v>
      </c>
      <c r="CE11" s="36">
        <f t="shared" si="13"/>
        <v>7248</v>
      </c>
      <c r="CF11" s="43">
        <f>+CF320</f>
        <v>1735</v>
      </c>
      <c r="CG11" s="43">
        <f>+CG320</f>
        <v>1863</v>
      </c>
      <c r="CH11" s="43">
        <f>+CH320</f>
        <v>2084</v>
      </c>
      <c r="CI11" s="43">
        <f>+CI320</f>
        <v>1863</v>
      </c>
      <c r="CJ11" s="36">
        <f t="shared" si="14"/>
        <v>7545</v>
      </c>
      <c r="CK11" s="43">
        <f>+CK320</f>
        <v>1666</v>
      </c>
      <c r="CL11" s="43">
        <f>+CL320</f>
        <v>1711</v>
      </c>
      <c r="CM11" s="43">
        <f>+CM320</f>
        <v>1733</v>
      </c>
      <c r="CN11" s="43">
        <f>+CN320</f>
        <v>1476</v>
      </c>
      <c r="CO11" s="36">
        <f t="shared" si="15"/>
        <v>6586</v>
      </c>
      <c r="CP11" s="43">
        <f>+CP320</f>
        <v>1512</v>
      </c>
      <c r="CQ11" s="43">
        <f>+CQ320</f>
        <v>1423</v>
      </c>
      <c r="CR11" s="43">
        <f>+CR320</f>
        <v>1615</v>
      </c>
      <c r="CS11" s="43">
        <f>+CS320</f>
        <v>1297</v>
      </c>
      <c r="CT11" s="36">
        <f t="shared" si="16"/>
        <v>5847</v>
      </c>
      <c r="CU11" s="43">
        <f>+CU320</f>
        <v>1180</v>
      </c>
      <c r="CV11" s="43">
        <f>+CV320</f>
        <v>1077.7956300000001</v>
      </c>
      <c r="CW11" s="43">
        <f>+CW320</f>
        <v>1150.7080000000001</v>
      </c>
      <c r="CX11" s="43">
        <f>+CX320</f>
        <v>907.55668999999978</v>
      </c>
      <c r="CY11" s="36">
        <f t="shared" si="17"/>
        <v>4316.0603199999996</v>
      </c>
      <c r="CZ11" s="43">
        <f>+CZ320</f>
        <v>892.96499999999992</v>
      </c>
      <c r="DA11" s="43">
        <f>+DA320</f>
        <v>862.23650400000008</v>
      </c>
      <c r="DB11" s="43">
        <f>+DB320</f>
        <v>1058.6513600000003</v>
      </c>
      <c r="DC11" s="43">
        <f>+DC320</f>
        <v>834.95215479999979</v>
      </c>
      <c r="DD11" s="36">
        <f t="shared" si="18"/>
        <v>3648.8050188000002</v>
      </c>
      <c r="DE11" s="43">
        <f>+DE320</f>
        <v>866.70577499999979</v>
      </c>
      <c r="DF11" s="43">
        <f>+DF320</f>
        <v>845.16365592</v>
      </c>
      <c r="DG11" s="43">
        <f>+DG320</f>
        <v>1069.0332140800003</v>
      </c>
      <c r="DH11" s="43">
        <f>+DH320</f>
        <v>843.13964364799961</v>
      </c>
      <c r="DI11" s="36">
        <f t="shared" si="19"/>
        <v>3624.0422886479996</v>
      </c>
    </row>
    <row r="12" spans="1:113" ht="12" customHeight="1">
      <c r="A12" s="219" t="str">
        <f t="shared" si="0"/>
        <v xml:space="preserve"> </v>
      </c>
      <c r="B12" s="17" t="s">
        <v>189</v>
      </c>
      <c r="C12" s="40" t="str">
        <f>+'2. Consolidated'!C12</f>
        <v xml:space="preserve">-- </v>
      </c>
      <c r="D12" s="39" t="str">
        <f>+'2. Consolidated'!D12</f>
        <v xml:space="preserve">-- </v>
      </c>
      <c r="E12" s="40" t="str">
        <f>+'2. Consolidated'!E12</f>
        <v xml:space="preserve">-- </v>
      </c>
      <c r="F12" s="39" t="str">
        <f>+'2. Consolidated'!F12</f>
        <v xml:space="preserve">-- </v>
      </c>
      <c r="G12" s="40" t="str">
        <f>+'2. Consolidated'!G12</f>
        <v xml:space="preserve">-- </v>
      </c>
      <c r="H12" s="39" t="str">
        <f>+'2. Consolidated'!H12</f>
        <v xml:space="preserve">-- </v>
      </c>
      <c r="I12" s="40" t="str">
        <f>+'2. Consolidated'!I12</f>
        <v xml:space="preserve">-- </v>
      </c>
      <c r="J12" s="39" t="str">
        <f>+'2. Consolidated'!J12</f>
        <v xml:space="preserve">-- </v>
      </c>
      <c r="K12" s="40" t="str">
        <f>+'2. Consolidated'!K12</f>
        <v xml:space="preserve">-- </v>
      </c>
      <c r="L12" s="39" t="str">
        <f>+'2. Consolidated'!L12</f>
        <v xml:space="preserve">-- </v>
      </c>
      <c r="M12" s="40" t="str">
        <f>+'2. Consolidated'!M12</f>
        <v xml:space="preserve">-- </v>
      </c>
      <c r="N12" s="39" t="str">
        <f>+'2. Consolidated'!N12</f>
        <v xml:space="preserve">-- </v>
      </c>
      <c r="O12" s="40" t="str">
        <f>+'2. Consolidated'!O12</f>
        <v xml:space="preserve">-- </v>
      </c>
      <c r="P12" s="39">
        <f>+'2. Consolidated'!P12</f>
        <v>2627.9</v>
      </c>
      <c r="Q12" s="40">
        <f>+'2. Consolidated'!Q12</f>
        <v>2923.6000000000004</v>
      </c>
      <c r="R12" s="43">
        <f>+R389</f>
        <v>754</v>
      </c>
      <c r="S12" s="43">
        <f>+S389</f>
        <v>947</v>
      </c>
      <c r="T12" s="43">
        <f>+T389</f>
        <v>838</v>
      </c>
      <c r="U12" s="43">
        <f>+U389</f>
        <v>963</v>
      </c>
      <c r="V12" s="36">
        <f t="shared" si="1"/>
        <v>3502</v>
      </c>
      <c r="W12" s="43">
        <f>+W389</f>
        <v>990</v>
      </c>
      <c r="X12" s="43">
        <f>+X389</f>
        <v>1145</v>
      </c>
      <c r="Y12" s="43">
        <f>+Y389</f>
        <v>994</v>
      </c>
      <c r="Z12" s="43">
        <f>+Z389</f>
        <v>1110</v>
      </c>
      <c r="AA12" s="36">
        <f t="shared" si="2"/>
        <v>4239</v>
      </c>
      <c r="AB12" s="36"/>
      <c r="AC12" s="43">
        <f>+AC389</f>
        <v>1094</v>
      </c>
      <c r="AD12" s="43">
        <f>+AD389</f>
        <v>1314</v>
      </c>
      <c r="AE12" s="43">
        <f>+AE389</f>
        <v>1062</v>
      </c>
      <c r="AF12" s="43">
        <f>+AF389</f>
        <v>1238</v>
      </c>
      <c r="AG12" s="36">
        <f t="shared" si="3"/>
        <v>4708</v>
      </c>
      <c r="AH12" s="43">
        <f>+AH389</f>
        <v>1060</v>
      </c>
      <c r="AI12" s="43">
        <f>+AI389</f>
        <v>1240</v>
      </c>
      <c r="AJ12" s="43">
        <f>+AJ389</f>
        <v>1114</v>
      </c>
      <c r="AK12" s="43">
        <f>+AK389</f>
        <v>1306</v>
      </c>
      <c r="AL12" s="36">
        <f t="shared" si="4"/>
        <v>4720</v>
      </c>
      <c r="AM12" s="43">
        <f>+AM389</f>
        <v>1094</v>
      </c>
      <c r="AN12" s="43">
        <f>+AN389</f>
        <v>1274</v>
      </c>
      <c r="AO12" s="43">
        <f>+AO389</f>
        <v>1121</v>
      </c>
      <c r="AP12" s="43">
        <f>+AP389</f>
        <v>1164</v>
      </c>
      <c r="AQ12" s="36">
        <f t="shared" si="5"/>
        <v>4653</v>
      </c>
      <c r="AR12" s="43">
        <f>+AR389</f>
        <v>1083</v>
      </c>
      <c r="AS12" s="43">
        <f>+AS389</f>
        <v>1107</v>
      </c>
      <c r="AT12" s="43">
        <f>+AT389</f>
        <v>1032</v>
      </c>
      <c r="AU12" s="43">
        <f>+AU389</f>
        <v>1095</v>
      </c>
      <c r="AV12" s="36">
        <f t="shared" si="6"/>
        <v>4317</v>
      </c>
      <c r="AW12" s="43">
        <f>+AW389</f>
        <v>1131</v>
      </c>
      <c r="AX12" s="43">
        <f>+AX389</f>
        <v>1206</v>
      </c>
      <c r="AY12" s="43">
        <f>+AY389</f>
        <v>1122</v>
      </c>
      <c r="AZ12" s="43">
        <f>+AZ389</f>
        <v>1278</v>
      </c>
      <c r="BA12" s="36">
        <f t="shared" si="7"/>
        <v>4737</v>
      </c>
      <c r="BB12" s="43">
        <f>+BB389</f>
        <v>1189</v>
      </c>
      <c r="BC12" s="43">
        <f>+BC389</f>
        <v>1273</v>
      </c>
      <c r="BD12" s="43">
        <f>+BD389</f>
        <v>1268</v>
      </c>
      <c r="BE12" s="43">
        <f>+BE389</f>
        <v>1436</v>
      </c>
      <c r="BF12" s="36">
        <f t="shared" si="8"/>
        <v>5166</v>
      </c>
      <c r="BG12" s="43">
        <f>+BG389</f>
        <v>1270</v>
      </c>
      <c r="BH12" s="43">
        <f>+BH389</f>
        <v>1298</v>
      </c>
      <c r="BI12" s="43">
        <f>+BI389</f>
        <v>1307</v>
      </c>
      <c r="BJ12" s="43">
        <f>+BJ389</f>
        <v>1379</v>
      </c>
      <c r="BK12" s="36">
        <f t="shared" si="9"/>
        <v>5254</v>
      </c>
      <c r="BL12" s="43">
        <f>+BL389</f>
        <v>1345</v>
      </c>
      <c r="BM12" s="43">
        <f>+BM389</f>
        <v>1468</v>
      </c>
      <c r="BN12" s="43">
        <f>+BN389</f>
        <v>1414</v>
      </c>
      <c r="BO12" s="43">
        <f>+BO389</f>
        <v>801</v>
      </c>
      <c r="BP12" s="36">
        <f t="shared" si="10"/>
        <v>5028</v>
      </c>
      <c r="BQ12" s="43">
        <f>+BQ389</f>
        <v>1099</v>
      </c>
      <c r="BR12" s="43">
        <f>+BR389</f>
        <v>1471</v>
      </c>
      <c r="BS12" s="43">
        <f>+BS389</f>
        <v>1315</v>
      </c>
      <c r="BT12" s="43">
        <f>+BT389</f>
        <v>1458</v>
      </c>
      <c r="BU12" s="36">
        <f t="shared" si="11"/>
        <v>5343</v>
      </c>
      <c r="BV12" s="43">
        <f>+BV389</f>
        <v>1465</v>
      </c>
      <c r="BW12" s="43">
        <f>+BW389</f>
        <v>1347</v>
      </c>
      <c r="BX12" s="43">
        <f>+BX389</f>
        <v>1461</v>
      </c>
      <c r="BY12" s="43">
        <f>+BY389</f>
        <v>1682</v>
      </c>
      <c r="BZ12" s="36">
        <f t="shared" si="12"/>
        <v>5955</v>
      </c>
      <c r="CA12" s="43">
        <f>+CA389</f>
        <v>1535</v>
      </c>
      <c r="CB12" s="43">
        <f>+CB389</f>
        <v>1599</v>
      </c>
      <c r="CC12" s="43">
        <f>+CC389</f>
        <v>1601</v>
      </c>
      <c r="CD12" s="43">
        <f>+CD389</f>
        <v>1696</v>
      </c>
      <c r="CE12" s="36">
        <f t="shared" si="13"/>
        <v>6431</v>
      </c>
      <c r="CF12" s="43">
        <f>+CF389</f>
        <v>1572</v>
      </c>
      <c r="CG12" s="43">
        <f>+CG389</f>
        <v>1805</v>
      </c>
      <c r="CH12" s="43">
        <f>+CH389</f>
        <v>1647</v>
      </c>
      <c r="CI12" s="43">
        <f>+CI389</f>
        <v>1705</v>
      </c>
      <c r="CJ12" s="36">
        <f t="shared" si="14"/>
        <v>6729</v>
      </c>
      <c r="CK12" s="43">
        <f>+CK389</f>
        <v>1462</v>
      </c>
      <c r="CL12" s="43">
        <f>+CL389</f>
        <v>1744</v>
      </c>
      <c r="CM12" s="43">
        <f>+CM389</f>
        <v>1470</v>
      </c>
      <c r="CN12" s="43">
        <f>+CN389</f>
        <v>1575</v>
      </c>
      <c r="CO12" s="36">
        <f t="shared" si="15"/>
        <v>6251</v>
      </c>
      <c r="CP12" s="43">
        <f>+CP389</f>
        <v>1490</v>
      </c>
      <c r="CQ12" s="43">
        <f>+CQ389</f>
        <v>1667</v>
      </c>
      <c r="CR12" s="43">
        <f>+CR389</f>
        <v>1490</v>
      </c>
      <c r="CS12" s="43">
        <f>+CS389</f>
        <v>1596</v>
      </c>
      <c r="CT12" s="36">
        <f t="shared" si="16"/>
        <v>6243</v>
      </c>
      <c r="CU12" s="43">
        <f>+CU389</f>
        <v>1463</v>
      </c>
      <c r="CV12" s="43">
        <f>+CV389</f>
        <v>1626.6919399999999</v>
      </c>
      <c r="CW12" s="43">
        <f>+CW389</f>
        <v>1450.5726899999997</v>
      </c>
      <c r="CX12" s="43">
        <f>+CX389</f>
        <v>1512.3252</v>
      </c>
      <c r="CY12" s="36">
        <f t="shared" si="17"/>
        <v>6052.5898299999999</v>
      </c>
      <c r="CZ12" s="43">
        <f>+CZ389</f>
        <v>1445.5408000000002</v>
      </c>
      <c r="DA12" s="43">
        <f>+DA389</f>
        <v>1642.3831255999999</v>
      </c>
      <c r="DB12" s="43">
        <f>+DB389</f>
        <v>1464.5096282999998</v>
      </c>
      <c r="DC12" s="43">
        <f>+DC389</f>
        <v>1526.8446463999996</v>
      </c>
      <c r="DD12" s="36">
        <f t="shared" si="18"/>
        <v>6079.2782003000002</v>
      </c>
      <c r="DE12" s="43">
        <f>+DE389</f>
        <v>1477.6216048000003</v>
      </c>
      <c r="DF12" s="43">
        <f>+DF389</f>
        <v>1679.1591466859995</v>
      </c>
      <c r="DG12" s="43">
        <f>+DG389</f>
        <v>1497.0047484929999</v>
      </c>
      <c r="DH12" s="43">
        <f>+DH389</f>
        <v>1560.8237533279998</v>
      </c>
      <c r="DI12" s="36">
        <f t="shared" si="19"/>
        <v>6214.6092533069996</v>
      </c>
    </row>
    <row r="13" spans="1:113" ht="12" customHeight="1">
      <c r="A13" s="219" t="str">
        <f t="shared" si="0"/>
        <v xml:space="preserve"> </v>
      </c>
      <c r="B13" s="17" t="s">
        <v>159</v>
      </c>
      <c r="C13" s="40" t="str">
        <f>+'2. Consolidated'!C13</f>
        <v xml:space="preserve">-- </v>
      </c>
      <c r="D13" s="39" t="str">
        <f>+'2. Consolidated'!D13</f>
        <v xml:space="preserve">-- </v>
      </c>
      <c r="E13" s="40" t="str">
        <f>+'2. Consolidated'!E13</f>
        <v xml:space="preserve">-- </v>
      </c>
      <c r="F13" s="39" t="str">
        <f>+'2. Consolidated'!F13</f>
        <v xml:space="preserve">-- </v>
      </c>
      <c r="G13" s="40" t="str">
        <f>+'2. Consolidated'!G13</f>
        <v xml:space="preserve">-- </v>
      </c>
      <c r="H13" s="39" t="str">
        <f>+'2. Consolidated'!H13</f>
        <v xml:space="preserve">-- </v>
      </c>
      <c r="I13" s="40" t="str">
        <f>+'2. Consolidated'!I13</f>
        <v xml:space="preserve">-- </v>
      </c>
      <c r="J13" s="39" t="str">
        <f>+'2. Consolidated'!J13</f>
        <v xml:space="preserve">-- </v>
      </c>
      <c r="K13" s="40" t="str">
        <f>+'2. Consolidated'!K13</f>
        <v xml:space="preserve">-- </v>
      </c>
      <c r="L13" s="39" t="str">
        <f>+'2. Consolidated'!L13</f>
        <v xml:space="preserve">-- </v>
      </c>
      <c r="M13" s="40" t="str">
        <f>+'2. Consolidated'!M13</f>
        <v xml:space="preserve">-- </v>
      </c>
      <c r="N13" s="39" t="str">
        <f>+'2. Consolidated'!N13</f>
        <v xml:space="preserve">-- </v>
      </c>
      <c r="O13" s="40" t="str">
        <f>+'2. Consolidated'!O13</f>
        <v xml:space="preserve">-- </v>
      </c>
      <c r="P13" s="39">
        <f>+'2. Consolidated'!P13</f>
        <v>95.300000000000011</v>
      </c>
      <c r="Q13" s="40">
        <f>+'2. Consolidated'!Q13</f>
        <v>105.3</v>
      </c>
      <c r="R13" s="43">
        <f>+R458</f>
        <v>31</v>
      </c>
      <c r="S13" s="43">
        <f>+S458</f>
        <v>24</v>
      </c>
      <c r="T13" s="43">
        <f>+T458</f>
        <v>22</v>
      </c>
      <c r="U13" s="43">
        <f>+U458</f>
        <v>29</v>
      </c>
      <c r="V13" s="36">
        <f t="shared" si="1"/>
        <v>106</v>
      </c>
      <c r="W13" s="43">
        <f>+W458</f>
        <v>33</v>
      </c>
      <c r="X13" s="43">
        <f>+X458</f>
        <v>25</v>
      </c>
      <c r="Y13" s="43">
        <f>+Y458</f>
        <v>27</v>
      </c>
      <c r="Z13" s="43">
        <f>+Z458</f>
        <v>26</v>
      </c>
      <c r="AA13" s="36">
        <f t="shared" si="2"/>
        <v>111</v>
      </c>
      <c r="AB13" s="36"/>
      <c r="AC13" s="43">
        <f>+AC458</f>
        <v>27</v>
      </c>
      <c r="AD13" s="43">
        <f>+AD458</f>
        <v>28</v>
      </c>
      <c r="AE13" s="43">
        <f>+AE458</f>
        <v>29</v>
      </c>
      <c r="AF13" s="43">
        <f>+AF458</f>
        <v>31</v>
      </c>
      <c r="AG13" s="36">
        <f t="shared" si="3"/>
        <v>115</v>
      </c>
      <c r="AH13" s="43">
        <f>+AH458</f>
        <v>32</v>
      </c>
      <c r="AI13" s="43">
        <f>+AI458</f>
        <v>31</v>
      </c>
      <c r="AJ13" s="43">
        <f>+AJ458</f>
        <v>26</v>
      </c>
      <c r="AK13" s="43">
        <f>+AK458</f>
        <v>36</v>
      </c>
      <c r="AL13" s="36">
        <f t="shared" si="4"/>
        <v>125</v>
      </c>
      <c r="AM13" s="43">
        <f>+AM458</f>
        <v>29</v>
      </c>
      <c r="AN13" s="43">
        <f>+AN458</f>
        <v>28</v>
      </c>
      <c r="AO13" s="43">
        <f>+AO458</f>
        <v>28</v>
      </c>
      <c r="AP13" s="43">
        <f>+AP458</f>
        <v>30</v>
      </c>
      <c r="AQ13" s="36">
        <f t="shared" si="5"/>
        <v>115</v>
      </c>
      <c r="AR13" s="43">
        <f>+AR458</f>
        <v>26</v>
      </c>
      <c r="AS13" s="43">
        <f>+AS458</f>
        <v>18</v>
      </c>
      <c r="AT13" s="43">
        <f>+AT458</f>
        <v>17</v>
      </c>
      <c r="AU13" s="43">
        <f>+AU458</f>
        <v>12</v>
      </c>
      <c r="AV13" s="36">
        <f t="shared" si="6"/>
        <v>73</v>
      </c>
      <c r="AW13" s="43">
        <f>+AW458</f>
        <v>15</v>
      </c>
      <c r="AX13" s="43">
        <f>+AX458</f>
        <v>21</v>
      </c>
      <c r="AY13" s="43">
        <f>+AY458</f>
        <v>19</v>
      </c>
      <c r="AZ13" s="43">
        <f>+AZ458</f>
        <v>18</v>
      </c>
      <c r="BA13" s="36">
        <f t="shared" si="7"/>
        <v>73</v>
      </c>
      <c r="BB13" s="43">
        <f>+BB458</f>
        <v>20</v>
      </c>
      <c r="BC13" s="43">
        <f>+BC458</f>
        <v>23</v>
      </c>
      <c r="BD13" s="43">
        <f>+BD458</f>
        <v>21</v>
      </c>
      <c r="BE13" s="43">
        <f>+BE458</f>
        <v>24</v>
      </c>
      <c r="BF13" s="36">
        <f t="shared" si="8"/>
        <v>88</v>
      </c>
      <c r="BG13" s="43">
        <f>+BG458</f>
        <v>16</v>
      </c>
      <c r="BH13" s="43">
        <f>+BH458</f>
        <v>9</v>
      </c>
      <c r="BI13" s="43">
        <f>+BI458</f>
        <v>8</v>
      </c>
      <c r="BJ13" s="43">
        <f>+BJ458</f>
        <v>9</v>
      </c>
      <c r="BK13" s="36">
        <f t="shared" si="9"/>
        <v>42</v>
      </c>
      <c r="BL13" s="43">
        <f>+BL458</f>
        <v>6</v>
      </c>
      <c r="BM13" s="43">
        <f>+BM458</f>
        <v>10</v>
      </c>
      <c r="BN13" s="43">
        <f>+BN458</f>
        <v>8</v>
      </c>
      <c r="BO13" s="43">
        <f>+BO458</f>
        <v>6</v>
      </c>
      <c r="BP13" s="36">
        <f t="shared" si="10"/>
        <v>30</v>
      </c>
      <c r="BQ13" s="43">
        <f>+BQ458</f>
        <v>4</v>
      </c>
      <c r="BR13" s="43">
        <f>+BR458</f>
        <v>8</v>
      </c>
      <c r="BS13" s="43">
        <f>+BS458</f>
        <v>6</v>
      </c>
      <c r="BT13" s="43">
        <f>+BT458</f>
        <v>7</v>
      </c>
      <c r="BU13" s="36">
        <f t="shared" si="11"/>
        <v>25</v>
      </c>
      <c r="BV13" s="43">
        <f>+BV458</f>
        <v>7</v>
      </c>
      <c r="BW13" s="43">
        <f>+BW458</f>
        <v>6</v>
      </c>
      <c r="BX13" s="43">
        <f>+BX458</f>
        <v>41</v>
      </c>
      <c r="BY13" s="43">
        <f>+BY458</f>
        <v>48</v>
      </c>
      <c r="BZ13" s="36">
        <f t="shared" si="12"/>
        <v>102</v>
      </c>
      <c r="CA13" s="43">
        <f>+CA458</f>
        <v>14</v>
      </c>
      <c r="CB13" s="43">
        <f>+CB458</f>
        <v>18</v>
      </c>
      <c r="CC13" s="43">
        <f>+CC458</f>
        <v>12</v>
      </c>
      <c r="CD13" s="43">
        <f>+CD458</f>
        <v>14</v>
      </c>
      <c r="CE13" s="36">
        <f t="shared" si="13"/>
        <v>58</v>
      </c>
      <c r="CF13" s="43">
        <f>+CF458</f>
        <v>13</v>
      </c>
      <c r="CG13" s="43">
        <f>+CG458</f>
        <v>12</v>
      </c>
      <c r="CH13" s="43">
        <f>+CH458</f>
        <v>9</v>
      </c>
      <c r="CI13" s="43">
        <f>+CI458</f>
        <v>11</v>
      </c>
      <c r="CJ13" s="36">
        <f t="shared" si="14"/>
        <v>45</v>
      </c>
      <c r="CK13" s="43">
        <f>+CK458</f>
        <v>14</v>
      </c>
      <c r="CL13" s="43">
        <f>+CL458</f>
        <v>13</v>
      </c>
      <c r="CM13" s="43">
        <f>+CM458</f>
        <v>12</v>
      </c>
      <c r="CN13" s="43">
        <f>+CN458</f>
        <v>9</v>
      </c>
      <c r="CO13" s="36">
        <f t="shared" si="15"/>
        <v>48</v>
      </c>
      <c r="CP13" s="43">
        <f>+CP458</f>
        <v>9</v>
      </c>
      <c r="CQ13" s="43">
        <f>+CQ458</f>
        <v>9</v>
      </c>
      <c r="CR13" s="43">
        <f>+CR458</f>
        <v>7</v>
      </c>
      <c r="CS13" s="43">
        <f>+CS458</f>
        <v>24</v>
      </c>
      <c r="CT13" s="36">
        <f t="shared" si="16"/>
        <v>49</v>
      </c>
      <c r="CU13" s="43">
        <f>+CU458</f>
        <v>6</v>
      </c>
      <c r="CV13" s="43">
        <f>+CV458</f>
        <v>9</v>
      </c>
      <c r="CW13" s="43">
        <f>+CW458</f>
        <v>7</v>
      </c>
      <c r="CX13" s="43">
        <f>+CX458</f>
        <v>24</v>
      </c>
      <c r="CY13" s="36">
        <f t="shared" si="17"/>
        <v>46</v>
      </c>
      <c r="CZ13" s="43">
        <f>+CZ458</f>
        <v>6</v>
      </c>
      <c r="DA13" s="43">
        <f>+DA458</f>
        <v>9</v>
      </c>
      <c r="DB13" s="43">
        <f>+DB458</f>
        <v>7</v>
      </c>
      <c r="DC13" s="43">
        <f>+DC458</f>
        <v>24</v>
      </c>
      <c r="DD13" s="36">
        <f t="shared" si="18"/>
        <v>46</v>
      </c>
      <c r="DE13" s="43">
        <f>+DE458</f>
        <v>6</v>
      </c>
      <c r="DF13" s="43">
        <f>+DF458</f>
        <v>9</v>
      </c>
      <c r="DG13" s="43">
        <f>+DG458</f>
        <v>7</v>
      </c>
      <c r="DH13" s="43">
        <f>+DH458</f>
        <v>24</v>
      </c>
      <c r="DI13" s="36">
        <f t="shared" si="19"/>
        <v>46</v>
      </c>
    </row>
    <row r="14" spans="1:113" s="4" customFormat="1" ht="12" customHeight="1">
      <c r="A14" s="219" t="str">
        <f t="shared" si="0"/>
        <v xml:space="preserve"> </v>
      </c>
      <c r="B14" s="18" t="s">
        <v>105</v>
      </c>
      <c r="C14" s="40" t="str">
        <f>+'2. Consolidated'!C14</f>
        <v xml:space="preserve">-- </v>
      </c>
      <c r="D14" s="39" t="str">
        <f>+'2. Consolidated'!D14</f>
        <v xml:space="preserve">-- </v>
      </c>
      <c r="E14" s="40" t="str">
        <f>+'2. Consolidated'!E14</f>
        <v xml:space="preserve">-- </v>
      </c>
      <c r="F14" s="39" t="str">
        <f>+'2. Consolidated'!F14</f>
        <v xml:space="preserve">-- </v>
      </c>
      <c r="G14" s="40" t="str">
        <f>+'2. Consolidated'!G14</f>
        <v xml:space="preserve">-- </v>
      </c>
      <c r="H14" s="39" t="str">
        <f>+'2. Consolidated'!H14</f>
        <v xml:space="preserve">-- </v>
      </c>
      <c r="I14" s="40" t="str">
        <f>+'2. Consolidated'!I14</f>
        <v xml:space="preserve">-- </v>
      </c>
      <c r="J14" s="39" t="str">
        <f>+'2. Consolidated'!J14</f>
        <v xml:space="preserve">-- </v>
      </c>
      <c r="K14" s="40" t="str">
        <f>+'2. Consolidated'!K14</f>
        <v xml:space="preserve">-- </v>
      </c>
      <c r="L14" s="39" t="str">
        <f>+'2. Consolidated'!L14</f>
        <v xml:space="preserve">-- </v>
      </c>
      <c r="M14" s="40" t="str">
        <f>+'2. Consolidated'!M14</f>
        <v xml:space="preserve">-- </v>
      </c>
      <c r="N14" s="39" t="str">
        <f>+'2. Consolidated'!N14</f>
        <v xml:space="preserve">-- </v>
      </c>
      <c r="O14" s="40" t="str">
        <f>+'2. Consolidated'!O14</f>
        <v xml:space="preserve">-- </v>
      </c>
      <c r="P14" s="363">
        <f>+'2. Consolidated'!P14</f>
        <v>16757.099999999999</v>
      </c>
      <c r="Q14" s="364">
        <f>+'2. Consolidated'!Q14</f>
        <v>16508.600000000002</v>
      </c>
      <c r="R14" s="363">
        <f>SUM(R9:R13)</f>
        <v>4483</v>
      </c>
      <c r="S14" s="363">
        <f>SUM(S9:S13)</f>
        <v>4231</v>
      </c>
      <c r="T14" s="363">
        <f>SUM(T9:T13)</f>
        <v>4425</v>
      </c>
      <c r="U14" s="363">
        <f>SUM(U9:U13)</f>
        <v>5006</v>
      </c>
      <c r="V14" s="364">
        <f t="shared" si="1"/>
        <v>18145</v>
      </c>
      <c r="W14" s="363">
        <f>SUM(W9:W13)</f>
        <v>5313</v>
      </c>
      <c r="X14" s="363">
        <f>SUM(X9:X13)</f>
        <v>5062</v>
      </c>
      <c r="Y14" s="363">
        <f>SUM(Y9:Y13)</f>
        <v>5101</v>
      </c>
      <c r="Z14" s="363">
        <f>SUM(Z9:Z13)</f>
        <v>5596</v>
      </c>
      <c r="AA14" s="364">
        <f t="shared" si="2"/>
        <v>21072</v>
      </c>
      <c r="AB14" s="364"/>
      <c r="AC14" s="363">
        <f>SUM(AC9:AC13)</f>
        <v>6067</v>
      </c>
      <c r="AD14" s="363">
        <f>SUM(AD9:AD13)</f>
        <v>5648</v>
      </c>
      <c r="AE14" s="363">
        <f>SUM(AE9:AE13)</f>
        <v>5829</v>
      </c>
      <c r="AF14" s="363">
        <f>SUM(AF9:AF13)</f>
        <v>6337</v>
      </c>
      <c r="AG14" s="364">
        <f t="shared" si="3"/>
        <v>23881</v>
      </c>
      <c r="AH14" s="363">
        <f>SUM(AH9:AH13)</f>
        <v>6468</v>
      </c>
      <c r="AI14" s="363">
        <f>SUM(AI9:AI13)</f>
        <v>6070</v>
      </c>
      <c r="AJ14" s="363">
        <f>SUM(AJ9:AJ13)</f>
        <v>6554</v>
      </c>
      <c r="AK14" s="363">
        <f>SUM(AK9:AK13)</f>
        <v>7020</v>
      </c>
      <c r="AL14" s="364">
        <f t="shared" si="4"/>
        <v>26112</v>
      </c>
      <c r="AM14" s="363">
        <f>SUM(AM9:AM13)</f>
        <v>7421</v>
      </c>
      <c r="AN14" s="363">
        <f>SUM(AN9:AN13)</f>
        <v>6959</v>
      </c>
      <c r="AO14" s="363">
        <f>SUM(AO9:AO13)</f>
        <v>6939</v>
      </c>
      <c r="AP14" s="363">
        <f>SUM(AP9:AP13)</f>
        <v>7382</v>
      </c>
      <c r="AQ14" s="364">
        <f t="shared" si="5"/>
        <v>28701</v>
      </c>
      <c r="AR14" s="363">
        <f>SUM(AR9:AR13)</f>
        <v>7898</v>
      </c>
      <c r="AS14" s="363">
        <f>SUM(AS9:AS13)</f>
        <v>7317</v>
      </c>
      <c r="AT14" s="363">
        <f>SUM(AT9:AT13)</f>
        <v>7567</v>
      </c>
      <c r="AU14" s="363">
        <f>SUM(AU9:AU13)</f>
        <v>7725</v>
      </c>
      <c r="AV14" s="364">
        <f t="shared" si="6"/>
        <v>30507</v>
      </c>
      <c r="AW14" s="363">
        <f>SUM(AW9:AW13)</f>
        <v>8459</v>
      </c>
      <c r="AX14" s="363">
        <f>SUM(AX9:AX13)</f>
        <v>7724</v>
      </c>
      <c r="AY14" s="363">
        <f>SUM(AY9:AY13)</f>
        <v>7923</v>
      </c>
      <c r="AZ14" s="363">
        <f>SUM(AZ9:AZ13)</f>
        <v>8127</v>
      </c>
      <c r="BA14" s="364">
        <f t="shared" si="7"/>
        <v>32233</v>
      </c>
      <c r="BB14" s="363">
        <f>SUM(BB9:BB13)</f>
        <v>8585</v>
      </c>
      <c r="BC14" s="363">
        <f>SUM(BC9:BC13)</f>
        <v>8136</v>
      </c>
      <c r="BD14" s="363">
        <f>SUM(BD9:BD13)</f>
        <v>8495</v>
      </c>
      <c r="BE14" s="363">
        <f>SUM(BE9:BE13)</f>
        <v>9269</v>
      </c>
      <c r="BF14" s="364">
        <f t="shared" si="8"/>
        <v>34485</v>
      </c>
      <c r="BG14" s="363">
        <f>SUM(BG9:BG13)</f>
        <v>9417</v>
      </c>
      <c r="BH14" s="363">
        <f>SUM(BH9:BH13)</f>
        <v>8946</v>
      </c>
      <c r="BI14" s="363">
        <f>SUM(BI9:BI13)</f>
        <v>9148</v>
      </c>
      <c r="BJ14" s="363">
        <f>SUM(BJ9:BJ13)</f>
        <v>9707</v>
      </c>
      <c r="BK14" s="364">
        <f t="shared" si="9"/>
        <v>37218</v>
      </c>
      <c r="BL14" s="363">
        <f>SUM(BL9:BL13)</f>
        <v>10096</v>
      </c>
      <c r="BM14" s="363">
        <f>SUM(BM9:BM13)</f>
        <v>9844</v>
      </c>
      <c r="BN14" s="363">
        <f>SUM(BN9:BN13)</f>
        <v>9616</v>
      </c>
      <c r="BO14" s="363">
        <f>SUM(BO9:BO13)</f>
        <v>6012</v>
      </c>
      <c r="BP14" s="364">
        <f t="shared" si="10"/>
        <v>35568</v>
      </c>
      <c r="BQ14" s="363">
        <f>SUM(BQ9:BQ13)</f>
        <v>10018</v>
      </c>
      <c r="BR14" s="363">
        <f>SUM(BR9:BR13)</f>
        <v>10741</v>
      </c>
      <c r="BS14" s="363">
        <f>SUM(BS9:BS13)</f>
        <v>9773</v>
      </c>
      <c r="BT14" s="363">
        <f>SUM(BT9:BT13)</f>
        <v>11761</v>
      </c>
      <c r="BU14" s="364">
        <f t="shared" si="11"/>
        <v>42293</v>
      </c>
      <c r="BV14" s="363">
        <f>SUM(BV9:BV13)</f>
        <v>11640</v>
      </c>
      <c r="BW14" s="363">
        <f>SUM(BW9:BW13)</f>
        <v>10816</v>
      </c>
      <c r="BX14" s="363">
        <f>SUM(BX9:BX13)</f>
        <v>10323</v>
      </c>
      <c r="BY14" s="363">
        <f>SUM(BY9:BY13)</f>
        <v>11657</v>
      </c>
      <c r="BZ14" s="364">
        <f t="shared" si="12"/>
        <v>44436</v>
      </c>
      <c r="CA14" s="363">
        <f>SUM(CA9:CA13)</f>
        <v>12048</v>
      </c>
      <c r="CB14" s="363">
        <f>SUM(CB9:CB13)</f>
        <v>12724</v>
      </c>
      <c r="CC14" s="363">
        <f>SUM(CC9:CC13)</f>
        <v>11766</v>
      </c>
      <c r="CD14" s="363">
        <f>SUM(CD9:CD13)</f>
        <v>12225</v>
      </c>
      <c r="CE14" s="364">
        <f t="shared" si="13"/>
        <v>48763</v>
      </c>
      <c r="CF14" s="363">
        <f>SUM(CF9:CF13)</f>
        <v>12353</v>
      </c>
      <c r="CG14" s="363">
        <f>SUM(CG9:CG13)</f>
        <v>12872</v>
      </c>
      <c r="CH14" s="363">
        <f>SUM(CH9:CH13)</f>
        <v>11948</v>
      </c>
      <c r="CI14" s="363">
        <f>SUM(CI9:CI13)</f>
        <v>12149</v>
      </c>
      <c r="CJ14" s="364">
        <f t="shared" si="14"/>
        <v>49322</v>
      </c>
      <c r="CK14" s="363">
        <f>SUM(CK9:CK13)</f>
        <v>11111</v>
      </c>
      <c r="CL14" s="363">
        <f>SUM(CL9:CL13)</f>
        <v>11950</v>
      </c>
      <c r="CM14" s="363">
        <f>SUM(CM9:CM13)</f>
        <v>10890</v>
      </c>
      <c r="CN14" s="363">
        <f>SUM(CN9:CN13)</f>
        <v>10763</v>
      </c>
      <c r="CO14" s="364">
        <f t="shared" si="15"/>
        <v>44714</v>
      </c>
      <c r="CP14" s="363">
        <f>SUM(CP9:CP13)</f>
        <v>11362</v>
      </c>
      <c r="CQ14" s="363">
        <f>SUM(CQ9:CQ13)</f>
        <v>12124</v>
      </c>
      <c r="CR14" s="363">
        <f>SUM(CR9:CR13)</f>
        <v>11012</v>
      </c>
      <c r="CS14" s="363">
        <f>SUM(CS9:CS13)</f>
        <v>10724</v>
      </c>
      <c r="CT14" s="364">
        <f t="shared" si="16"/>
        <v>45222</v>
      </c>
      <c r="CU14" s="363">
        <f>SUM(CU9:CU13)</f>
        <v>10952</v>
      </c>
      <c r="CV14" s="363">
        <f>SUM(CV9:CV13)</f>
        <v>10653.097940000001</v>
      </c>
      <c r="CW14" s="363">
        <f>SUM(CW9:CW13)</f>
        <v>10094.783209999998</v>
      </c>
      <c r="CX14" s="363">
        <f>SUM(CX9:CX13)</f>
        <v>9686.143369999998</v>
      </c>
      <c r="CY14" s="364">
        <f t="shared" si="17"/>
        <v>41386.024519999992</v>
      </c>
      <c r="CZ14" s="363">
        <f>SUM(CZ9:CZ13)</f>
        <v>10078.382809999999</v>
      </c>
      <c r="DA14" s="363">
        <f>SUM(DA9:DA13)</f>
        <v>10146.259180099998</v>
      </c>
      <c r="DB14" s="363">
        <f>SUM(DB9:DB13)</f>
        <v>9818.6710706999984</v>
      </c>
      <c r="DC14" s="363">
        <f>SUM(DC9:DC13)</f>
        <v>9436.5960167999965</v>
      </c>
      <c r="DD14" s="364">
        <f t="shared" si="18"/>
        <v>39479.909077599994</v>
      </c>
      <c r="DE14" s="363">
        <f>SUM(DE9:DE13)</f>
        <v>10084.204389799999</v>
      </c>
      <c r="DF14" s="363">
        <f>SUM(DF9:DF13)</f>
        <v>10165.962353105997</v>
      </c>
      <c r="DG14" s="363">
        <f>SUM(DG9:DG13)</f>
        <v>9887.7174743769992</v>
      </c>
      <c r="DH14" s="363">
        <f>SUM(DH9:DH13)</f>
        <v>9505.3772653359993</v>
      </c>
      <c r="DI14" s="364">
        <f t="shared" si="19"/>
        <v>39643.261482618997</v>
      </c>
    </row>
    <row r="15" spans="1:113" s="3" customFormat="1" ht="12" customHeight="1">
      <c r="A15" s="219" t="str">
        <f t="shared" si="0"/>
        <v xml:space="preserve"> </v>
      </c>
      <c r="B15" s="491" t="s">
        <v>171</v>
      </c>
      <c r="C15" s="391" t="s">
        <v>1</v>
      </c>
      <c r="D15" s="399" t="s">
        <v>1</v>
      </c>
      <c r="E15" s="391" t="s">
        <v>1</v>
      </c>
      <c r="F15" s="399" t="s">
        <v>1</v>
      </c>
      <c r="G15" s="391" t="s">
        <v>1</v>
      </c>
      <c r="H15" s="399" t="s">
        <v>1</v>
      </c>
      <c r="I15" s="391" t="s">
        <v>1</v>
      </c>
      <c r="J15" s="399" t="s">
        <v>1</v>
      </c>
      <c r="K15" s="391" t="s">
        <v>1</v>
      </c>
      <c r="L15" s="399" t="s">
        <v>1</v>
      </c>
      <c r="M15" s="391" t="s">
        <v>1</v>
      </c>
      <c r="N15" s="399" t="s">
        <v>1</v>
      </c>
      <c r="O15" s="391" t="s">
        <v>1</v>
      </c>
      <c r="P15" s="520" t="s">
        <v>1</v>
      </c>
      <c r="Q15" s="521" t="s">
        <v>1</v>
      </c>
      <c r="R15" s="378" t="s">
        <v>126</v>
      </c>
      <c r="S15" s="522" t="s">
        <v>126</v>
      </c>
      <c r="T15" s="522" t="s">
        <v>126</v>
      </c>
      <c r="U15" s="522" t="s">
        <v>126</v>
      </c>
      <c r="V15" s="492" t="s">
        <v>126</v>
      </c>
      <c r="W15" s="52">
        <f>+W14/R14-1</f>
        <v>0.18514387686816858</v>
      </c>
      <c r="X15" s="52">
        <f t="shared" ref="X15:BP15" si="20">+X14/S14-1</f>
        <v>0.19640746868352643</v>
      </c>
      <c r="Y15" s="52">
        <f t="shared" si="20"/>
        <v>0.15276836158192086</v>
      </c>
      <c r="Z15" s="52">
        <f t="shared" si="20"/>
        <v>0.11785856971634034</v>
      </c>
      <c r="AA15" s="112">
        <f t="shared" si="20"/>
        <v>0.16131165610360987</v>
      </c>
      <c r="AB15" s="112"/>
      <c r="AC15" s="52">
        <f>+AC14/W14-1</f>
        <v>0.1419160549595333</v>
      </c>
      <c r="AD15" s="52">
        <f>+AD14/X14-1</f>
        <v>0.11576451995258785</v>
      </c>
      <c r="AE15" s="52">
        <f>+AE14/Y14-1</f>
        <v>0.14271711429131551</v>
      </c>
      <c r="AF15" s="52">
        <f>+AF14/Z14-1</f>
        <v>0.13241601143674053</v>
      </c>
      <c r="AG15" s="112">
        <f>+AG14/AA14-1</f>
        <v>0.13330485952923321</v>
      </c>
      <c r="AH15" s="52">
        <f t="shared" si="20"/>
        <v>6.6095269490687336E-2</v>
      </c>
      <c r="AI15" s="52">
        <f t="shared" si="20"/>
        <v>7.4716713881019858E-2</v>
      </c>
      <c r="AJ15" s="52">
        <f t="shared" si="20"/>
        <v>0.12437810945273631</v>
      </c>
      <c r="AK15" s="52">
        <f t="shared" si="20"/>
        <v>0.10777970648571888</v>
      </c>
      <c r="AL15" s="112">
        <f t="shared" si="20"/>
        <v>9.3421548511368968E-2</v>
      </c>
      <c r="AM15" s="52">
        <f t="shared" si="20"/>
        <v>0.14734075448361161</v>
      </c>
      <c r="AN15" s="52">
        <f t="shared" si="20"/>
        <v>0.14645799011532135</v>
      </c>
      <c r="AO15" s="52">
        <f t="shared" si="20"/>
        <v>5.874275251754657E-2</v>
      </c>
      <c r="AP15" s="52">
        <f t="shared" si="20"/>
        <v>5.1566951566951458E-2</v>
      </c>
      <c r="AQ15" s="112">
        <f t="shared" si="20"/>
        <v>9.9149816176470562E-2</v>
      </c>
      <c r="AR15" s="52">
        <f t="shared" si="20"/>
        <v>6.4277051610295066E-2</v>
      </c>
      <c r="AS15" s="52">
        <f t="shared" si="20"/>
        <v>5.1444173013363903E-2</v>
      </c>
      <c r="AT15" s="52">
        <f t="shared" si="20"/>
        <v>9.0502954316183937E-2</v>
      </c>
      <c r="AU15" s="52">
        <f t="shared" si="20"/>
        <v>4.6464372798699527E-2</v>
      </c>
      <c r="AV15" s="112">
        <f t="shared" si="20"/>
        <v>6.2924636772237807E-2</v>
      </c>
      <c r="AW15" s="52">
        <f t="shared" si="20"/>
        <v>7.1030640668523715E-2</v>
      </c>
      <c r="AX15" s="52">
        <f t="shared" si="20"/>
        <v>5.5623889572228968E-2</v>
      </c>
      <c r="AY15" s="52">
        <f t="shared" si="20"/>
        <v>4.7046385621778875E-2</v>
      </c>
      <c r="AZ15" s="52">
        <f t="shared" si="20"/>
        <v>5.2038834951456225E-2</v>
      </c>
      <c r="BA15" s="112">
        <f t="shared" si="20"/>
        <v>5.6577179008096445E-2</v>
      </c>
      <c r="BB15" s="52">
        <f t="shared" si="20"/>
        <v>1.4895377704220447E-2</v>
      </c>
      <c r="BC15" s="52">
        <f t="shared" si="20"/>
        <v>5.3340238218539726E-2</v>
      </c>
      <c r="BD15" s="52">
        <f t="shared" si="20"/>
        <v>7.2194875678404546E-2</v>
      </c>
      <c r="BE15" s="52">
        <f t="shared" si="20"/>
        <v>0.14051925679832666</v>
      </c>
      <c r="BF15" s="112">
        <f t="shared" si="20"/>
        <v>6.9866286104303121E-2</v>
      </c>
      <c r="BG15" s="52">
        <f t="shared" si="20"/>
        <v>9.6913220733838124E-2</v>
      </c>
      <c r="BH15" s="52">
        <f t="shared" si="20"/>
        <v>9.9557522123893794E-2</v>
      </c>
      <c r="BI15" s="52">
        <f t="shared" si="20"/>
        <v>7.6868746321365533E-2</v>
      </c>
      <c r="BJ15" s="52">
        <f t="shared" si="20"/>
        <v>4.7254288488510099E-2</v>
      </c>
      <c r="BK15" s="112">
        <f t="shared" si="20"/>
        <v>7.9251848629839028E-2</v>
      </c>
      <c r="BL15" s="52">
        <f t="shared" si="20"/>
        <v>7.2103642348943398E-2</v>
      </c>
      <c r="BM15" s="52">
        <f t="shared" si="20"/>
        <v>0.10038005812653705</v>
      </c>
      <c r="BN15" s="52">
        <f t="shared" si="20"/>
        <v>5.1158723218189817E-2</v>
      </c>
      <c r="BO15" s="52">
        <f t="shared" si="20"/>
        <v>-0.38065313691150715</v>
      </c>
      <c r="BP15" s="112">
        <f t="shared" si="20"/>
        <v>-4.4333387070772168E-2</v>
      </c>
      <c r="BQ15" s="52">
        <f t="shared" ref="BQ15:BZ15" si="21">+BQ14/BL14-1</f>
        <v>-7.7258320126782909E-3</v>
      </c>
      <c r="BR15" s="52">
        <f t="shared" si="21"/>
        <v>9.1121495327102897E-2</v>
      </c>
      <c r="BS15" s="52">
        <f t="shared" si="21"/>
        <v>1.6326955074875249E-2</v>
      </c>
      <c r="BT15" s="52">
        <f t="shared" si="21"/>
        <v>0.95625415834996663</v>
      </c>
      <c r="BU15" s="112">
        <f t="shared" si="21"/>
        <v>0.18907444894286995</v>
      </c>
      <c r="BV15" s="52">
        <f t="shared" si="21"/>
        <v>0.16190856458374925</v>
      </c>
      <c r="BW15" s="52">
        <f t="shared" si="21"/>
        <v>6.9825900754119097E-3</v>
      </c>
      <c r="BX15" s="52">
        <f t="shared" si="21"/>
        <v>5.6277499232579631E-2</v>
      </c>
      <c r="BY15" s="52">
        <f t="shared" si="21"/>
        <v>-8.8427854774253412E-3</v>
      </c>
      <c r="BZ15" s="112">
        <f t="shared" si="21"/>
        <v>5.0670323694228303E-2</v>
      </c>
      <c r="CA15" s="52">
        <f t="shared" ref="CA15" si="22">+CA14/BV14-1</f>
        <v>3.5051546391752675E-2</v>
      </c>
      <c r="CB15" s="52">
        <f t="shared" ref="CB15:CE15" si="23">+CB14/BW14-1</f>
        <v>0.17640532544378695</v>
      </c>
      <c r="CC15" s="52">
        <f t="shared" si="23"/>
        <v>0.13978494623655924</v>
      </c>
      <c r="CD15" s="52">
        <f t="shared" si="23"/>
        <v>4.8726087329501677E-2</v>
      </c>
      <c r="CE15" s="112">
        <f t="shared" si="23"/>
        <v>9.7376001440273585E-2</v>
      </c>
      <c r="CF15" s="52">
        <f t="shared" ref="CF15" si="24">+CF14/CA14-1</f>
        <v>2.5315405046480777E-2</v>
      </c>
      <c r="CG15" s="52">
        <f t="shared" ref="CG15:CH15" si="25">+CG14/CB14-1</f>
        <v>1.1631562401760442E-2</v>
      </c>
      <c r="CH15" s="52">
        <f t="shared" si="25"/>
        <v>1.5468298487166354E-2</v>
      </c>
      <c r="CI15" s="52">
        <f t="shared" ref="CI15" si="26">+CI14/CD14-1</f>
        <v>-6.2167689161554129E-3</v>
      </c>
      <c r="CJ15" s="112">
        <f t="shared" ref="CJ15" si="27">+CJ14/CE14-1</f>
        <v>1.1463609704079003E-2</v>
      </c>
      <c r="CK15" s="52">
        <f t="shared" ref="CK15:CL15" si="28">+CK14/CF14-1</f>
        <v>-0.10054237836962676</v>
      </c>
      <c r="CL15" s="52">
        <f t="shared" si="28"/>
        <v>-7.1628340584213746E-2</v>
      </c>
      <c r="CM15" s="52">
        <f t="shared" ref="CM15" si="29">+CM14/CH14-1</f>
        <v>-8.8550385001673892E-2</v>
      </c>
      <c r="CN15" s="52">
        <f t="shared" ref="CN15" si="30">+CN14/CI14-1</f>
        <v>-0.11408346365956046</v>
      </c>
      <c r="CO15" s="112">
        <f t="shared" ref="CO15:CQ15" si="31">+CO14/CJ14-1</f>
        <v>-9.3426868334617441E-2</v>
      </c>
      <c r="CP15" s="52">
        <f t="shared" si="31"/>
        <v>2.2590225902259009E-2</v>
      </c>
      <c r="CQ15" s="52">
        <f t="shared" si="31"/>
        <v>1.4560669456066933E-2</v>
      </c>
      <c r="CR15" s="52">
        <f t="shared" ref="CR15" si="32">+CR14/CM14-1</f>
        <v>1.120293847566578E-2</v>
      </c>
      <c r="CS15" s="52">
        <f t="shared" ref="CS15" si="33">+CS14/CN14-1</f>
        <v>-3.6235250394871521E-3</v>
      </c>
      <c r="CT15" s="112">
        <f t="shared" ref="CT15" si="34">+CT14/CO14-1</f>
        <v>1.1361094959073226E-2</v>
      </c>
      <c r="CU15" s="52">
        <f t="shared" ref="CU15" si="35">+CU14/CP14-1</f>
        <v>-3.6085196268262676E-2</v>
      </c>
      <c r="CV15" s="52">
        <f t="shared" ref="CV15" si="36">+CV14/CQ14-1</f>
        <v>-0.12132151600131957</v>
      </c>
      <c r="CW15" s="52">
        <f t="shared" ref="CW15" si="37">+CW14/CR14-1</f>
        <v>-8.3292480021794568E-2</v>
      </c>
      <c r="CX15" s="52">
        <f t="shared" ref="CX15" si="38">+CX14/CS14-1</f>
        <v>-9.677887262215612E-2</v>
      </c>
      <c r="CY15" s="112">
        <f t="shared" ref="CY15" si="39">+CY14/CT14-1</f>
        <v>-8.4825427446818091E-2</v>
      </c>
      <c r="CZ15" s="52">
        <f t="shared" ref="CZ15" si="40">+CZ14/CU14-1</f>
        <v>-7.9767822315558901E-2</v>
      </c>
      <c r="DA15" s="52">
        <f t="shared" ref="DA15" si="41">+DA14/CV14-1</f>
        <v>-4.7576654486291448E-2</v>
      </c>
      <c r="DB15" s="52">
        <f t="shared" ref="DB15" si="42">+DB14/CW14-1</f>
        <v>-2.7351963242408184E-2</v>
      </c>
      <c r="DC15" s="52">
        <f t="shared" ref="DC15" si="43">+DC14/CX14-1</f>
        <v>-2.5763334659375525E-2</v>
      </c>
      <c r="DD15" s="112">
        <f t="shared" ref="DD15" si="44">+DD14/CY14-1</f>
        <v>-4.6056983353857994E-2</v>
      </c>
      <c r="DE15" s="52">
        <f t="shared" ref="DE15" si="45">+DE14/CZ14-1</f>
        <v>5.7763035099478444E-4</v>
      </c>
      <c r="DF15" s="52">
        <f t="shared" ref="DF15" si="46">+DF14/DA14-1</f>
        <v>1.9419150108686001E-3</v>
      </c>
      <c r="DG15" s="52">
        <f t="shared" ref="DG15" si="47">+DG14/DB14-1</f>
        <v>7.03215365703036E-3</v>
      </c>
      <c r="DH15" s="52">
        <f t="shared" ref="DH15" si="48">+DH14/DC14-1</f>
        <v>7.2887774800947103E-3</v>
      </c>
      <c r="DI15" s="112">
        <f t="shared" ref="DI15" si="49">+DI14/DD14-1</f>
        <v>4.137608440230256E-3</v>
      </c>
    </row>
    <row r="16" spans="1:113" s="529" customFormat="1" ht="12" customHeight="1">
      <c r="A16" s="525" t="str">
        <f t="shared" si="0"/>
        <v xml:space="preserve"> </v>
      </c>
      <c r="B16" s="526" t="s">
        <v>172</v>
      </c>
      <c r="C16" s="379" t="s">
        <v>1</v>
      </c>
      <c r="D16" s="378" t="s">
        <v>1</v>
      </c>
      <c r="E16" s="379" t="s">
        <v>1</v>
      </c>
      <c r="F16" s="378" t="s">
        <v>1</v>
      </c>
      <c r="G16" s="379" t="s">
        <v>1</v>
      </c>
      <c r="H16" s="378" t="s">
        <v>1</v>
      </c>
      <c r="I16" s="379" t="s">
        <v>1</v>
      </c>
      <c r="J16" s="378" t="s">
        <v>1</v>
      </c>
      <c r="K16" s="379" t="s">
        <v>1</v>
      </c>
      <c r="L16" s="378" t="s">
        <v>1</v>
      </c>
      <c r="M16" s="379" t="s">
        <v>1</v>
      </c>
      <c r="N16" s="378" t="s">
        <v>1</v>
      </c>
      <c r="O16" s="379" t="s">
        <v>1</v>
      </c>
      <c r="P16" s="527" t="s">
        <v>1</v>
      </c>
      <c r="Q16" s="528" t="s">
        <v>1</v>
      </c>
      <c r="R16" s="378" t="s">
        <v>126</v>
      </c>
      <c r="S16" s="522" t="s">
        <v>126</v>
      </c>
      <c r="T16" s="522" t="s">
        <v>126</v>
      </c>
      <c r="U16" s="522" t="s">
        <v>126</v>
      </c>
      <c r="V16" s="492" t="s">
        <v>126</v>
      </c>
      <c r="W16" s="378" t="s">
        <v>126</v>
      </c>
      <c r="X16" s="522" t="s">
        <v>126</v>
      </c>
      <c r="Y16" s="522" t="s">
        <v>126</v>
      </c>
      <c r="Z16" s="522" t="s">
        <v>126</v>
      </c>
      <c r="AA16" s="492" t="s">
        <v>126</v>
      </c>
      <c r="AB16" s="492"/>
      <c r="AC16" s="378" t="s">
        <v>126</v>
      </c>
      <c r="AD16" s="522" t="s">
        <v>126</v>
      </c>
      <c r="AE16" s="522" t="s">
        <v>126</v>
      </c>
      <c r="AF16" s="522" t="s">
        <v>126</v>
      </c>
      <c r="AG16" s="492" t="s">
        <v>126</v>
      </c>
      <c r="AH16" s="378" t="s">
        <v>126</v>
      </c>
      <c r="AI16" s="522" t="s">
        <v>126</v>
      </c>
      <c r="AJ16" s="522" t="s">
        <v>126</v>
      </c>
      <c r="AK16" s="522" t="s">
        <v>126</v>
      </c>
      <c r="AL16" s="492" t="s">
        <v>126</v>
      </c>
      <c r="AM16" s="378" t="s">
        <v>126</v>
      </c>
      <c r="AN16" s="522" t="s">
        <v>126</v>
      </c>
      <c r="AO16" s="522" t="s">
        <v>126</v>
      </c>
      <c r="AP16" s="522" t="s">
        <v>126</v>
      </c>
      <c r="AQ16" s="112">
        <v>0.14000000000000001</v>
      </c>
      <c r="AR16" s="52">
        <v>0.15</v>
      </c>
      <c r="AS16" s="52">
        <v>0.13</v>
      </c>
      <c r="AT16" s="52">
        <v>0.15</v>
      </c>
      <c r="AU16" s="52">
        <v>0.09</v>
      </c>
      <c r="AV16" s="112">
        <v>0.13</v>
      </c>
      <c r="AW16" s="52">
        <v>0.1</v>
      </c>
      <c r="AX16" s="52">
        <v>8.1200176507208566E-2</v>
      </c>
      <c r="AY16" s="52">
        <v>7.0000000000000007E-2</v>
      </c>
      <c r="AZ16" s="52">
        <v>7.0000000000000007E-2</v>
      </c>
      <c r="BA16" s="112">
        <v>0.08</v>
      </c>
      <c r="BB16" s="52">
        <v>0.02</v>
      </c>
      <c r="BC16" s="52">
        <v>0.04</v>
      </c>
      <c r="BD16" s="52">
        <v>0.04</v>
      </c>
      <c r="BE16" s="52">
        <v>0.09</v>
      </c>
      <c r="BF16" s="112">
        <f>(BA182*BF184+BA251*BF253+BA320*BF322+BA389*BF391+BA458*BF459)/BA14</f>
        <v>4.790494214004281E-2</v>
      </c>
      <c r="BG16" s="52">
        <v>0.1</v>
      </c>
      <c r="BH16" s="52">
        <v>0.14000000000000001</v>
      </c>
      <c r="BI16" s="52">
        <v>0.12</v>
      </c>
      <c r="BJ16" s="52">
        <v>0.1</v>
      </c>
      <c r="BK16" s="112">
        <f>(BF182*BK184+BF251*BK253+BF320*BK322+BF389*BK391+BF458*BK459)/BF14</f>
        <v>0.1153733507322024</v>
      </c>
      <c r="BL16" s="52">
        <v>0.1</v>
      </c>
      <c r="BM16" s="52">
        <v>0.12</v>
      </c>
      <c r="BN16" s="52">
        <v>0.06</v>
      </c>
      <c r="BO16" s="52">
        <v>-0.36</v>
      </c>
      <c r="BP16" s="112">
        <f>(BK182*BP184+BK251*BP253+BK320*BP322+BK389*BP391+BK458*BP459)/BK14</f>
        <v>-2.2481863614380131E-2</v>
      </c>
      <c r="BQ16" s="52">
        <v>0</v>
      </c>
      <c r="BR16" s="52">
        <v>0.08</v>
      </c>
      <c r="BS16" s="52">
        <v>-0.02</v>
      </c>
      <c r="BT16" s="52">
        <v>0.88</v>
      </c>
      <c r="BU16" s="112">
        <f>(BP182*BU184+BP251*BU253+BP320*BU322+BP389*BU391+BP458*BU459)/BP14</f>
        <v>0.16847672064777328</v>
      </c>
      <c r="BV16" s="52">
        <v>0.12</v>
      </c>
      <c r="BW16" s="52">
        <v>0</v>
      </c>
      <c r="BX16" s="52">
        <v>0.08</v>
      </c>
      <c r="BY16" s="52">
        <v>0.03</v>
      </c>
      <c r="BZ16" s="112">
        <f>(BU182*BZ184+BU251*BZ253+BU320*BZ322+BU389*BZ391+BU458*BZ459)/BU14</f>
        <v>5.5277232638970983E-2</v>
      </c>
      <c r="CA16" s="52">
        <v>0.1</v>
      </c>
      <c r="CB16" s="52">
        <v>0.28000000000000003</v>
      </c>
      <c r="CC16" s="52">
        <v>0.19</v>
      </c>
      <c r="CD16" s="52">
        <v>0.08</v>
      </c>
      <c r="CE16" s="112">
        <f>(BZ182*CE184+BZ251*CE253+BZ320*CE322+BZ389*CE391+BZ458*CE459)/BZ14</f>
        <v>0.159970969484202</v>
      </c>
      <c r="CF16" s="52">
        <v>0.03</v>
      </c>
      <c r="CG16" s="52">
        <v>0</v>
      </c>
      <c r="CH16" s="52">
        <v>0.02</v>
      </c>
      <c r="CI16" s="52">
        <v>0.01</v>
      </c>
      <c r="CJ16" s="112">
        <f>(CE182*CJ184+CE251*CJ253+CE320*CJ322+CE389*CJ391+CE458*CJ459)/CE14</f>
        <v>1.5908373151774912E-2</v>
      </c>
      <c r="CK16" s="52">
        <v>-0.09</v>
      </c>
      <c r="CL16" s="52">
        <v>-0.08</v>
      </c>
      <c r="CM16" s="52">
        <v>-0.06</v>
      </c>
      <c r="CN16" s="52">
        <v>-0.11</v>
      </c>
      <c r="CO16" s="112">
        <f>(CJ182*CO184+CJ251*CO253+CJ320*CO322+CJ389*CO391+CJ458*CO459)/CJ14</f>
        <v>-8.6392279307408462E-2</v>
      </c>
      <c r="CP16" s="52">
        <v>0</v>
      </c>
      <c r="CQ16" s="52">
        <v>0.01</v>
      </c>
      <c r="CR16" s="52">
        <v>-0.02</v>
      </c>
      <c r="CS16" s="52">
        <v>-0.03</v>
      </c>
      <c r="CT16" s="112">
        <f>(CO182*CT184+CO251*CT253+CO320*CT322+CO389*CT391+CO458*CT459)/CO14</f>
        <v>-8.8580757704522124E-3</v>
      </c>
      <c r="CU16" s="52">
        <v>-0.04</v>
      </c>
      <c r="CV16" s="52">
        <f t="shared" ref="CV16:DI16" si="50">(CQ182*CV184+CQ251*CV253+CQ320*CV322+CQ389*CV391+CQ458*CV459)/CQ14</f>
        <v>-0.12120669745958428</v>
      </c>
      <c r="CW16" s="52">
        <f t="shared" si="50"/>
        <v>-7.875771885216136E-2</v>
      </c>
      <c r="CX16" s="52">
        <f t="shared" si="50"/>
        <v>-9.089798582618433E-2</v>
      </c>
      <c r="CY16" s="112">
        <f t="shared" si="50"/>
        <v>-8.3451638582990609E-2</v>
      </c>
      <c r="CZ16" s="52">
        <f t="shared" si="50"/>
        <v>-7.7510043827611438E-2</v>
      </c>
      <c r="DA16" s="52">
        <f t="shared" si="50"/>
        <v>-4.7576654486291323E-2</v>
      </c>
      <c r="DB16" s="52">
        <f t="shared" si="50"/>
        <v>-2.7351963242408291E-2</v>
      </c>
      <c r="DC16" s="52">
        <f t="shared" si="50"/>
        <v>-2.5763334659375497E-2</v>
      </c>
      <c r="DD16" s="112">
        <f t="shared" si="50"/>
        <v>-4.5459506541654274E-2</v>
      </c>
      <c r="DE16" s="52">
        <f t="shared" si="50"/>
        <v>5.776303509947672E-4</v>
      </c>
      <c r="DF16" s="52">
        <f t="shared" si="50"/>
        <v>1.941915010868607E-3</v>
      </c>
      <c r="DG16" s="52">
        <f t="shared" si="50"/>
        <v>7.0321536570302429E-3</v>
      </c>
      <c r="DH16" s="52">
        <f t="shared" si="50"/>
        <v>7.2887774800944423E-3</v>
      </c>
      <c r="DI16" s="112">
        <f t="shared" si="50"/>
        <v>4.1376084402302421E-3</v>
      </c>
    </row>
    <row r="17" spans="1:113" s="3" customFormat="1" ht="12" customHeight="1">
      <c r="A17" s="219" t="str">
        <f t="shared" si="0"/>
        <v xml:space="preserve"> </v>
      </c>
      <c r="B17" s="491" t="s">
        <v>141</v>
      </c>
      <c r="C17" s="391" t="s">
        <v>1</v>
      </c>
      <c r="D17" s="399" t="s">
        <v>1</v>
      </c>
      <c r="E17" s="391" t="s">
        <v>1</v>
      </c>
      <c r="F17" s="399" t="s">
        <v>1</v>
      </c>
      <c r="G17" s="391" t="s">
        <v>1</v>
      </c>
      <c r="H17" s="399" t="s">
        <v>1</v>
      </c>
      <c r="I17" s="391" t="s">
        <v>1</v>
      </c>
      <c r="J17" s="399" t="s">
        <v>1</v>
      </c>
      <c r="K17" s="391" t="s">
        <v>1</v>
      </c>
      <c r="L17" s="399" t="s">
        <v>1</v>
      </c>
      <c r="M17" s="391" t="s">
        <v>1</v>
      </c>
      <c r="N17" s="399" t="s">
        <v>1</v>
      </c>
      <c r="O17" s="391" t="s">
        <v>1</v>
      </c>
      <c r="P17" s="520" t="s">
        <v>1</v>
      </c>
      <c r="Q17" s="521" t="s">
        <v>1</v>
      </c>
      <c r="R17" s="378" t="s">
        <v>126</v>
      </c>
      <c r="S17" s="522" t="s">
        <v>126</v>
      </c>
      <c r="T17" s="522" t="s">
        <v>126</v>
      </c>
      <c r="U17" s="522" t="s">
        <v>126</v>
      </c>
      <c r="V17" s="492" t="s">
        <v>126</v>
      </c>
      <c r="W17" s="378" t="s">
        <v>126</v>
      </c>
      <c r="X17" s="522" t="s">
        <v>126</v>
      </c>
      <c r="Y17" s="522" t="s">
        <v>126</v>
      </c>
      <c r="Z17" s="522" t="s">
        <v>126</v>
      </c>
      <c r="AA17" s="492" t="s">
        <v>126</v>
      </c>
      <c r="AB17" s="492"/>
      <c r="AC17" s="378" t="s">
        <v>126</v>
      </c>
      <c r="AD17" s="522" t="s">
        <v>126</v>
      </c>
      <c r="AE17" s="522" t="s">
        <v>126</v>
      </c>
      <c r="AF17" s="522" t="s">
        <v>126</v>
      </c>
      <c r="AG17" s="492" t="s">
        <v>126</v>
      </c>
      <c r="AH17" s="378" t="s">
        <v>126</v>
      </c>
      <c r="AI17" s="522" t="s">
        <v>126</v>
      </c>
      <c r="AJ17" s="522" t="s">
        <v>126</v>
      </c>
      <c r="AK17" s="522" t="s">
        <v>126</v>
      </c>
      <c r="AL17" s="492" t="s">
        <v>126</v>
      </c>
      <c r="AM17" s="378" t="s">
        <v>126</v>
      </c>
      <c r="AN17" s="522" t="s">
        <v>126</v>
      </c>
      <c r="AO17" s="522" t="s">
        <v>126</v>
      </c>
      <c r="AP17" s="522" t="s">
        <v>126</v>
      </c>
      <c r="AQ17" s="112">
        <f t="shared" ref="AQ17:BP17" si="51">(1+AQ15)/(1+AQ16)-1</f>
        <v>-3.5833494582043435E-2</v>
      </c>
      <c r="AR17" s="52">
        <f t="shared" si="51"/>
        <v>-7.4541694251917257E-2</v>
      </c>
      <c r="AS17" s="52">
        <f t="shared" si="51"/>
        <v>-6.95184309616248E-2</v>
      </c>
      <c r="AT17" s="52">
        <f t="shared" si="51"/>
        <v>-5.1736561464187814E-2</v>
      </c>
      <c r="AU17" s="52">
        <f t="shared" si="51"/>
        <v>-3.9940942386514244E-2</v>
      </c>
      <c r="AV17" s="112">
        <f t="shared" si="51"/>
        <v>-5.9358728520143456E-2</v>
      </c>
      <c r="AW17" s="52">
        <f t="shared" si="51"/>
        <v>-2.6335781210433118E-2</v>
      </c>
      <c r="AX17" s="52">
        <f t="shared" si="51"/>
        <v>-2.3655459452109229E-2</v>
      </c>
      <c r="AY17" s="52">
        <f t="shared" si="51"/>
        <v>-2.1451976054412292E-2</v>
      </c>
      <c r="AZ17" s="52">
        <f t="shared" si="51"/>
        <v>-1.6786135559386794E-2</v>
      </c>
      <c r="BA17" s="112">
        <f t="shared" si="51"/>
        <v>-2.1687797214725579E-2</v>
      </c>
      <c r="BB17" s="52">
        <f t="shared" si="51"/>
        <v>-5.0045316625290104E-3</v>
      </c>
      <c r="BC17" s="52">
        <f t="shared" si="51"/>
        <v>1.2827152133211284E-2</v>
      </c>
      <c r="BD17" s="52">
        <f t="shared" si="51"/>
        <v>3.0956611229235209E-2</v>
      </c>
      <c r="BE17" s="52">
        <f>(1+BE15)/(1+BE16)-1</f>
        <v>4.6347942016813359E-2</v>
      </c>
      <c r="BF17" s="112">
        <f t="shared" si="51"/>
        <v>2.0957381801645747E-2</v>
      </c>
      <c r="BG17" s="52">
        <f>(1+BG15)/(1+BG16)-1</f>
        <v>-2.8061629692381906E-3</v>
      </c>
      <c r="BH17" s="52">
        <f t="shared" si="51"/>
        <v>-3.5475857786058218E-2</v>
      </c>
      <c r="BI17" s="52">
        <f>(1+BI15)/(1+BI16)-1</f>
        <v>-3.8510047927352242E-2</v>
      </c>
      <c r="BJ17" s="52">
        <f>(1+BJ15)/(1+BJ16)-1</f>
        <v>-4.7950646828627264E-2</v>
      </c>
      <c r="BK17" s="112">
        <f t="shared" si="51"/>
        <v>-3.2385122056798998E-2</v>
      </c>
      <c r="BL17" s="52">
        <f t="shared" si="51"/>
        <v>-2.5360325137324224E-2</v>
      </c>
      <c r="BM17" s="52">
        <f t="shared" si="51"/>
        <v>-1.7517805244163465E-2</v>
      </c>
      <c r="BN17" s="52">
        <f t="shared" si="51"/>
        <v>-8.3408271526511646E-3</v>
      </c>
      <c r="BO17" s="52">
        <f t="shared" si="51"/>
        <v>-3.2270526424229895E-2</v>
      </c>
      <c r="BP17" s="112">
        <f t="shared" si="51"/>
        <v>-2.2354084945357844E-2</v>
      </c>
      <c r="BQ17" s="52">
        <f t="shared" ref="BQ17:BZ17" si="52">(1+BQ15)/(1+BQ16)-1</f>
        <v>-7.7258320126782909E-3</v>
      </c>
      <c r="BR17" s="52">
        <f t="shared" si="52"/>
        <v>1.0297680858428526E-2</v>
      </c>
      <c r="BS17" s="52">
        <f t="shared" ref="BS17" si="53">(1+BS15)/(1+BS16)-1</f>
        <v>3.7068321504974744E-2</v>
      </c>
      <c r="BT17" s="52">
        <f t="shared" si="52"/>
        <v>4.0560722526578052E-2</v>
      </c>
      <c r="BU17" s="112">
        <f t="shared" si="52"/>
        <v>1.7627846521133694E-2</v>
      </c>
      <c r="BV17" s="52">
        <f t="shared" si="52"/>
        <v>3.7418361235490361E-2</v>
      </c>
      <c r="BW17" s="52">
        <f t="shared" si="52"/>
        <v>6.9825900754119097E-3</v>
      </c>
      <c r="BX17" s="52">
        <f t="shared" si="52"/>
        <v>-2.196527848835228E-2</v>
      </c>
      <c r="BY17" s="52">
        <f t="shared" si="52"/>
        <v>-3.7711442211092572E-2</v>
      </c>
      <c r="BZ17" s="112">
        <f t="shared" si="52"/>
        <v>-4.3655911472874065E-3</v>
      </c>
      <c r="CA17" s="52">
        <f t="shared" ref="CA17" si="54">(1+CA15)/(1+CA16)-1</f>
        <v>-5.9044048734770427E-2</v>
      </c>
      <c r="CB17" s="52">
        <f t="shared" ref="CB17:CE17" si="55">(1+CB15)/(1+CB16)-1</f>
        <v>-8.0933339497041512E-2</v>
      </c>
      <c r="CC17" s="52">
        <f t="shared" si="55"/>
        <v>-4.2197524170958567E-2</v>
      </c>
      <c r="CD17" s="52">
        <f t="shared" si="55"/>
        <v>-2.8957326546757756E-2</v>
      </c>
      <c r="CE17" s="112">
        <f t="shared" si="55"/>
        <v>-5.396252983103722E-2</v>
      </c>
      <c r="CF17" s="52">
        <f t="shared" ref="CF17:CJ17" si="56">(1+CF15)/(1+CF16)-1</f>
        <v>-4.5481504403099837E-3</v>
      </c>
      <c r="CG17" s="52">
        <f t="shared" si="56"/>
        <v>1.1631562401760442E-2</v>
      </c>
      <c r="CH17" s="52">
        <f t="shared" si="56"/>
        <v>-4.4428446204252126E-3</v>
      </c>
      <c r="CI17" s="52">
        <f t="shared" si="56"/>
        <v>-1.6056206847678611E-2</v>
      </c>
      <c r="CJ17" s="112">
        <f t="shared" si="56"/>
        <v>-4.375161742103062E-3</v>
      </c>
      <c r="CK17" s="52">
        <f t="shared" ref="CK17:CL17" si="57">(1+CK15)/(1+CK16)-1</f>
        <v>-1.1585031175414096E-2</v>
      </c>
      <c r="CL17" s="52">
        <f t="shared" si="57"/>
        <v>9.099629799767639E-3</v>
      </c>
      <c r="CM17" s="52">
        <f t="shared" ref="CM17:CQ17" si="58">(1+CM15)/(1+CM16)-1</f>
        <v>-3.0372750001780635E-2</v>
      </c>
      <c r="CN17" s="52">
        <f t="shared" si="58"/>
        <v>-4.5881614152364358E-3</v>
      </c>
      <c r="CO17" s="112">
        <f t="shared" si="58"/>
        <v>-7.6997915712404552E-3</v>
      </c>
      <c r="CP17" s="52">
        <f t="shared" si="58"/>
        <v>2.2590225902259009E-2</v>
      </c>
      <c r="CQ17" s="52">
        <f t="shared" si="58"/>
        <v>4.5155143129376185E-3</v>
      </c>
      <c r="CR17" s="52">
        <f t="shared" ref="CR17:CT17" si="59">(1+CR15)/(1+CR16)-1</f>
        <v>3.1839733138434578E-2</v>
      </c>
      <c r="CS17" s="52">
        <f t="shared" si="59"/>
        <v>2.7192242227332963E-2</v>
      </c>
      <c r="CT17" s="112">
        <f t="shared" si="59"/>
        <v>2.0399874362334591E-2</v>
      </c>
      <c r="CU17" s="52">
        <f t="shared" ref="CU17:CY17" si="60">(1+CU15)/(1+CU16)-1</f>
        <v>4.0779205538929997E-3</v>
      </c>
      <c r="CV17" s="52">
        <f t="shared" si="60"/>
        <v>-1.3065477559215388E-4</v>
      </c>
      <c r="CW17" s="52">
        <f t="shared" si="60"/>
        <v>-4.9224414276590744E-3</v>
      </c>
      <c r="CX17" s="52">
        <f t="shared" si="60"/>
        <v>-6.4688964541743665E-3</v>
      </c>
      <c r="CY17" s="112">
        <f t="shared" si="60"/>
        <v>-1.4988722053941306E-3</v>
      </c>
      <c r="CZ17" s="52">
        <f t="shared" ref="CZ17:DD17" si="61">(1+CZ15)/(1+CZ16)-1</f>
        <v>-2.4474830027586547E-3</v>
      </c>
      <c r="DA17" s="52">
        <f t="shared" si="61"/>
        <v>0</v>
      </c>
      <c r="DB17" s="52">
        <f t="shared" si="61"/>
        <v>0</v>
      </c>
      <c r="DC17" s="52">
        <f t="shared" si="61"/>
        <v>0</v>
      </c>
      <c r="DD17" s="112">
        <f t="shared" si="61"/>
        <v>-6.2593134214661283E-4</v>
      </c>
      <c r="DE17" s="52">
        <f t="shared" ref="DE17:DI17" si="62">(1+DE15)/(1+DE16)-1</f>
        <v>0</v>
      </c>
      <c r="DF17" s="52">
        <f t="shared" si="62"/>
        <v>0</v>
      </c>
      <c r="DG17" s="52">
        <f t="shared" si="62"/>
        <v>0</v>
      </c>
      <c r="DH17" s="52">
        <f t="shared" si="62"/>
        <v>0</v>
      </c>
      <c r="DI17" s="112">
        <f t="shared" si="62"/>
        <v>0</v>
      </c>
    </row>
    <row r="18" spans="1:113" ht="12" customHeight="1">
      <c r="A18" s="219" t="str">
        <f t="shared" si="0"/>
        <v xml:space="preserve"> </v>
      </c>
      <c r="B18" s="17" t="s">
        <v>100</v>
      </c>
      <c r="C18" s="40" t="str">
        <f>+'2. Consolidated'!C15</f>
        <v xml:space="preserve">-- </v>
      </c>
      <c r="D18" s="39" t="str">
        <f>+'2. Consolidated'!D15</f>
        <v xml:space="preserve">-- </v>
      </c>
      <c r="E18" s="40" t="str">
        <f>+'2. Consolidated'!E15</f>
        <v xml:space="preserve">-- </v>
      </c>
      <c r="F18" s="39" t="str">
        <f>+'2. Consolidated'!F15</f>
        <v xml:space="preserve">-- </v>
      </c>
      <c r="G18" s="40" t="str">
        <f>+'2. Consolidated'!G15</f>
        <v xml:space="preserve">-- </v>
      </c>
      <c r="H18" s="39" t="str">
        <f>+'2. Consolidated'!H15</f>
        <v xml:space="preserve">-- </v>
      </c>
      <c r="I18" s="40" t="str">
        <f>+'2. Consolidated'!I15</f>
        <v xml:space="preserve">-- </v>
      </c>
      <c r="J18" s="39" t="str">
        <f>+'2. Consolidated'!J15</f>
        <v xml:space="preserve">-- </v>
      </c>
      <c r="K18" s="40" t="str">
        <f>+'2. Consolidated'!K15</f>
        <v xml:space="preserve">-- </v>
      </c>
      <c r="L18" s="39" t="str">
        <f>+'2. Consolidated'!L15</f>
        <v xml:space="preserve">-- </v>
      </c>
      <c r="M18" s="40" t="str">
        <f>+'2. Consolidated'!M15</f>
        <v xml:space="preserve">-- </v>
      </c>
      <c r="N18" s="39" t="str">
        <f>+'2. Consolidated'!N15</f>
        <v xml:space="preserve">-- </v>
      </c>
      <c r="O18" s="40" t="str">
        <f>+'2. Consolidated'!O15</f>
        <v xml:space="preserve">-- </v>
      </c>
      <c r="P18" s="39">
        <f>+'2. Consolidated'!P15</f>
        <v>2419</v>
      </c>
      <c r="Q18" s="40">
        <f>+'2. Consolidated'!Q15</f>
        <v>2529.5</v>
      </c>
      <c r="R18" s="43">
        <f>R483</f>
        <v>694</v>
      </c>
      <c r="S18" s="43">
        <f>S483</f>
        <v>639</v>
      </c>
      <c r="T18" s="43">
        <f>T483</f>
        <v>680</v>
      </c>
      <c r="U18" s="43">
        <f>U483</f>
        <v>773</v>
      </c>
      <c r="V18" s="36">
        <f>SUM(R18:U18)</f>
        <v>2786</v>
      </c>
      <c r="W18" s="43">
        <f>W483</f>
        <v>773</v>
      </c>
      <c r="X18" s="43">
        <f>X483</f>
        <v>673</v>
      </c>
      <c r="Y18" s="43">
        <f>Y483</f>
        <v>753</v>
      </c>
      <c r="Z18" s="43">
        <f>Z483</f>
        <v>896</v>
      </c>
      <c r="AA18" s="36">
        <f>SUM(W18:Z18)</f>
        <v>3095</v>
      </c>
      <c r="AB18" s="36"/>
      <c r="AC18" s="43">
        <f>AC483</f>
        <v>418</v>
      </c>
      <c r="AD18" s="43">
        <f>AD483</f>
        <v>316</v>
      </c>
      <c r="AE18" s="43">
        <f>AE483</f>
        <v>361</v>
      </c>
      <c r="AF18" s="43">
        <f>AF483</f>
        <v>354</v>
      </c>
      <c r="AG18" s="36">
        <f>SUM(AC18:AF18)</f>
        <v>1449</v>
      </c>
      <c r="AH18" s="43">
        <f>AH483</f>
        <v>494</v>
      </c>
      <c r="AI18" s="43">
        <f>AI483</f>
        <v>360</v>
      </c>
      <c r="AJ18" s="43">
        <f>AJ483</f>
        <v>420</v>
      </c>
      <c r="AK18" s="43">
        <f>AK483</f>
        <v>410</v>
      </c>
      <c r="AL18" s="36">
        <f>SUM(AH18:AK18)</f>
        <v>1684</v>
      </c>
      <c r="AM18" s="43">
        <f>AM483</f>
        <v>575</v>
      </c>
      <c r="AN18" s="43">
        <f>AN483</f>
        <v>434</v>
      </c>
      <c r="AO18" s="43">
        <f>AO483</f>
        <v>538</v>
      </c>
      <c r="AP18" s="43">
        <f>AP483</f>
        <v>435</v>
      </c>
      <c r="AQ18" s="36">
        <f>SUM(AM18:AP18)</f>
        <v>1982</v>
      </c>
      <c r="AR18" s="43">
        <f>AR483</f>
        <v>555</v>
      </c>
      <c r="AS18" s="43">
        <f>AS483</f>
        <v>398</v>
      </c>
      <c r="AT18" s="43">
        <f>AT483</f>
        <v>489</v>
      </c>
      <c r="AU18" s="43">
        <f>AU483</f>
        <v>513</v>
      </c>
      <c r="AV18" s="36">
        <f>SUM(AR18:AU18)</f>
        <v>1955</v>
      </c>
      <c r="AW18" s="43">
        <f>AW483</f>
        <v>574</v>
      </c>
      <c r="AX18" s="43">
        <f>AX483</f>
        <v>416</v>
      </c>
      <c r="AY18" s="43">
        <f>AY483</f>
        <v>498</v>
      </c>
      <c r="AZ18" s="43">
        <f>AZ483</f>
        <v>554</v>
      </c>
      <c r="BA18" s="36">
        <f>SUM(AW18:AZ18)</f>
        <v>2042</v>
      </c>
      <c r="BB18" s="43">
        <f>BB483</f>
        <v>483</v>
      </c>
      <c r="BC18" s="43">
        <f>BC483</f>
        <v>408</v>
      </c>
      <c r="BD18" s="43">
        <f>BD483</f>
        <v>483</v>
      </c>
      <c r="BE18" s="43">
        <f>BE483</f>
        <v>512</v>
      </c>
      <c r="BF18" s="36">
        <f>SUM(BB18:BE18)</f>
        <v>1886</v>
      </c>
      <c r="BG18" s="43">
        <f>BG483</f>
        <v>527</v>
      </c>
      <c r="BH18" s="43">
        <f>BH483</f>
        <v>425</v>
      </c>
      <c r="BI18" s="43">
        <f>BI483</f>
        <v>463</v>
      </c>
      <c r="BJ18" s="43">
        <f>BJ483</f>
        <v>491</v>
      </c>
      <c r="BK18" s="36">
        <f>SUM(BG18:BJ18)</f>
        <v>1906</v>
      </c>
      <c r="BL18" s="43">
        <f>BL483</f>
        <v>555</v>
      </c>
      <c r="BM18" s="43">
        <f>BM483</f>
        <v>480</v>
      </c>
      <c r="BN18" s="43">
        <f>BN483</f>
        <v>506</v>
      </c>
      <c r="BO18" s="43">
        <f>BO483</f>
        <v>305</v>
      </c>
      <c r="BP18" s="36">
        <f>SUM(BL18:BO18)</f>
        <v>1846</v>
      </c>
      <c r="BQ18" s="43">
        <f>BQ483</f>
        <v>563</v>
      </c>
      <c r="BR18" s="43">
        <f>BR483</f>
        <v>476</v>
      </c>
      <c r="BS18" s="43">
        <f>BS483</f>
        <v>570</v>
      </c>
      <c r="BT18" s="43">
        <f>BT483</f>
        <v>596</v>
      </c>
      <c r="BU18" s="36">
        <f>SUM(BQ18:BT18)</f>
        <v>2205</v>
      </c>
      <c r="BV18" s="43">
        <f>BV483</f>
        <v>629</v>
      </c>
      <c r="BW18" s="43">
        <f>BW483</f>
        <v>557</v>
      </c>
      <c r="BX18" s="43">
        <f>BX483</f>
        <v>567</v>
      </c>
      <c r="BY18" s="43">
        <f>BY483</f>
        <v>593</v>
      </c>
      <c r="BZ18" s="36">
        <f>SUM(BV18:BY18)</f>
        <v>2346</v>
      </c>
      <c r="CA18" s="43">
        <f>CA483</f>
        <v>643</v>
      </c>
      <c r="CB18" s="43">
        <f>CB483</f>
        <v>586</v>
      </c>
      <c r="CC18" s="43">
        <f>CC483</f>
        <v>612</v>
      </c>
      <c r="CD18" s="43">
        <f>CD483</f>
        <v>586</v>
      </c>
      <c r="CE18" s="36">
        <f>SUM(CA18:CD18)</f>
        <v>2427</v>
      </c>
      <c r="CF18" s="43">
        <f>CF483</f>
        <v>588</v>
      </c>
      <c r="CG18" s="43">
        <f>CG483</f>
        <v>519</v>
      </c>
      <c r="CH18" s="43">
        <f>CH483</f>
        <v>495</v>
      </c>
      <c r="CI18" s="43">
        <f>CI483</f>
        <v>480</v>
      </c>
      <c r="CJ18" s="36">
        <f>SUM(CF18:CI18)</f>
        <v>2082</v>
      </c>
      <c r="CK18" s="43">
        <f>CK483</f>
        <v>501</v>
      </c>
      <c r="CL18" s="43">
        <f>CL483</f>
        <v>429</v>
      </c>
      <c r="CM18" s="43">
        <f>CM483</f>
        <v>405</v>
      </c>
      <c r="CN18" s="43">
        <f>CN483</f>
        <v>357</v>
      </c>
      <c r="CO18" s="36">
        <f>SUM(CK18:CN18)</f>
        <v>1692</v>
      </c>
      <c r="CP18" s="43">
        <f>CP483</f>
        <v>366</v>
      </c>
      <c r="CQ18" s="43">
        <f>CQ483</f>
        <v>300</v>
      </c>
      <c r="CR18" s="43">
        <f>CR483</f>
        <v>264</v>
      </c>
      <c r="CS18" s="43">
        <f>CS483</f>
        <v>244</v>
      </c>
      <c r="CT18" s="36">
        <f>SUM(CP18:CS18)</f>
        <v>1174</v>
      </c>
      <c r="CU18" s="43">
        <f>CU483</f>
        <v>263</v>
      </c>
      <c r="CV18" s="43">
        <f>CV483</f>
        <v>225</v>
      </c>
      <c r="CW18" s="43">
        <f>CW483</f>
        <v>211.20000000000002</v>
      </c>
      <c r="CX18" s="43">
        <f>CX483</f>
        <v>195.20000000000002</v>
      </c>
      <c r="CY18" s="36">
        <f>SUM(CU18:CX18)</f>
        <v>894.40000000000009</v>
      </c>
      <c r="CZ18" s="43">
        <f>CZ483</f>
        <v>249.85</v>
      </c>
      <c r="DA18" s="43">
        <f>DA483</f>
        <v>213.75</v>
      </c>
      <c r="DB18" s="43">
        <f>DB483</f>
        <v>206.976</v>
      </c>
      <c r="DC18" s="43">
        <f>DC483</f>
        <v>191.29600000000002</v>
      </c>
      <c r="DD18" s="36">
        <f>SUM(CZ18:DC18)</f>
        <v>861.87200000000007</v>
      </c>
      <c r="DE18" s="43">
        <f>DE483</f>
        <v>249.85</v>
      </c>
      <c r="DF18" s="43">
        <f>DF483</f>
        <v>213.75</v>
      </c>
      <c r="DG18" s="43">
        <f>DG483</f>
        <v>206.976</v>
      </c>
      <c r="DH18" s="43">
        <f>DH483</f>
        <v>191.29600000000002</v>
      </c>
      <c r="DI18" s="36">
        <f>SUM(DE18:DH18)</f>
        <v>861.87200000000007</v>
      </c>
    </row>
    <row r="19" spans="1:113" ht="12" customHeight="1" thickBot="1">
      <c r="A19" s="219" t="str">
        <f t="shared" si="0"/>
        <v xml:space="preserve"> </v>
      </c>
      <c r="B19" s="532" t="s">
        <v>94</v>
      </c>
      <c r="C19" s="533" t="str">
        <f>+'2. Consolidated'!C16</f>
        <v xml:space="preserve">-- </v>
      </c>
      <c r="D19" s="534" t="str">
        <f>+'2. Consolidated'!D16</f>
        <v xml:space="preserve">-- </v>
      </c>
      <c r="E19" s="533" t="str">
        <f>+'2. Consolidated'!E16</f>
        <v xml:space="preserve">-- </v>
      </c>
      <c r="F19" s="534" t="str">
        <f>+'2. Consolidated'!F16</f>
        <v xml:space="preserve">-- </v>
      </c>
      <c r="G19" s="533" t="str">
        <f>+'2. Consolidated'!G16</f>
        <v xml:space="preserve">-- </v>
      </c>
      <c r="H19" s="534" t="str">
        <f>+'2. Consolidated'!H16</f>
        <v xml:space="preserve">-- </v>
      </c>
      <c r="I19" s="533" t="str">
        <f>+'2. Consolidated'!I16</f>
        <v xml:space="preserve">-- </v>
      </c>
      <c r="J19" s="534" t="str">
        <f>+'2. Consolidated'!J16</f>
        <v xml:space="preserve">-- </v>
      </c>
      <c r="K19" s="533" t="str">
        <f>+'2. Consolidated'!K16</f>
        <v xml:space="preserve">-- </v>
      </c>
      <c r="L19" s="534" t="str">
        <f>+'2. Consolidated'!L16</f>
        <v xml:space="preserve">-- </v>
      </c>
      <c r="M19" s="533" t="str">
        <f>+'2. Consolidated'!M16</f>
        <v xml:space="preserve">-- </v>
      </c>
      <c r="N19" s="534" t="str">
        <f>+'2. Consolidated'!N16</f>
        <v xml:space="preserve">-- </v>
      </c>
      <c r="O19" s="533" t="str">
        <f>+'2. Consolidated'!O16</f>
        <v xml:space="preserve">-- </v>
      </c>
      <c r="P19" s="534">
        <f>+'2. Consolidated'!P16</f>
        <v>0</v>
      </c>
      <c r="Q19" s="495">
        <f>+'2. Consolidated'!Q16</f>
        <v>-24.1</v>
      </c>
      <c r="R19" s="535">
        <f>R563</f>
        <v>-2</v>
      </c>
      <c r="S19" s="535">
        <f>S563</f>
        <v>-28</v>
      </c>
      <c r="T19" s="535">
        <f>T563</f>
        <v>-26</v>
      </c>
      <c r="U19" s="535">
        <f>U563</f>
        <v>-13</v>
      </c>
      <c r="V19" s="536">
        <f>SUM(R19:U19)</f>
        <v>-69</v>
      </c>
      <c r="W19" s="535">
        <f>W563</f>
        <v>-5</v>
      </c>
      <c r="X19" s="535">
        <f>X563</f>
        <v>-4</v>
      </c>
      <c r="Y19" s="535">
        <f>Y563</f>
        <v>-8</v>
      </c>
      <c r="Z19" s="535">
        <f>Z563</f>
        <v>-22</v>
      </c>
      <c r="AA19" s="536">
        <f>SUM(W19:Z19)</f>
        <v>-39</v>
      </c>
      <c r="AB19" s="536"/>
      <c r="AC19" s="535">
        <f>AC563</f>
        <v>-11</v>
      </c>
      <c r="AD19" s="535">
        <f>AD563</f>
        <v>-9</v>
      </c>
      <c r="AE19" s="535">
        <f>AE563</f>
        <v>-3</v>
      </c>
      <c r="AF19" s="535">
        <f>AF563</f>
        <v>6</v>
      </c>
      <c r="AG19" s="536">
        <f>SUM(AC19:AF19)</f>
        <v>-17</v>
      </c>
      <c r="AH19" s="535">
        <f>AH563</f>
        <v>9</v>
      </c>
      <c r="AI19" s="535">
        <f>AI563</f>
        <v>1</v>
      </c>
      <c r="AJ19" s="535">
        <f>AJ563</f>
        <v>-2</v>
      </c>
      <c r="AK19" s="535">
        <f>AK563</f>
        <v>-5</v>
      </c>
      <c r="AL19" s="536">
        <f>SUM(AH19:AK19)</f>
        <v>3</v>
      </c>
      <c r="AM19" s="535">
        <f>AM563</f>
        <v>-14</v>
      </c>
      <c r="AN19" s="535">
        <f>AN563</f>
        <v>-13</v>
      </c>
      <c r="AO19" s="535">
        <f>AO563</f>
        <v>-17</v>
      </c>
      <c r="AP19" s="535">
        <f>AP563</f>
        <v>-38</v>
      </c>
      <c r="AQ19" s="536">
        <f>SUM(AM19:AP19)</f>
        <v>-82</v>
      </c>
      <c r="AR19" s="535">
        <f>AR563</f>
        <v>-39</v>
      </c>
      <c r="AS19" s="535">
        <f>AS563</f>
        <v>-29</v>
      </c>
      <c r="AT19" s="535">
        <f>AT563</f>
        <v>-24</v>
      </c>
      <c r="AU19" s="535">
        <f>AU563</f>
        <v>6</v>
      </c>
      <c r="AV19" s="536">
        <f>SUM(AR19:AU19)</f>
        <v>-86</v>
      </c>
      <c r="AW19" s="535">
        <f>AW563</f>
        <v>28</v>
      </c>
      <c r="AX19" s="535">
        <f>AX563</f>
        <v>40</v>
      </c>
      <c r="AY19" s="535">
        <f>AY563</f>
        <v>11</v>
      </c>
      <c r="AZ19" s="535">
        <f>AZ563</f>
        <v>-4</v>
      </c>
      <c r="BA19" s="536">
        <f>SUM(AW19:AZ19)</f>
        <v>75</v>
      </c>
      <c r="BB19" s="535">
        <f>BB563</f>
        <v>2</v>
      </c>
      <c r="BC19" s="535">
        <f>BC563</f>
        <v>10</v>
      </c>
      <c r="BD19" s="535">
        <f>BD563</f>
        <v>6</v>
      </c>
      <c r="BE19" s="535">
        <f>BE563</f>
        <v>8</v>
      </c>
      <c r="BF19" s="536">
        <f>SUM(BB19:BE19)</f>
        <v>26</v>
      </c>
      <c r="BG19" s="535">
        <f>BG563</f>
        <v>4</v>
      </c>
      <c r="BH19" s="535">
        <f>BH563</f>
        <v>3</v>
      </c>
      <c r="BI19" s="535">
        <f>BI563</f>
        <v>0</v>
      </c>
      <c r="BJ19" s="535">
        <f>BJ563</f>
        <v>-14</v>
      </c>
      <c r="BK19" s="536">
        <f>SUM(BG19:BJ19)</f>
        <v>-7</v>
      </c>
      <c r="BL19" s="535">
        <f>BL563</f>
        <v>9</v>
      </c>
      <c r="BM19" s="535">
        <f>BM563</f>
        <v>2</v>
      </c>
      <c r="BN19" s="535">
        <f>BN563</f>
        <v>-18</v>
      </c>
      <c r="BO19" s="535">
        <f>BO563</f>
        <v>-4</v>
      </c>
      <c r="BP19" s="536">
        <f>SUM(BL19:BO19)</f>
        <v>-11</v>
      </c>
      <c r="BQ19" s="535">
        <f>BQ563</f>
        <v>13</v>
      </c>
      <c r="BR19" s="535">
        <f>BR563</f>
        <v>26</v>
      </c>
      <c r="BS19" s="535">
        <f>BS563</f>
        <v>14</v>
      </c>
      <c r="BT19" s="535">
        <f>BT563</f>
        <v>-13</v>
      </c>
      <c r="BU19" s="536">
        <f>SUM(BQ19:BT19)</f>
        <v>40</v>
      </c>
      <c r="BV19" s="535">
        <f>BV563</f>
        <v>-21</v>
      </c>
      <c r="BW19" s="535">
        <f>BW563</f>
        <v>-16</v>
      </c>
      <c r="BX19" s="535">
        <f>BX563</f>
        <v>-19</v>
      </c>
      <c r="BY19" s="535">
        <f>BY563</f>
        <v>-16</v>
      </c>
      <c r="BZ19" s="536">
        <f>SUM(BV19:BY19)</f>
        <v>-72</v>
      </c>
      <c r="CA19" s="535">
        <f>CA563</f>
        <v>-4</v>
      </c>
      <c r="CB19" s="535">
        <f>CB563</f>
        <v>5</v>
      </c>
      <c r="CC19" s="535">
        <f>CC563</f>
        <v>12</v>
      </c>
      <c r="CD19" s="535">
        <f>CD563</f>
        <v>14</v>
      </c>
      <c r="CE19" s="536">
        <f>SUM(CA19:CD19)</f>
        <v>27</v>
      </c>
      <c r="CF19" s="535">
        <f>CF563</f>
        <v>-2</v>
      </c>
      <c r="CG19" s="535">
        <f>CG563</f>
        <v>-3</v>
      </c>
      <c r="CH19" s="535">
        <f>CH563</f>
        <v>-14</v>
      </c>
      <c r="CI19" s="535">
        <f>CI563</f>
        <v>-23</v>
      </c>
      <c r="CJ19" s="536">
        <f>SUM(CF19:CI19)</f>
        <v>-42</v>
      </c>
      <c r="CK19" s="535">
        <f>CK563</f>
        <v>-23</v>
      </c>
      <c r="CL19" s="535">
        <f>CL563</f>
        <v>-25</v>
      </c>
      <c r="CM19" s="535">
        <f>CM563</f>
        <v>-26</v>
      </c>
      <c r="CN19" s="535">
        <f>CN563</f>
        <v>-23</v>
      </c>
      <c r="CO19" s="536">
        <f>SUM(CK19:CN19)</f>
        <v>-97</v>
      </c>
      <c r="CP19" s="535">
        <f>CP563</f>
        <v>-8</v>
      </c>
      <c r="CQ19" s="535">
        <f>CQ563</f>
        <v>3</v>
      </c>
      <c r="CR19" s="535">
        <f>CR563</f>
        <v>3</v>
      </c>
      <c r="CS19" s="535">
        <f>CS563</f>
        <v>4</v>
      </c>
      <c r="CT19" s="536">
        <f>SUM(CP19:CS19)</f>
        <v>2</v>
      </c>
      <c r="CU19" s="535">
        <f>CU563</f>
        <v>-2</v>
      </c>
      <c r="CV19" s="535">
        <f>CV563</f>
        <v>0</v>
      </c>
      <c r="CW19" s="535">
        <f>CW563</f>
        <v>0</v>
      </c>
      <c r="CX19" s="535">
        <f>CX563</f>
        <v>0</v>
      </c>
      <c r="CY19" s="536">
        <f>SUM(CU19:CX19)</f>
        <v>-2</v>
      </c>
      <c r="CZ19" s="535">
        <f>CZ563</f>
        <v>0</v>
      </c>
      <c r="DA19" s="535">
        <f>DA563</f>
        <v>0</v>
      </c>
      <c r="DB19" s="535">
        <f>DB563</f>
        <v>0</v>
      </c>
      <c r="DC19" s="535">
        <f>DC563</f>
        <v>0</v>
      </c>
      <c r="DD19" s="536">
        <f>SUM(CZ19:DC19)</f>
        <v>0</v>
      </c>
      <c r="DE19" s="535">
        <f>DE563</f>
        <v>0</v>
      </c>
      <c r="DF19" s="535">
        <f>DF563</f>
        <v>0</v>
      </c>
      <c r="DG19" s="535">
        <f>DG563</f>
        <v>0</v>
      </c>
      <c r="DH19" s="535">
        <f>DH563</f>
        <v>0</v>
      </c>
      <c r="DI19" s="536">
        <f>SUM(DE19:DH19)</f>
        <v>0</v>
      </c>
    </row>
    <row r="20" spans="1:113" s="4" customFormat="1" ht="12" customHeight="1" thickTop="1">
      <c r="A20" s="219" t="str">
        <f t="shared" si="0"/>
        <v xml:space="preserve"> </v>
      </c>
      <c r="B20" s="18" t="s">
        <v>190</v>
      </c>
      <c r="C20" s="13">
        <f>+'2. Consolidated'!C17</f>
        <v>6470.625</v>
      </c>
      <c r="D20" s="2">
        <f>+'2. Consolidated'!D17</f>
        <v>9186.5390000000007</v>
      </c>
      <c r="E20" s="13">
        <f>+'2. Consolidated'!E17</f>
        <v>9553.0999999999985</v>
      </c>
      <c r="F20" s="2">
        <f>+'2. Consolidated'!F17</f>
        <v>8776.9000000000015</v>
      </c>
      <c r="G20" s="13">
        <f>+'2. Consolidated'!G17</f>
        <v>8995.1</v>
      </c>
      <c r="H20" s="2">
        <f>+'2. Consolidated'!H17</f>
        <v>9488.7999999999993</v>
      </c>
      <c r="I20" s="13">
        <f>+'2. Consolidated'!I17</f>
        <v>9893</v>
      </c>
      <c r="J20" s="2">
        <f>+'2. Consolidated'!J17</f>
        <v>10697</v>
      </c>
      <c r="K20" s="13">
        <f>+'2. Consolidated'!K17</f>
        <v>12253.1</v>
      </c>
      <c r="L20" s="2">
        <f>+'2. Consolidated'!L17</f>
        <v>13739.699999999999</v>
      </c>
      <c r="M20" s="13">
        <f>+'2. Consolidated'!M17</f>
        <v>14954.9</v>
      </c>
      <c r="N20" s="2">
        <f>+'2. Consolidated'!N17</f>
        <v>16325.900000000001</v>
      </c>
      <c r="O20" s="13">
        <f>+'2. Consolidated'!O17</f>
        <v>18627</v>
      </c>
      <c r="P20" s="2">
        <f>+'2. Consolidated'!P17</f>
        <v>19176.099999999999</v>
      </c>
      <c r="Q20" s="13">
        <f>+'2. Consolidated'!Q17</f>
        <v>19014.000000000004</v>
      </c>
      <c r="R20" s="2">
        <f>R18+R19+R14</f>
        <v>5175</v>
      </c>
      <c r="S20" s="2">
        <f>S18+S19+S14</f>
        <v>4842</v>
      </c>
      <c r="T20" s="2">
        <f>T18+T19+T14</f>
        <v>5079</v>
      </c>
      <c r="U20" s="2">
        <f>U18+U19+U14</f>
        <v>5766</v>
      </c>
      <c r="V20" s="13">
        <f>SUM(R20:U20)</f>
        <v>20862</v>
      </c>
      <c r="W20" s="2">
        <f>W18+W19+W14</f>
        <v>6081</v>
      </c>
      <c r="X20" s="2">
        <f>X18+X19+X14</f>
        <v>5731</v>
      </c>
      <c r="Y20" s="2">
        <f>Y18+Y19+Y14</f>
        <v>5846</v>
      </c>
      <c r="Z20" s="2">
        <f>Z18+Z19+Z14</f>
        <v>6470</v>
      </c>
      <c r="AA20" s="13">
        <f>SUM(W20:Z20)</f>
        <v>24128</v>
      </c>
      <c r="AB20" s="13">
        <v>23331</v>
      </c>
      <c r="AC20" s="2">
        <f>AC18+AC19+AC14</f>
        <v>6474</v>
      </c>
      <c r="AD20" s="2">
        <f>AD18+AD19+AD14</f>
        <v>5955</v>
      </c>
      <c r="AE20" s="2">
        <f>AE18+AE19+AE14</f>
        <v>6187</v>
      </c>
      <c r="AF20" s="2">
        <f>AF18+AF19+AF14</f>
        <v>6697</v>
      </c>
      <c r="AG20" s="13">
        <f>SUM(AC20:AF20)</f>
        <v>25313</v>
      </c>
      <c r="AH20" s="2">
        <f>AH18+AH19+AH14</f>
        <v>6971</v>
      </c>
      <c r="AI20" s="2">
        <f>AI18+AI19+AI14</f>
        <v>6431</v>
      </c>
      <c r="AJ20" s="2">
        <f>AJ18+AJ19+AJ14</f>
        <v>6972</v>
      </c>
      <c r="AK20" s="2">
        <f>AK18+AK19+AK14</f>
        <v>7425</v>
      </c>
      <c r="AL20" s="13">
        <f>SUM(AH20:AK20)</f>
        <v>27799</v>
      </c>
      <c r="AM20" s="2">
        <f>AM18+AM19+AM14</f>
        <v>7982</v>
      </c>
      <c r="AN20" s="2">
        <f>AN18+AN19+AN14</f>
        <v>7380</v>
      </c>
      <c r="AO20" s="2">
        <f>AO18+AO19+AO14</f>
        <v>7460</v>
      </c>
      <c r="AP20" s="2">
        <f>AP18+AP19+AP14</f>
        <v>7779</v>
      </c>
      <c r="AQ20" s="13">
        <f>SUM(AM20:AP20)</f>
        <v>30601</v>
      </c>
      <c r="AR20" s="2">
        <f>AR18+AR19+AR14</f>
        <v>8414</v>
      </c>
      <c r="AS20" s="2">
        <f>AS18+AS19+AS14</f>
        <v>7686</v>
      </c>
      <c r="AT20" s="2">
        <f>AT18+AT19+AT14</f>
        <v>8032</v>
      </c>
      <c r="AU20" s="2">
        <f>AU18+AU19+AU14</f>
        <v>8244</v>
      </c>
      <c r="AV20" s="13">
        <f>SUM(AR20:AU20)</f>
        <v>32376</v>
      </c>
      <c r="AW20" s="2">
        <f>AW18+AW19+AW14</f>
        <v>9061</v>
      </c>
      <c r="AX20" s="2">
        <f>AX18+AX19+AX14</f>
        <v>8180</v>
      </c>
      <c r="AY20" s="2">
        <f>AY18+AY19+AY14</f>
        <v>8432</v>
      </c>
      <c r="AZ20" s="2">
        <f>AZ18+AZ19+AZ14</f>
        <v>8677</v>
      </c>
      <c r="BA20" s="13">
        <f>SUM(AW20:AZ20)</f>
        <v>34350</v>
      </c>
      <c r="BB20" s="2">
        <f>BB18+BB19+BB14</f>
        <v>9070</v>
      </c>
      <c r="BC20" s="2">
        <f>BC18+BC19+BC14</f>
        <v>8554</v>
      </c>
      <c r="BD20" s="2">
        <f>BD18+BD19+BD14</f>
        <v>8984</v>
      </c>
      <c r="BE20" s="2">
        <f>BE18+BE19+BE14</f>
        <v>9789</v>
      </c>
      <c r="BF20" s="13">
        <f>SUM(BB20:BE20)</f>
        <v>36397</v>
      </c>
      <c r="BG20" s="2">
        <f>BG18+BG19+BG14</f>
        <v>9948</v>
      </c>
      <c r="BH20" s="2">
        <f>BH18+BH19+BH14</f>
        <v>9374</v>
      </c>
      <c r="BI20" s="2">
        <f>BI18+BI19+BI14</f>
        <v>9611</v>
      </c>
      <c r="BJ20" s="2">
        <f>BJ18+BJ19+BJ14</f>
        <v>10184</v>
      </c>
      <c r="BK20" s="13">
        <f>SUM(BG20:BJ20)</f>
        <v>39117</v>
      </c>
      <c r="BL20" s="2">
        <f>BL18+BL19+BL14</f>
        <v>10660</v>
      </c>
      <c r="BM20" s="2">
        <f>BM18+BM19+BM14</f>
        <v>10326</v>
      </c>
      <c r="BN20" s="2">
        <f>BN18+BN19+BN14</f>
        <v>10104</v>
      </c>
      <c r="BO20" s="2">
        <f>BO18+BO19+BO14</f>
        <v>6313</v>
      </c>
      <c r="BP20" s="13">
        <f>SUM(BL20:BO20)</f>
        <v>37403</v>
      </c>
      <c r="BQ20" s="2">
        <f>BQ18+BQ19+BQ14</f>
        <v>10594</v>
      </c>
      <c r="BR20" s="2">
        <f>BR18+BR19+BR14</f>
        <v>11243</v>
      </c>
      <c r="BS20" s="2">
        <f>BS18+BS19+BS14</f>
        <v>10357</v>
      </c>
      <c r="BT20" s="2">
        <f>BT18+BT19+BT14</f>
        <v>12344</v>
      </c>
      <c r="BU20" s="13">
        <f>SUM(BQ20:BT20)</f>
        <v>44538</v>
      </c>
      <c r="BV20" s="2">
        <f>BV18+BV19+BV14</f>
        <v>12248</v>
      </c>
      <c r="BW20" s="2">
        <f>BW18+BW19+BW14</f>
        <v>11357</v>
      </c>
      <c r="BX20" s="2">
        <f>BX18+BX19+BX14</f>
        <v>10871</v>
      </c>
      <c r="BY20" s="2">
        <f>BY18+BY19+BY14</f>
        <v>12234</v>
      </c>
      <c r="BZ20" s="13">
        <f>SUM(BV20:BY20)</f>
        <v>46710</v>
      </c>
      <c r="CA20" s="2">
        <f>CA18+CA19+CA14</f>
        <v>12687</v>
      </c>
      <c r="CB20" s="2">
        <f>CB18+CB19+CB14</f>
        <v>13315</v>
      </c>
      <c r="CC20" s="2">
        <f>CC18+CC19+CC14</f>
        <v>12390</v>
      </c>
      <c r="CD20" s="2">
        <f>CD18+CD19+CD14</f>
        <v>12825</v>
      </c>
      <c r="CE20" s="13">
        <f>SUM(CA20:CD20)</f>
        <v>51217</v>
      </c>
      <c r="CF20" s="2">
        <f>CF18+CF19+CF14</f>
        <v>12939</v>
      </c>
      <c r="CG20" s="2">
        <f>CG18+CG19+CG14</f>
        <v>13388</v>
      </c>
      <c r="CH20" s="2">
        <f>CH18+CH19+CH14</f>
        <v>12429</v>
      </c>
      <c r="CI20" s="2">
        <f>CI18+CI19+CI14</f>
        <v>12606</v>
      </c>
      <c r="CJ20" s="13">
        <f>SUM(CF20:CI20)</f>
        <v>51362</v>
      </c>
      <c r="CK20" s="2">
        <f>CK18+CK19+CK14</f>
        <v>11589</v>
      </c>
      <c r="CL20" s="2">
        <f>CL18+CL19+CL14</f>
        <v>12354</v>
      </c>
      <c r="CM20" s="2">
        <f>CM18+CM19+CM14</f>
        <v>11269</v>
      </c>
      <c r="CN20" s="2">
        <f>CN18+CN19+CN14</f>
        <v>11097</v>
      </c>
      <c r="CO20" s="13">
        <f>SUM(CK20:CN20)</f>
        <v>46309</v>
      </c>
      <c r="CP20" s="2">
        <f>CP18+CP19+CP14</f>
        <v>11720</v>
      </c>
      <c r="CQ20" s="2">
        <f>CQ18+CQ19+CQ14</f>
        <v>12427</v>
      </c>
      <c r="CR20" s="2">
        <f>CR18+CR19+CR14</f>
        <v>11279</v>
      </c>
      <c r="CS20" s="2">
        <f>CS18+CS19+CS14</f>
        <v>10972</v>
      </c>
      <c r="CT20" s="13">
        <f>SUM(CP20:CS20)</f>
        <v>46398</v>
      </c>
      <c r="CU20" s="2">
        <f>CU18+CU19+CU14</f>
        <v>11213</v>
      </c>
      <c r="CV20" s="2">
        <f>CV18+CV19+CV14</f>
        <v>10878.097940000001</v>
      </c>
      <c r="CW20" s="2">
        <f>CW18+CW19+CW14</f>
        <v>10305.983209999999</v>
      </c>
      <c r="CX20" s="2">
        <f>CX18+CX19+CX14</f>
        <v>9881.3433699999987</v>
      </c>
      <c r="CY20" s="13">
        <f>SUM(CU20:CX20)</f>
        <v>42278.42452</v>
      </c>
      <c r="CZ20" s="2">
        <f>CZ18+CZ19+CZ14</f>
        <v>10328.23281</v>
      </c>
      <c r="DA20" s="2">
        <f>DA18+DA19+DA14</f>
        <v>10360.009180099998</v>
      </c>
      <c r="DB20" s="2">
        <f>DB18+DB19+DB14</f>
        <v>10025.647070699999</v>
      </c>
      <c r="DC20" s="2">
        <f>DC18+DC19+DC14</f>
        <v>9627.8920167999968</v>
      </c>
      <c r="DD20" s="13">
        <f>SUM(CZ20:DC20)</f>
        <v>40341.78107759999</v>
      </c>
      <c r="DE20" s="2">
        <f>DE18+DE19+DE14</f>
        <v>10334.0543898</v>
      </c>
      <c r="DF20" s="2">
        <f>DF18+DF19+DF14</f>
        <v>10379.712353105997</v>
      </c>
      <c r="DG20" s="2">
        <f>DG18+DG19+DG14</f>
        <v>10094.693474377</v>
      </c>
      <c r="DH20" s="2">
        <f>DH18+DH19+DH14</f>
        <v>9696.6732653359995</v>
      </c>
      <c r="DI20" s="13">
        <f>SUM(DE20:DH20)</f>
        <v>40505.133482618992</v>
      </c>
    </row>
    <row r="21" spans="1:113" s="3" customFormat="1" ht="12" customHeight="1">
      <c r="A21" s="219" t="str">
        <f t="shared" si="0"/>
        <v xml:space="preserve"> </v>
      </c>
      <c r="B21" s="491" t="s">
        <v>171</v>
      </c>
      <c r="C21" s="391" t="s">
        <v>1</v>
      </c>
      <c r="D21" s="399" t="s">
        <v>1</v>
      </c>
      <c r="E21" s="391" t="s">
        <v>1</v>
      </c>
      <c r="F21" s="399" t="s">
        <v>1</v>
      </c>
      <c r="G21" s="391" t="s">
        <v>1</v>
      </c>
      <c r="H21" s="399" t="s">
        <v>1</v>
      </c>
      <c r="I21" s="391" t="s">
        <v>1</v>
      </c>
      <c r="J21" s="399" t="s">
        <v>1</v>
      </c>
      <c r="K21" s="391" t="s">
        <v>1</v>
      </c>
      <c r="L21" s="399" t="s">
        <v>1</v>
      </c>
      <c r="M21" s="391" t="s">
        <v>1</v>
      </c>
      <c r="N21" s="399" t="s">
        <v>1</v>
      </c>
      <c r="O21" s="391" t="s">
        <v>1</v>
      </c>
      <c r="P21" s="520" t="s">
        <v>1</v>
      </c>
      <c r="Q21" s="521" t="s">
        <v>1</v>
      </c>
      <c r="R21" s="378" t="s">
        <v>126</v>
      </c>
      <c r="S21" s="522" t="s">
        <v>126</v>
      </c>
      <c r="T21" s="522" t="s">
        <v>126</v>
      </c>
      <c r="U21" s="522" t="s">
        <v>126</v>
      </c>
      <c r="V21" s="492" t="s">
        <v>126</v>
      </c>
      <c r="W21" s="52">
        <f>+W20/R20-1</f>
        <v>0.17507246376811603</v>
      </c>
      <c r="X21" s="52">
        <f>+X20/S20-1</f>
        <v>0.18360181743081361</v>
      </c>
      <c r="Y21" s="52">
        <f>+Y20/T20-1</f>
        <v>0.15101397912975001</v>
      </c>
      <c r="Z21" s="52">
        <f>+Z20/U20-1</f>
        <v>0.12209503988900461</v>
      </c>
      <c r="AA21" s="112">
        <f>+AA20/V20-1</f>
        <v>0.15655258364490465</v>
      </c>
      <c r="AB21" s="112"/>
      <c r="AC21" s="52">
        <f>+AC20/W20-1</f>
        <v>6.4627528367044995E-2</v>
      </c>
      <c r="AD21" s="52">
        <f>+AD20/X20-1</f>
        <v>3.9085674402373094E-2</v>
      </c>
      <c r="AE21" s="52">
        <f>+AE20/Y20-1</f>
        <v>5.8330482381115267E-2</v>
      </c>
      <c r="AF21" s="52">
        <f>+AF20/Z20-1</f>
        <v>3.5085007727975182E-2</v>
      </c>
      <c r="AG21" s="112">
        <f>+AG20/AA20-1</f>
        <v>4.9113063660477518E-2</v>
      </c>
      <c r="AH21" s="52">
        <f t="shared" ref="AH21:BP21" si="63">+AH20/AC20-1</f>
        <v>7.6768612913191259E-2</v>
      </c>
      <c r="AI21" s="52">
        <f t="shared" si="63"/>
        <v>7.9932829554995699E-2</v>
      </c>
      <c r="AJ21" s="52">
        <f t="shared" si="63"/>
        <v>0.12687893971230002</v>
      </c>
      <c r="AK21" s="52">
        <f t="shared" si="63"/>
        <v>0.10870539047334637</v>
      </c>
      <c r="AL21" s="112">
        <f t="shared" si="63"/>
        <v>9.8210405720380756E-2</v>
      </c>
      <c r="AM21" s="52">
        <f t="shared" si="63"/>
        <v>0.14502940754554583</v>
      </c>
      <c r="AN21" s="52">
        <f t="shared" si="63"/>
        <v>0.14756647488726471</v>
      </c>
      <c r="AO21" s="52">
        <f t="shared" si="63"/>
        <v>6.9994262765347148E-2</v>
      </c>
      <c r="AP21" s="52">
        <f t="shared" si="63"/>
        <v>4.7676767676767762E-2</v>
      </c>
      <c r="AQ21" s="112">
        <f t="shared" si="63"/>
        <v>0.10079499262563396</v>
      </c>
      <c r="AR21" s="52">
        <f t="shared" si="63"/>
        <v>5.4121773991480771E-2</v>
      </c>
      <c r="AS21" s="52">
        <f t="shared" si="63"/>
        <v>4.1463414634146378E-2</v>
      </c>
      <c r="AT21" s="52">
        <f t="shared" si="63"/>
        <v>7.6675603217158272E-2</v>
      </c>
      <c r="AU21" s="52">
        <f t="shared" si="63"/>
        <v>5.9776320863864196E-2</v>
      </c>
      <c r="AV21" s="112">
        <f t="shared" si="63"/>
        <v>5.8004640371229765E-2</v>
      </c>
      <c r="AW21" s="52">
        <f t="shared" si="63"/>
        <v>7.6895650106964641E-2</v>
      </c>
      <c r="AX21" s="52">
        <f t="shared" si="63"/>
        <v>6.4272703616965909E-2</v>
      </c>
      <c r="AY21" s="52">
        <f t="shared" si="63"/>
        <v>4.980079681274896E-2</v>
      </c>
      <c r="AZ21" s="52">
        <f t="shared" si="63"/>
        <v>5.2523047064531703E-2</v>
      </c>
      <c r="BA21" s="112">
        <f t="shared" si="63"/>
        <v>6.0971089696071123E-2</v>
      </c>
      <c r="BB21" s="52">
        <f t="shared" si="63"/>
        <v>9.9326785123055039E-4</v>
      </c>
      <c r="BC21" s="52">
        <f t="shared" si="63"/>
        <v>4.5721271393643015E-2</v>
      </c>
      <c r="BD21" s="52">
        <f t="shared" si="63"/>
        <v>6.5464895635673592E-2</v>
      </c>
      <c r="BE21" s="52">
        <f t="shared" si="63"/>
        <v>0.12815489224386312</v>
      </c>
      <c r="BF21" s="112">
        <f t="shared" si="63"/>
        <v>5.95924308588065E-2</v>
      </c>
      <c r="BG21" s="52">
        <f t="shared" si="63"/>
        <v>9.6802646085997868E-2</v>
      </c>
      <c r="BH21" s="52">
        <f t="shared" si="63"/>
        <v>9.586158522328736E-2</v>
      </c>
      <c r="BI21" s="52">
        <f t="shared" si="63"/>
        <v>6.9790739091718512E-2</v>
      </c>
      <c r="BJ21" s="52">
        <f t="shared" si="63"/>
        <v>4.0351414853406986E-2</v>
      </c>
      <c r="BK21" s="112">
        <f t="shared" si="63"/>
        <v>7.4731433909388079E-2</v>
      </c>
      <c r="BL21" s="52">
        <f t="shared" si="63"/>
        <v>7.1572175311620523E-2</v>
      </c>
      <c r="BM21" s="52">
        <f t="shared" si="63"/>
        <v>0.10155749946660975</v>
      </c>
      <c r="BN21" s="52">
        <f t="shared" si="63"/>
        <v>5.1295390698158361E-2</v>
      </c>
      <c r="BO21" s="52">
        <f t="shared" si="63"/>
        <v>-0.38010604870384912</v>
      </c>
      <c r="BP21" s="112">
        <f t="shared" si="63"/>
        <v>-4.3817266150267153E-2</v>
      </c>
      <c r="BQ21" s="52">
        <f t="shared" ref="BQ21:BZ21" si="64">+BQ20/BL20-1</f>
        <v>-6.1913696060037493E-3</v>
      </c>
      <c r="BR21" s="52">
        <f t="shared" si="64"/>
        <v>8.8804958357544095E-2</v>
      </c>
      <c r="BS21" s="52">
        <f t="shared" si="64"/>
        <v>2.5039588281868586E-2</v>
      </c>
      <c r="BT21" s="52">
        <f t="shared" si="64"/>
        <v>0.95533027086963407</v>
      </c>
      <c r="BU21" s="112">
        <f t="shared" si="64"/>
        <v>0.19076009945726269</v>
      </c>
      <c r="BV21" s="52">
        <f t="shared" si="64"/>
        <v>0.15612610911836899</v>
      </c>
      <c r="BW21" s="52">
        <f t="shared" si="64"/>
        <v>1.0139642444187524E-2</v>
      </c>
      <c r="BX21" s="52">
        <f t="shared" si="64"/>
        <v>4.9628270734768831E-2</v>
      </c>
      <c r="BY21" s="52">
        <f t="shared" si="64"/>
        <v>-8.9112119248218047E-3</v>
      </c>
      <c r="BZ21" s="112">
        <f t="shared" si="64"/>
        <v>4.8767344739323759E-2</v>
      </c>
      <c r="CA21" s="52">
        <f t="shared" ref="CA21" si="65">+CA20/BV20-1</f>
        <v>3.5842586544742039E-2</v>
      </c>
      <c r="CB21" s="52">
        <f t="shared" ref="CB21:CE21" si="66">+CB20/BW20-1</f>
        <v>0.17240468433565193</v>
      </c>
      <c r="CC21" s="52">
        <f t="shared" si="66"/>
        <v>0.13972955569864776</v>
      </c>
      <c r="CD21" s="52">
        <f t="shared" si="66"/>
        <v>4.8307994114762165E-2</v>
      </c>
      <c r="CE21" s="112">
        <f t="shared" si="66"/>
        <v>9.6488974523656568E-2</v>
      </c>
      <c r="CF21" s="52">
        <f t="shared" ref="CF21" si="67">+CF20/CA20-1</f>
        <v>1.986285173799951E-2</v>
      </c>
      <c r="CG21" s="52">
        <f t="shared" ref="CG21:CH21" si="68">+CG20/CB20-1</f>
        <v>5.482538490424238E-3</v>
      </c>
      <c r="CH21" s="52">
        <f t="shared" si="68"/>
        <v>3.1476997578692156E-3</v>
      </c>
      <c r="CI21" s="52">
        <f t="shared" ref="CI21" si="69">+CI20/CD20-1</f>
        <v>-1.7076023391812911E-2</v>
      </c>
      <c r="CJ21" s="112">
        <f t="shared" ref="CJ21" si="70">+CJ20/CE20-1</f>
        <v>2.8310912392370824E-3</v>
      </c>
      <c r="CK21" s="52">
        <f t="shared" ref="CK21:CL21" si="71">+CK20/CF20-1</f>
        <v>-0.10433572919081846</v>
      </c>
      <c r="CL21" s="52">
        <f t="shared" si="71"/>
        <v>-7.7233343292500756E-2</v>
      </c>
      <c r="CM21" s="52">
        <f t="shared" ref="CM21" si="72">+CM20/CH20-1</f>
        <v>-9.3330115053503859E-2</v>
      </c>
      <c r="CN21" s="52">
        <f t="shared" ref="CN21" si="73">+CN20/CI20-1</f>
        <v>-0.11970490242741549</v>
      </c>
      <c r="CO21" s="112">
        <f t="shared" ref="CO21:CQ21" si="74">+CO20/CJ20-1</f>
        <v>-9.8380125384525563E-2</v>
      </c>
      <c r="CP21" s="52">
        <f t="shared" si="74"/>
        <v>1.1303822590387425E-2</v>
      </c>
      <c r="CQ21" s="52">
        <f t="shared" si="74"/>
        <v>5.9090173223248499E-3</v>
      </c>
      <c r="CR21" s="52">
        <f t="shared" ref="CR21" si="75">+CR20/CM20-1</f>
        <v>8.8739018546446502E-4</v>
      </c>
      <c r="CS21" s="52">
        <f t="shared" ref="CS21" si="76">+CS20/CN20-1</f>
        <v>-1.1264305668198582E-2</v>
      </c>
      <c r="CT21" s="112">
        <f t="shared" ref="CT21" si="77">+CT20/CO20-1</f>
        <v>1.9218726381480256E-3</v>
      </c>
      <c r="CU21" s="52">
        <f t="shared" ref="CU21" si="78">+CU20/CP20-1</f>
        <v>-4.3259385665529004E-2</v>
      </c>
      <c r="CV21" s="52">
        <f t="shared" ref="CV21" si="79">+CV20/CQ20-1</f>
        <v>-0.12464006276655659</v>
      </c>
      <c r="CW21" s="52">
        <f t="shared" ref="CW21" si="80">+CW20/CR20-1</f>
        <v>-8.6268001595886323E-2</v>
      </c>
      <c r="CX21" s="52">
        <f t="shared" ref="CX21" si="81">+CX20/CS20-1</f>
        <v>-9.9403630149471511E-2</v>
      </c>
      <c r="CY21" s="112">
        <f t="shared" ref="CY21" si="82">+CY20/CT20-1</f>
        <v>-8.8787781369886631E-2</v>
      </c>
      <c r="CZ21" s="52">
        <f t="shared" ref="CZ21" si="83">+CZ20/CU20-1</f>
        <v>-7.8905483813430877E-2</v>
      </c>
      <c r="DA21" s="52">
        <f t="shared" ref="DA21" si="84">+DA20/CV20-1</f>
        <v>-4.7626778390635005E-2</v>
      </c>
      <c r="DB21" s="52">
        <f t="shared" ref="DB21" si="85">+DB20/CW20-1</f>
        <v>-2.7201299826297709E-2</v>
      </c>
      <c r="DC21" s="52">
        <f t="shared" ref="DC21" si="86">+DC20/CX20-1</f>
        <v>-2.5649483446702814E-2</v>
      </c>
      <c r="DD21" s="112">
        <f t="shared" ref="DD21" si="87">+DD20/CY20-1</f>
        <v>-4.5806897120394652E-2</v>
      </c>
      <c r="DE21" s="52">
        <f t="shared" ref="DE21" si="88">+DE20/CZ20-1</f>
        <v>5.6365691082826963E-4</v>
      </c>
      <c r="DF21" s="52">
        <f t="shared" ref="DF21" si="89">+DF20/DA20-1</f>
        <v>1.9018489910072045E-3</v>
      </c>
      <c r="DG21" s="52">
        <f t="shared" ref="DG21" si="90">+DG20/DB20-1</f>
        <v>6.8869772883577429E-3</v>
      </c>
      <c r="DH21" s="52">
        <f t="shared" ref="DH21" si="91">+DH20/DC20-1</f>
        <v>7.143957204337692E-3</v>
      </c>
      <c r="DI21" s="112">
        <f t="shared" ref="DI21" si="92">+DI20/DD20-1</f>
        <v>4.0492115284842534E-3</v>
      </c>
    </row>
    <row r="22" spans="1:113" s="4" customFormat="1" ht="12" customHeight="1">
      <c r="A22" s="219" t="str">
        <f t="shared" si="0"/>
        <v xml:space="preserve"> </v>
      </c>
      <c r="B22" s="537" t="s">
        <v>276</v>
      </c>
      <c r="C22" s="538"/>
      <c r="D22" s="539"/>
      <c r="E22" s="538"/>
      <c r="F22" s="539"/>
      <c r="G22" s="538"/>
      <c r="H22" s="539"/>
      <c r="I22" s="538"/>
      <c r="J22" s="539"/>
      <c r="K22" s="538"/>
      <c r="L22" s="539"/>
      <c r="M22" s="538"/>
      <c r="N22" s="539"/>
      <c r="O22" s="538"/>
      <c r="P22" s="539"/>
      <c r="Q22" s="538"/>
      <c r="R22" s="539"/>
      <c r="S22" s="539"/>
      <c r="T22" s="539"/>
      <c r="U22" s="539"/>
      <c r="V22" s="538"/>
      <c r="W22" s="539"/>
      <c r="X22" s="539"/>
      <c r="Y22" s="539"/>
      <c r="Z22" s="539"/>
      <c r="AA22" s="538"/>
      <c r="AB22" s="538"/>
      <c r="AC22" s="539"/>
      <c r="AD22" s="539"/>
      <c r="AE22" s="539"/>
      <c r="AF22" s="539"/>
      <c r="AG22" s="538"/>
      <c r="AH22" s="539"/>
      <c r="AI22" s="539"/>
      <c r="AJ22" s="539"/>
      <c r="AK22" s="539"/>
      <c r="AL22" s="538"/>
      <c r="AM22" s="52">
        <v>0.15</v>
      </c>
      <c r="AN22" s="52">
        <v>0.18</v>
      </c>
      <c r="AO22" s="52">
        <v>0.13</v>
      </c>
      <c r="AP22" s="52">
        <v>0.13</v>
      </c>
      <c r="AQ22" s="112">
        <f>SUMPRODUCT(AM22:AP22,AH20:AK20)/AL20</f>
        <v>0.14658225116011367</v>
      </c>
      <c r="AR22" s="52">
        <v>0.14000000000000001</v>
      </c>
      <c r="AS22" s="52">
        <v>0.12</v>
      </c>
      <c r="AT22" s="52">
        <v>0.14000000000000001</v>
      </c>
      <c r="AU22" s="52">
        <v>0.09</v>
      </c>
      <c r="AV22" s="112">
        <f>SUMPRODUCT(AR22:AU22,AM20:AP20)/AQ20</f>
        <v>0.12246625927257279</v>
      </c>
      <c r="AW22" s="52">
        <v>0.1</v>
      </c>
      <c r="AX22" s="52">
        <v>0.08</v>
      </c>
      <c r="AY22" s="52">
        <v>7.0000000000000007E-2</v>
      </c>
      <c r="AZ22" s="52">
        <v>7.0000000000000007E-2</v>
      </c>
      <c r="BA22" s="112">
        <f>SUMPRODUCT(AW22:AZ22,AR20:AU20)/AV20</f>
        <v>8.0170496664195706E-2</v>
      </c>
      <c r="BB22" s="52">
        <v>0</v>
      </c>
      <c r="BC22" s="52">
        <v>0.03</v>
      </c>
      <c r="BD22" s="52">
        <v>0.03</v>
      </c>
      <c r="BE22" s="52">
        <v>0.08</v>
      </c>
      <c r="BF22" s="112">
        <f>SUMPRODUCT(BB22:BE22,AW20:AZ20)/BA20</f>
        <v>3.4716739446870454E-2</v>
      </c>
      <c r="BG22" s="52">
        <v>0.09</v>
      </c>
      <c r="BH22" s="52">
        <v>0.14000000000000001</v>
      </c>
      <c r="BI22" s="52">
        <v>0.11</v>
      </c>
      <c r="BJ22" s="52">
        <v>0.1</v>
      </c>
      <c r="BK22" s="112">
        <f>SUMPRODUCT(BG22:BJ22,BB20:BE20)/BF20</f>
        <v>0.10937714646811551</v>
      </c>
      <c r="BL22" s="52">
        <v>0.1</v>
      </c>
      <c r="BM22" s="52">
        <v>0.13</v>
      </c>
      <c r="BN22" s="52">
        <v>7.0000000000000007E-2</v>
      </c>
      <c r="BO22" s="52">
        <v>-0.36</v>
      </c>
      <c r="BP22" s="112">
        <f>SUMPRODUCT(BL22:BO22,BG20:BJ20)/BK20</f>
        <v>-1.9941457678247301E-2</v>
      </c>
      <c r="BQ22" s="52">
        <v>0</v>
      </c>
      <c r="BR22" s="52">
        <v>7.0000000000000007E-2</v>
      </c>
      <c r="BS22" s="52">
        <v>-0.01</v>
      </c>
      <c r="BT22" s="52">
        <v>0.88</v>
      </c>
      <c r="BU22" s="112">
        <f>SUMPRODUCT(BQ22:BT22,BL20:BO20)/BP20</f>
        <v>0.16515306258856241</v>
      </c>
      <c r="BV22" s="52">
        <v>0.12</v>
      </c>
      <c r="BW22" s="52">
        <v>0</v>
      </c>
      <c r="BX22" s="52">
        <v>0.08</v>
      </c>
      <c r="BY22" s="52">
        <v>0.03</v>
      </c>
      <c r="BZ22" s="112">
        <f>SUMPRODUCT(BV22:BY22,BQ20:BT20)/BU20</f>
        <v>5.5461852799856312E-2</v>
      </c>
      <c r="CA22" s="52">
        <v>0.1</v>
      </c>
      <c r="CB22" s="52">
        <v>0.27</v>
      </c>
      <c r="CC22" s="52">
        <v>0.19</v>
      </c>
      <c r="CD22" s="52">
        <v>0.08</v>
      </c>
      <c r="CE22" s="112">
        <f>SUMPRODUCT(CA22:CD22,BV20:BY20)/BZ20</f>
        <v>0.15704131877542282</v>
      </c>
      <c r="CF22" s="52">
        <v>0.02</v>
      </c>
      <c r="CG22" s="52">
        <v>-0.01</v>
      </c>
      <c r="CH22" s="52">
        <v>0</v>
      </c>
      <c r="CI22" s="52">
        <v>0</v>
      </c>
      <c r="CJ22" s="112">
        <f>SUMPRODUCT(CF22:CI22,CA20:CD20)/CE20</f>
        <v>2.3544916726868032E-3</v>
      </c>
      <c r="CK22" s="52">
        <v>-0.09</v>
      </c>
      <c r="CL22" s="52">
        <v>-0.09</v>
      </c>
      <c r="CM22" s="52">
        <v>-7.0000000000000007E-2</v>
      </c>
      <c r="CN22" s="114">
        <v>-0.11</v>
      </c>
      <c r="CO22" s="112">
        <f>SUMPRODUCT(CK22:CN22,CF20:CI20)/CJ20</f>
        <v>-9.006892254974494E-2</v>
      </c>
      <c r="CP22" s="52">
        <v>-0.01</v>
      </c>
      <c r="CQ22" s="52">
        <v>0</v>
      </c>
      <c r="CR22" s="52">
        <v>-0.03</v>
      </c>
      <c r="CS22" s="52">
        <v>-0.04</v>
      </c>
      <c r="CT22" s="112">
        <f>SUMPRODUCT(CP22:CS22,CK20:CN20)/CO20</f>
        <v>-1.9388023926234638E-2</v>
      </c>
      <c r="CU22" s="52">
        <v>-0.05</v>
      </c>
      <c r="CV22" s="52">
        <f>IFERROR((CQ182*CV184+CQ251*CV253+CQ320*CV322+CQ389*CV391+CQ458*CV459+CQ483*CV485+CQ563*CV564)/CQ20,(CQ182*CV184+CQ251*CV253+CQ320*CV322+CQ389*CV391+CQ458*CV459+CQ483*CV485)/CQ20)</f>
        <v>-0.12452804377564977</v>
      </c>
      <c r="CW22" s="52">
        <f>IFERROR((CR182*CW184+CR251*CW253+CR320*CW322+CR389*CW391+CR458*CW459+CR483*CW485+CR563*CW564)/CR20,(CR182*CW184+CR251*CW253+CR320*CW322+CR389*CW391+CR458*CW459+CR483*CW485)/CR20)</f>
        <v>-8.1840588704672479E-2</v>
      </c>
      <c r="CX22" s="52">
        <f>IFERROR((CS182*CX184+CS251*CX253+CS320*CX322+CS389*CX391+CS458*CX459+CS483*CX485+CS563*CX564)/CS20,(CS182*CX184+CS251*CX253+CS320*CX322+CS389*CX391+CS458*CX459+CS483*CX485)/CS20)</f>
        <v>-9.3655668975574244E-2</v>
      </c>
      <c r="CY22" s="112">
        <f>SUMPRODUCT(CU22:CX22,CP20:CS20)/CT20</f>
        <v>-8.802491486702016E-2</v>
      </c>
      <c r="CZ22" s="52">
        <f>IFERROR((CU182*CZ184+CU251*CZ253+CU320*CZ322+CU389*CZ391+CU458*CZ459+CU483*CZ485+CU563*CZ564)/CU20,(CU182*CZ184+CU251*CZ253+CU320*CZ322+CU389*CZ391+CU458*CZ459+CU483*CZ485)/CU20)</f>
        <v>-7.6700258628377815E-2</v>
      </c>
      <c r="DA22" s="52">
        <f>IFERROR((CV182*DA184+CV251*DA253+CV320*DA322+CV389*DA391+CV458*DA459+CV483*DA485+CV563*DA564)/CV20,(CV182*DA184+CV251*DA253+CV320*DA322+CV389*DA391+CV458*DA459+CV483*DA485)/CV20)</f>
        <v>-4.7626778390634887E-2</v>
      </c>
      <c r="DB22" s="52">
        <f>IFERROR((CW182*DB184+CW251*DB253+CW320*DB322+CW389*DB391+CW458*DB459+CW483*DB485+CW563*DB564)/CW20,(CW182*DB184+CW251*DB253+CW320*DB322+CW389*DB391+CW458*DB459+CW483*DB485)/CW20)</f>
        <v>-2.7201299826297733E-2</v>
      </c>
      <c r="DC22" s="52">
        <f>IFERROR((CX182*DC184+CX251*DC253+CX320*DC322+CX389*DC391+CX458*DC459+CX483*DC485+CX563*DC564)/CX20,(CX182*DC184+CX251*DC253+CX320*DC322+CX389*DC391+CX458*DC459+CX483*DC485)/CX20)</f>
        <v>-2.5649483446702769E-2</v>
      </c>
      <c r="DD22" s="112">
        <f>SUMPRODUCT(CZ22:DC22,CU20:CX20)/CY20</f>
        <v>-4.5222031665242475E-2</v>
      </c>
      <c r="DE22" s="52">
        <f>IFERROR((CZ182*DE184+CZ251*DE253+CZ320*DE322+CZ389*DE391+CZ458*DE459+CZ483*DE485+CZ563*DE564)/CZ20,(CZ182*DE184+CZ251*DE253+CZ320*DE322+CZ389*DE391+CZ458*DE459+CZ483*DE485)/CZ20)</f>
        <v>5.6365691082828405E-4</v>
      </c>
      <c r="DF22" s="52">
        <f>IFERROR((DA182*DF184+DA251*DF253+DA320*DF322+DA389*DF391+DA458*DF459+DA483*DF485+DA563*DF564)/DA20,(DA182*DF184+DA251*DF253+DA320*DF322+DA389*DF391+DA458*DF459+DA483*DF485)/DA20)</f>
        <v>1.9018489910073043E-3</v>
      </c>
      <c r="DG22" s="52">
        <f>IFERROR((DB182*DG184+DB251*DG253+DB320*DG322+DB389*DG391+DB458*DG459+DB483*DG485+DB563*DG564)/DB20,(DB182*DG184+DB251*DG253+DB320*DG322+DB389*DG391+DB458*DG459+DB483*DG485)/DB20)</f>
        <v>6.886977288357625E-3</v>
      </c>
      <c r="DH22" s="52">
        <f>IFERROR((DC182*DH184+DC251*DH253+DC320*DH322+DC389*DH391+DC458*DH459+DC483*DH485+DC563*DH564)/DC20,(DC182*DH184+DC251*DH253+DC320*DH322+DC389*DH391+DC458*DH459+DC483*DH485)/DC20)</f>
        <v>7.1439572043373849E-3</v>
      </c>
      <c r="DI22" s="112">
        <f>SUMPRODUCT(DE22:DH22,CZ20:DC20)/DD20</f>
        <v>4.0492115284841172E-3</v>
      </c>
    </row>
    <row r="23" spans="1:113" s="4" customFormat="1" ht="12" customHeight="1">
      <c r="A23" s="219" t="str">
        <f t="shared" si="0"/>
        <v xml:space="preserve"> </v>
      </c>
      <c r="B23" s="491" t="s">
        <v>141</v>
      </c>
      <c r="C23" s="538"/>
      <c r="D23" s="539"/>
      <c r="E23" s="538"/>
      <c r="F23" s="539"/>
      <c r="G23" s="538"/>
      <c r="H23" s="539"/>
      <c r="I23" s="538"/>
      <c r="J23" s="539"/>
      <c r="K23" s="538"/>
      <c r="L23" s="539"/>
      <c r="M23" s="538"/>
      <c r="N23" s="539"/>
      <c r="O23" s="538"/>
      <c r="P23" s="539"/>
      <c r="Q23" s="538"/>
      <c r="R23" s="539"/>
      <c r="S23" s="539"/>
      <c r="T23" s="539"/>
      <c r="U23" s="539"/>
      <c r="V23" s="538"/>
      <c r="W23" s="539"/>
      <c r="X23" s="539"/>
      <c r="Y23" s="539"/>
      <c r="Z23" s="539"/>
      <c r="AA23" s="538"/>
      <c r="AB23" s="538"/>
      <c r="AC23" s="539"/>
      <c r="AD23" s="539"/>
      <c r="AE23" s="539"/>
      <c r="AF23" s="539"/>
      <c r="AG23" s="538"/>
      <c r="AH23" s="539"/>
      <c r="AI23" s="539"/>
      <c r="AJ23" s="539"/>
      <c r="AK23" s="539"/>
      <c r="AL23" s="538"/>
      <c r="AM23" s="52">
        <f t="shared" ref="AM23:BD23" si="93">(1+AM21)/(1+AM22)-1</f>
        <v>-4.3222543082209741E-3</v>
      </c>
      <c r="AN23" s="52">
        <f t="shared" si="93"/>
        <v>-2.7486038231131604E-2</v>
      </c>
      <c r="AO23" s="52">
        <f t="shared" si="93"/>
        <v>-5.3102422331551158E-2</v>
      </c>
      <c r="AP23" s="52">
        <f t="shared" si="93"/>
        <v>-7.2852417985161178E-2</v>
      </c>
      <c r="AQ23" s="112">
        <f t="shared" si="93"/>
        <v>-3.9933688567176051E-2</v>
      </c>
      <c r="AR23" s="52">
        <f t="shared" si="93"/>
        <v>-7.5331777200455585E-2</v>
      </c>
      <c r="AS23" s="52">
        <f t="shared" si="93"/>
        <v>-7.0121951219512257E-2</v>
      </c>
      <c r="AT23" s="52">
        <f t="shared" si="93"/>
        <v>-5.5547716476177067E-2</v>
      </c>
      <c r="AU23" s="52">
        <f t="shared" si="93"/>
        <v>-2.77281459964549E-2</v>
      </c>
      <c r="AV23" s="112">
        <f t="shared" si="93"/>
        <v>-5.7428558202825664E-2</v>
      </c>
      <c r="AW23" s="52">
        <f t="shared" si="93"/>
        <v>-2.1003954448214013E-2</v>
      </c>
      <c r="AX23" s="52">
        <f t="shared" si="93"/>
        <v>-1.456231146577236E-2</v>
      </c>
      <c r="AY23" s="52">
        <f t="shared" si="93"/>
        <v>-1.8877759988085163E-2</v>
      </c>
      <c r="AZ23" s="52">
        <f t="shared" si="93"/>
        <v>-1.6333600874269494E-2</v>
      </c>
      <c r="BA23" s="112">
        <f t="shared" si="93"/>
        <v>-1.777442267439866E-2</v>
      </c>
      <c r="BB23" s="52">
        <f t="shared" si="93"/>
        <v>9.9326785123055039E-4</v>
      </c>
      <c r="BC23" s="52">
        <f t="shared" si="93"/>
        <v>1.5263370285090172E-2</v>
      </c>
      <c r="BD23" s="52">
        <f t="shared" si="93"/>
        <v>3.4431937510362776E-2</v>
      </c>
      <c r="BE23" s="52">
        <f t="shared" ref="BE23:BZ23" si="94">(1+BE21)/(1+BE22)-1</f>
        <v>4.4587863188762178E-2</v>
      </c>
      <c r="BF23" s="112">
        <f t="shared" si="94"/>
        <v>2.4041064055109418E-2</v>
      </c>
      <c r="BG23" s="52">
        <f t="shared" si="94"/>
        <v>6.2409597119246207E-3</v>
      </c>
      <c r="BH23" s="52">
        <f t="shared" si="94"/>
        <v>-3.8717907698870846E-2</v>
      </c>
      <c r="BI23" s="52">
        <f t="shared" si="94"/>
        <v>-3.6224559376830223E-2</v>
      </c>
      <c r="BJ23" s="52">
        <f t="shared" si="94"/>
        <v>-5.42259864969028E-2</v>
      </c>
      <c r="BK23" s="112">
        <f t="shared" si="94"/>
        <v>-3.1229877656149374E-2</v>
      </c>
      <c r="BL23" s="52">
        <f t="shared" si="94"/>
        <v>-2.5843476989436009E-2</v>
      </c>
      <c r="BM23" s="52">
        <f t="shared" si="94"/>
        <v>-2.5170354454327581E-2</v>
      </c>
      <c r="BN23" s="52">
        <f t="shared" si="94"/>
        <v>-1.7480943272749294E-2</v>
      </c>
      <c r="BO23" s="52">
        <f t="shared" si="94"/>
        <v>-3.1415701099764215E-2</v>
      </c>
      <c r="BP23" s="112">
        <f t="shared" si="94"/>
        <v>-2.436161457810293E-2</v>
      </c>
      <c r="BQ23" s="52">
        <f t="shared" si="94"/>
        <v>-6.1913696060037493E-3</v>
      </c>
      <c r="BR23" s="52">
        <f t="shared" si="94"/>
        <v>1.7574727436957094E-2</v>
      </c>
      <c r="BS23" s="52">
        <f t="shared" si="94"/>
        <v>3.5393523517039061E-2</v>
      </c>
      <c r="BT23" s="52">
        <f t="shared" si="94"/>
        <v>4.0069293015762897E-2</v>
      </c>
      <c r="BU23" s="112">
        <f t="shared" si="94"/>
        <v>2.1977401674429187E-2</v>
      </c>
      <c r="BV23" s="52">
        <f t="shared" si="94"/>
        <v>3.2255454569972253E-2</v>
      </c>
      <c r="BW23" s="52">
        <f t="shared" si="94"/>
        <v>1.0139642444187524E-2</v>
      </c>
      <c r="BX23" s="52">
        <f t="shared" si="94"/>
        <v>-2.8121971541880786E-2</v>
      </c>
      <c r="BY23" s="52">
        <f t="shared" si="94"/>
        <v>-3.777787565516677E-2</v>
      </c>
      <c r="BZ23" s="112">
        <f t="shared" si="94"/>
        <v>-6.3427285815909062E-3</v>
      </c>
      <c r="CA23" s="52">
        <f t="shared" ref="CA23:CE23" si="95">(1+CA21)/(1+CA22)-1</f>
        <v>-5.8324921322961853E-2</v>
      </c>
      <c r="CB23" s="52">
        <f t="shared" si="95"/>
        <v>-7.6846705247518132E-2</v>
      </c>
      <c r="CC23" s="52">
        <f t="shared" si="95"/>
        <v>-4.2244070841472414E-2</v>
      </c>
      <c r="CD23" s="52">
        <f t="shared" si="95"/>
        <v>-2.9344449893738855E-2</v>
      </c>
      <c r="CE23" s="112">
        <f t="shared" si="95"/>
        <v>-5.2333778637960071E-2</v>
      </c>
      <c r="CF23" s="52">
        <f t="shared" ref="CF23:CJ23" si="96">(1+CF21)/(1+CF22)-1</f>
        <v>-1.3445908039266818E-4</v>
      </c>
      <c r="CG23" s="52">
        <f t="shared" si="96"/>
        <v>1.5638927768105271E-2</v>
      </c>
      <c r="CH23" s="52">
        <f t="shared" si="96"/>
        <v>3.1476997578692156E-3</v>
      </c>
      <c r="CI23" s="52">
        <f t="shared" si="96"/>
        <v>-1.7076023391812911E-2</v>
      </c>
      <c r="CJ23" s="112">
        <f t="shared" si="96"/>
        <v>4.7548005272557425E-4</v>
      </c>
      <c r="CK23" s="52">
        <f t="shared" ref="CK23:CO23" si="97">(1+CK21)/(1+CK22)-1</f>
        <v>-1.5753548561339037E-2</v>
      </c>
      <c r="CL23" s="52">
        <f>(1+CL21)/(1+CL22)-1</f>
        <v>1.4029293085163985E-2</v>
      </c>
      <c r="CM23" s="52">
        <f t="shared" si="97"/>
        <v>-2.5086145218821243E-2</v>
      </c>
      <c r="CN23" s="52">
        <f>(1+CN21)/(1+CN22)-1</f>
        <v>-1.0904384749905072E-2</v>
      </c>
      <c r="CO23" s="112">
        <f t="shared" si="97"/>
        <v>-9.1338817199976274E-3</v>
      </c>
      <c r="CP23" s="52">
        <f t="shared" ref="CP23:CT23" si="98">(1+CP21)/(1+CP22)-1</f>
        <v>2.1519012717563069E-2</v>
      </c>
      <c r="CQ23" s="52">
        <f>(1+CQ21)/(1+CQ22)-1</f>
        <v>5.9090173223248499E-3</v>
      </c>
      <c r="CR23" s="52">
        <f t="shared" si="98"/>
        <v>3.1842670294293329E-2</v>
      </c>
      <c r="CS23" s="52">
        <f t="shared" si="98"/>
        <v>2.9933014928959834E-2</v>
      </c>
      <c r="CT23" s="112">
        <f t="shared" si="98"/>
        <v>2.1731222016790452E-2</v>
      </c>
      <c r="CU23" s="52">
        <f t="shared" ref="CU23:CY23" si="99">(1+CU21)/(1+CU22)-1</f>
        <v>7.0953835099694107E-3</v>
      </c>
      <c r="CV23" s="52">
        <f t="shared" si="99"/>
        <v>-1.2795268895871015E-4</v>
      </c>
      <c r="CW23" s="52">
        <f t="shared" si="99"/>
        <v>-4.8220525071650533E-3</v>
      </c>
      <c r="CX23" s="52">
        <f t="shared" si="99"/>
        <v>-6.3419177206089916E-3</v>
      </c>
      <c r="CY23" s="112">
        <f t="shared" si="99"/>
        <v>-8.3649928084961189E-4</v>
      </c>
      <c r="CZ23" s="52">
        <f t="shared" ref="CZ23:DD23" si="100">(1+CZ21)/(1+CZ22)-1</f>
        <v>-2.3884174187864815E-3</v>
      </c>
      <c r="DA23" s="52">
        <f t="shared" si="100"/>
        <v>0</v>
      </c>
      <c r="DB23" s="52">
        <f t="shared" si="100"/>
        <v>0</v>
      </c>
      <c r="DC23" s="52">
        <f t="shared" si="100"/>
        <v>0</v>
      </c>
      <c r="DD23" s="112">
        <f t="shared" si="100"/>
        <v>-6.1256697844858099E-4</v>
      </c>
      <c r="DE23" s="52">
        <f t="shared" ref="DE23:DI23" si="101">(1+DE21)/(1+DE22)-1</f>
        <v>0</v>
      </c>
      <c r="DF23" s="52">
        <f t="shared" si="101"/>
        <v>0</v>
      </c>
      <c r="DG23" s="52">
        <f t="shared" si="101"/>
        <v>0</v>
      </c>
      <c r="DH23" s="52">
        <f t="shared" si="101"/>
        <v>0</v>
      </c>
      <c r="DI23" s="112">
        <f t="shared" si="101"/>
        <v>0</v>
      </c>
    </row>
    <row r="24" spans="1:113" ht="12" hidden="1" customHeight="1" outlineLevel="1">
      <c r="A24" s="219"/>
      <c r="B24" s="18"/>
      <c r="C24" s="538"/>
      <c r="D24" s="539"/>
      <c r="E24" s="538"/>
      <c r="F24" s="539"/>
      <c r="G24" s="538"/>
      <c r="H24" s="539"/>
      <c r="I24" s="538"/>
      <c r="J24" s="539"/>
      <c r="K24" s="538"/>
      <c r="L24" s="539"/>
      <c r="M24" s="538"/>
      <c r="N24" s="539"/>
      <c r="O24" s="538"/>
      <c r="P24" s="539"/>
      <c r="Q24" s="538"/>
      <c r="R24" s="376"/>
      <c r="S24" s="376"/>
      <c r="T24" s="376"/>
      <c r="U24" s="376"/>
      <c r="V24" s="375"/>
      <c r="W24" s="376"/>
      <c r="X24" s="376"/>
      <c r="Y24" s="376"/>
      <c r="Z24" s="376"/>
      <c r="AA24" s="375"/>
      <c r="AB24" s="375"/>
      <c r="AC24" s="376"/>
      <c r="AD24" s="376"/>
      <c r="AE24" s="376"/>
      <c r="AF24" s="376"/>
      <c r="AG24" s="375"/>
      <c r="AH24" s="376"/>
      <c r="AI24" s="376"/>
      <c r="AJ24" s="376"/>
      <c r="AK24" s="376"/>
      <c r="AL24" s="375"/>
      <c r="AM24" s="376"/>
      <c r="AN24" s="376"/>
      <c r="AO24" s="376"/>
      <c r="AP24" s="376"/>
      <c r="AQ24" s="375"/>
      <c r="AR24" s="376"/>
      <c r="AS24" s="376"/>
      <c r="AT24" s="376"/>
      <c r="AU24" s="376"/>
      <c r="AV24" s="375"/>
      <c r="AW24" s="376"/>
      <c r="AX24" s="376"/>
      <c r="AY24" s="376"/>
      <c r="AZ24" s="376"/>
      <c r="BA24" s="375"/>
      <c r="BB24" s="376"/>
      <c r="BC24" s="376"/>
      <c r="BD24" s="376"/>
      <c r="BE24" s="376"/>
      <c r="BF24" s="375"/>
      <c r="BG24" s="376"/>
      <c r="BH24" s="376"/>
      <c r="BI24" s="376"/>
      <c r="BJ24" s="376"/>
      <c r="BK24" s="375"/>
      <c r="BL24" s="376"/>
      <c r="BM24" s="49"/>
      <c r="BN24" s="376"/>
      <c r="BO24" s="376"/>
      <c r="BP24" s="375"/>
      <c r="BQ24" s="376"/>
      <c r="BR24" s="49"/>
      <c r="BS24" s="376"/>
      <c r="BT24" s="376"/>
      <c r="BU24" s="375"/>
      <c r="BV24" s="376"/>
      <c r="BW24" s="376"/>
      <c r="BX24" s="376"/>
      <c r="BY24" s="376"/>
      <c r="BZ24" s="42"/>
      <c r="CA24" s="376"/>
      <c r="CB24" s="376"/>
      <c r="CC24" s="376"/>
      <c r="CD24" s="376"/>
      <c r="CE24" s="42"/>
      <c r="CF24" s="376"/>
      <c r="CG24" s="376"/>
      <c r="CH24" s="376"/>
      <c r="CI24" s="376"/>
      <c r="CJ24" s="42"/>
      <c r="CK24" s="376"/>
      <c r="CL24" s="376"/>
      <c r="CM24" s="376"/>
      <c r="CN24" s="43"/>
      <c r="CO24" s="42"/>
      <c r="CP24" s="376"/>
      <c r="CQ24" s="376"/>
      <c r="CR24" s="540"/>
      <c r="CS24" s="376"/>
      <c r="CT24" s="42"/>
      <c r="CU24" s="376"/>
      <c r="CV24" s="376"/>
      <c r="CW24" s="376"/>
      <c r="CX24" s="376"/>
      <c r="CY24" s="42"/>
      <c r="CZ24" s="376"/>
      <c r="DA24" s="376"/>
      <c r="DB24" s="376"/>
      <c r="DC24" s="376"/>
      <c r="DD24" s="42"/>
      <c r="DE24" s="376"/>
      <c r="DF24" s="376"/>
      <c r="DG24" s="376"/>
      <c r="DH24" s="376"/>
      <c r="DI24" s="42"/>
    </row>
    <row r="25" spans="1:113" ht="12" hidden="1" customHeight="1" outlineLevel="1">
      <c r="A25" s="219" t="str">
        <f t="shared" si="0"/>
        <v xml:space="preserve"> </v>
      </c>
      <c r="B25" s="18" t="s">
        <v>191</v>
      </c>
      <c r="C25" s="541"/>
      <c r="D25" s="523"/>
      <c r="E25" s="541"/>
      <c r="F25" s="523"/>
      <c r="G25" s="541"/>
      <c r="H25" s="523"/>
      <c r="I25" s="541"/>
      <c r="J25" s="523"/>
      <c r="K25" s="541"/>
      <c r="L25" s="523"/>
      <c r="M25" s="541"/>
      <c r="N25" s="523"/>
      <c r="O25" s="541"/>
      <c r="P25" s="523"/>
      <c r="Q25" s="541"/>
      <c r="R25" s="43"/>
      <c r="S25" s="43"/>
      <c r="T25" s="43"/>
      <c r="U25" s="43"/>
      <c r="V25" s="36"/>
      <c r="W25" s="43"/>
      <c r="X25" s="43"/>
      <c r="Y25" s="43"/>
      <c r="Z25" s="43"/>
      <c r="AA25" s="36"/>
      <c r="AB25" s="36"/>
      <c r="AC25" s="43"/>
      <c r="AD25" s="43"/>
      <c r="AE25" s="43"/>
      <c r="AF25" s="43"/>
      <c r="AG25" s="36"/>
      <c r="AH25" s="43"/>
      <c r="AI25" s="43"/>
      <c r="AJ25" s="43"/>
      <c r="AK25" s="43"/>
      <c r="AL25" s="36"/>
      <c r="AM25" s="43"/>
      <c r="AN25" s="43"/>
      <c r="AO25" s="43"/>
      <c r="AP25" s="43"/>
      <c r="AQ25" s="36"/>
      <c r="AR25" s="43"/>
      <c r="AS25" s="43"/>
      <c r="AT25" s="43"/>
      <c r="AU25" s="43"/>
      <c r="AV25" s="36"/>
      <c r="AW25" s="43"/>
      <c r="AX25" s="43"/>
      <c r="AY25" s="43"/>
      <c r="AZ25" s="43"/>
      <c r="BA25" s="36"/>
      <c r="BB25" s="43"/>
      <c r="BC25" s="43"/>
      <c r="BD25" s="43"/>
      <c r="BE25" s="43"/>
      <c r="BF25" s="36"/>
      <c r="BG25" s="43"/>
      <c r="BH25" s="43"/>
      <c r="BI25" s="43"/>
      <c r="BJ25" s="43"/>
      <c r="BK25" s="36"/>
      <c r="BL25" s="43"/>
      <c r="BM25" s="43"/>
      <c r="BN25" s="43"/>
      <c r="BO25" s="43"/>
      <c r="BP25" s="36"/>
      <c r="BQ25" s="43"/>
      <c r="BR25" s="43"/>
      <c r="BS25" s="43"/>
      <c r="BT25" s="43"/>
      <c r="BU25" s="36"/>
      <c r="BV25" s="43"/>
      <c r="BW25" s="43"/>
      <c r="BX25" s="43"/>
      <c r="BY25" s="43"/>
      <c r="BZ25" s="36"/>
      <c r="CA25" s="43"/>
      <c r="CB25" s="43"/>
      <c r="CC25" s="43"/>
      <c r="CD25" s="43"/>
      <c r="CE25" s="36"/>
      <c r="CF25" s="43"/>
      <c r="CG25" s="43"/>
      <c r="CH25" s="43"/>
      <c r="CI25" s="43"/>
      <c r="CJ25" s="36"/>
      <c r="CK25" s="43"/>
      <c r="CL25" s="43"/>
      <c r="CM25" s="43"/>
      <c r="CN25" s="43"/>
      <c r="CO25" s="36"/>
      <c r="CP25" s="43"/>
      <c r="CQ25" s="43"/>
      <c r="CR25" s="43"/>
      <c r="CS25" s="43"/>
      <c r="CT25" s="36"/>
      <c r="CU25" s="43"/>
      <c r="CV25" s="377"/>
      <c r="CW25" s="377"/>
      <c r="CX25" s="43"/>
      <c r="CY25" s="36"/>
      <c r="CZ25" s="43"/>
      <c r="DA25" s="43"/>
      <c r="DB25" s="43"/>
      <c r="DC25" s="43"/>
      <c r="DD25" s="36"/>
      <c r="DE25" s="43"/>
      <c r="DF25" s="43"/>
      <c r="DG25" s="43"/>
      <c r="DH25" s="43"/>
      <c r="DI25" s="36"/>
    </row>
    <row r="26" spans="1:113" ht="12" hidden="1" customHeight="1" outlineLevel="1">
      <c r="A26" s="219" t="str">
        <f t="shared" si="0"/>
        <v xml:space="preserve"> </v>
      </c>
      <c r="B26" s="17" t="s">
        <v>95</v>
      </c>
      <c r="C26" s="36"/>
      <c r="D26" s="43"/>
      <c r="E26" s="36"/>
      <c r="F26" s="43"/>
      <c r="G26" s="36"/>
      <c r="H26" s="43"/>
      <c r="I26" s="36"/>
      <c r="J26" s="43"/>
      <c r="K26" s="36"/>
      <c r="L26" s="43"/>
      <c r="M26" s="36"/>
      <c r="N26" s="43"/>
      <c r="O26" s="36"/>
      <c r="P26" s="43"/>
      <c r="Q26" s="36"/>
      <c r="R26" s="542" t="s">
        <v>126</v>
      </c>
      <c r="S26" s="543" t="s">
        <v>126</v>
      </c>
      <c r="T26" s="543" t="s">
        <v>126</v>
      </c>
      <c r="U26" s="543" t="s">
        <v>126</v>
      </c>
      <c r="V26" s="544" t="s">
        <v>126</v>
      </c>
      <c r="W26" s="542" t="s">
        <v>126</v>
      </c>
      <c r="X26" s="543" t="s">
        <v>126</v>
      </c>
      <c r="Y26" s="543" t="s">
        <v>126</v>
      </c>
      <c r="Z26" s="543" t="s">
        <v>126</v>
      </c>
      <c r="AA26" s="544" t="s">
        <v>126</v>
      </c>
      <c r="AB26" s="544"/>
      <c r="AC26" s="542" t="s">
        <v>126</v>
      </c>
      <c r="AD26" s="543" t="s">
        <v>126</v>
      </c>
      <c r="AE26" s="543" t="s">
        <v>126</v>
      </c>
      <c r="AF26" s="543" t="s">
        <v>126</v>
      </c>
      <c r="AG26" s="544" t="s">
        <v>126</v>
      </c>
      <c r="AH26" s="43">
        <v>3979</v>
      </c>
      <c r="AI26" s="43">
        <v>3611</v>
      </c>
      <c r="AJ26" s="43">
        <v>4216</v>
      </c>
      <c r="AK26" s="43">
        <v>4402</v>
      </c>
      <c r="AL26" s="36">
        <f>SUM(AH26:AK26)</f>
        <v>16208</v>
      </c>
      <c r="AM26" s="43">
        <v>4701</v>
      </c>
      <c r="AN26" s="43">
        <v>4266</v>
      </c>
      <c r="AO26" s="43">
        <v>4570</v>
      </c>
      <c r="AP26" s="43">
        <v>4781</v>
      </c>
      <c r="AQ26" s="36">
        <f>SUM(AM26:AP26)</f>
        <v>18318</v>
      </c>
      <c r="AR26" s="43">
        <v>5123</v>
      </c>
      <c r="AS26" s="43">
        <v>4592</v>
      </c>
      <c r="AT26" s="43">
        <v>5074</v>
      </c>
      <c r="AU26" s="43">
        <v>5082</v>
      </c>
      <c r="AV26" s="36">
        <f>SUM(AR26:AU26)</f>
        <v>19871</v>
      </c>
      <c r="AW26" s="43">
        <v>5472</v>
      </c>
      <c r="AX26" s="43">
        <v>4822</v>
      </c>
      <c r="AY26" s="43">
        <v>5314</v>
      </c>
      <c r="AZ26" s="43">
        <v>5473</v>
      </c>
      <c r="BA26" s="36">
        <f>SUM(AW26:AZ26)</f>
        <v>21081</v>
      </c>
      <c r="BB26" s="43">
        <v>5493</v>
      </c>
      <c r="BC26" s="43">
        <v>5026</v>
      </c>
      <c r="BD26" s="43">
        <v>5605</v>
      </c>
      <c r="BE26" s="43">
        <v>6144</v>
      </c>
      <c r="BF26" s="36">
        <f>SUM(BB26:BE26)</f>
        <v>22268</v>
      </c>
      <c r="BG26" s="43">
        <v>6036</v>
      </c>
      <c r="BH26" s="43">
        <v>5565</v>
      </c>
      <c r="BI26" s="43">
        <v>6122</v>
      </c>
      <c r="BJ26" s="43">
        <v>6499</v>
      </c>
      <c r="BK26" s="36">
        <f>SUM(BG26:BJ26)</f>
        <v>24222</v>
      </c>
      <c r="BL26" s="43">
        <v>6521</v>
      </c>
      <c r="BM26" s="43">
        <v>6206</v>
      </c>
      <c r="BN26" s="43">
        <v>6377</v>
      </c>
      <c r="BO26" s="43">
        <v>4201</v>
      </c>
      <c r="BP26" s="36">
        <f>SUM(BL26:BO26)</f>
        <v>23305</v>
      </c>
      <c r="BQ26" s="43">
        <v>6768</v>
      </c>
      <c r="BR26" s="43">
        <v>6801</v>
      </c>
      <c r="BS26" s="43">
        <v>6505</v>
      </c>
      <c r="BT26" s="43">
        <v>7947</v>
      </c>
      <c r="BU26" s="36">
        <f>SUM(BQ26:BT26)</f>
        <v>28021</v>
      </c>
      <c r="BV26" s="43">
        <v>7718</v>
      </c>
      <c r="BW26" s="43">
        <v>6780</v>
      </c>
      <c r="BX26" s="43">
        <v>6660</v>
      </c>
      <c r="BY26" s="43">
        <v>7985</v>
      </c>
      <c r="BZ26" s="36">
        <f>SUM(BV26:BY26)</f>
        <v>29143</v>
      </c>
      <c r="CA26" s="43">
        <v>8114</v>
      </c>
      <c r="CB26" s="43">
        <v>8504</v>
      </c>
      <c r="CC26" s="43">
        <v>7970</v>
      </c>
      <c r="CD26" s="43">
        <v>8547</v>
      </c>
      <c r="CE26" s="36">
        <f>SUM(CA26:CD26)</f>
        <v>33135</v>
      </c>
      <c r="CF26" s="43">
        <v>8421</v>
      </c>
      <c r="CG26" s="43">
        <v>8607</v>
      </c>
      <c r="CH26" s="43">
        <v>8162</v>
      </c>
      <c r="CI26" s="43">
        <v>8237</v>
      </c>
      <c r="CJ26" s="36">
        <f>SUM(CF26:CI26)</f>
        <v>33427</v>
      </c>
      <c r="CK26" s="43">
        <v>7462</v>
      </c>
      <c r="CL26" s="43">
        <v>7655</v>
      </c>
      <c r="CM26" s="43">
        <v>7208</v>
      </c>
      <c r="CN26" s="43">
        <v>7185</v>
      </c>
      <c r="CO26" s="36">
        <f>SUM(CK26:CN26)</f>
        <v>29510</v>
      </c>
      <c r="CP26" s="43">
        <v>7410</v>
      </c>
      <c r="CQ26" s="43">
        <v>7659</v>
      </c>
      <c r="CR26" s="43">
        <v>7353</v>
      </c>
      <c r="CS26" s="43">
        <v>7103</v>
      </c>
      <c r="CT26" s="36">
        <f>SUM(CP26:CS26)</f>
        <v>29525</v>
      </c>
      <c r="CU26" s="43">
        <v>6951</v>
      </c>
      <c r="CV26" s="43">
        <f>+CV187+CV256+CV325+CV394</f>
        <v>6646.1922399999994</v>
      </c>
      <c r="CW26" s="43">
        <f>+CW187+CW256+CW325+CW394</f>
        <v>6685.7436799999987</v>
      </c>
      <c r="CX26" s="43">
        <f>+CX187+CX256+CX325+CX394</f>
        <v>6364.28676</v>
      </c>
      <c r="CY26" s="36">
        <f>SUM(CU26:CX26)</f>
        <v>26647.222679999999</v>
      </c>
      <c r="CZ26" s="43">
        <f>+CZ187+CZ256+CZ325+CZ394</f>
        <v>6357.0787500000006</v>
      </c>
      <c r="DA26" s="43">
        <f>+DA187+DA256+DA325+DA394</f>
        <v>6290.3793226000007</v>
      </c>
      <c r="DB26" s="43">
        <f>+DB187+DB256+DB325+DB394</f>
        <v>6484.0013920000001</v>
      </c>
      <c r="DC26" s="43">
        <f>+DC187+DC256+DC325+DC394</f>
        <v>6182.8503707999989</v>
      </c>
      <c r="DD26" s="36">
        <f>SUM(CZ26:DC26)</f>
        <v>25314.309835400003</v>
      </c>
      <c r="DE26" s="43">
        <f>+DE187+DE256+DE325+DE394</f>
        <v>6357.6009033999999</v>
      </c>
      <c r="DF26" s="43">
        <f>+DF187+DF256+DF325+DF394</f>
        <v>6301.5688089240011</v>
      </c>
      <c r="DG26" s="43">
        <f>+DG187+DG256+DG325+DG394</f>
        <v>6528.5562055559994</v>
      </c>
      <c r="DH26" s="43">
        <f>+DH187+DH256+DH325+DH394</f>
        <v>6226.2179414319999</v>
      </c>
      <c r="DI26" s="36">
        <f>SUM(DE26:DH26)</f>
        <v>25413.943859311999</v>
      </c>
    </row>
    <row r="27" spans="1:113" ht="12" hidden="1" customHeight="1" outlineLevel="1">
      <c r="A27" s="219" t="str">
        <f t="shared" si="0"/>
        <v xml:space="preserve"> </v>
      </c>
      <c r="B27" s="491" t="s">
        <v>171</v>
      </c>
      <c r="C27" s="492"/>
      <c r="D27" s="522"/>
      <c r="E27" s="492"/>
      <c r="F27" s="522"/>
      <c r="G27" s="492"/>
      <c r="H27" s="522"/>
      <c r="I27" s="492"/>
      <c r="J27" s="522"/>
      <c r="K27" s="492"/>
      <c r="L27" s="522"/>
      <c r="M27" s="492"/>
      <c r="N27" s="522"/>
      <c r="O27" s="492"/>
      <c r="P27" s="522"/>
      <c r="Q27" s="492"/>
      <c r="R27" s="378" t="s">
        <v>126</v>
      </c>
      <c r="S27" s="522" t="s">
        <v>126</v>
      </c>
      <c r="T27" s="522" t="s">
        <v>126</v>
      </c>
      <c r="U27" s="522" t="s">
        <v>126</v>
      </c>
      <c r="V27" s="492" t="s">
        <v>126</v>
      </c>
      <c r="W27" s="378" t="s">
        <v>126</v>
      </c>
      <c r="X27" s="522" t="s">
        <v>126</v>
      </c>
      <c r="Y27" s="522" t="s">
        <v>126</v>
      </c>
      <c r="Z27" s="522" t="s">
        <v>126</v>
      </c>
      <c r="AA27" s="492" t="s">
        <v>126</v>
      </c>
      <c r="AB27" s="492"/>
      <c r="AC27" s="378" t="s">
        <v>126</v>
      </c>
      <c r="AD27" s="522" t="s">
        <v>126</v>
      </c>
      <c r="AE27" s="522" t="s">
        <v>126</v>
      </c>
      <c r="AF27" s="522" t="s">
        <v>126</v>
      </c>
      <c r="AG27" s="492" t="s">
        <v>126</v>
      </c>
      <c r="AH27" s="378" t="s">
        <v>126</v>
      </c>
      <c r="AI27" s="522" t="s">
        <v>126</v>
      </c>
      <c r="AJ27" s="522" t="s">
        <v>126</v>
      </c>
      <c r="AK27" s="522" t="s">
        <v>126</v>
      </c>
      <c r="AL27" s="492" t="s">
        <v>126</v>
      </c>
      <c r="AM27" s="52">
        <f t="shared" ref="AM27:BJ27" si="102">+AM26/AH26-1</f>
        <v>0.18145262628801206</v>
      </c>
      <c r="AN27" s="52">
        <f t="shared" si="102"/>
        <v>0.18139019662143441</v>
      </c>
      <c r="AO27" s="52">
        <f t="shared" si="102"/>
        <v>8.3965844402277057E-2</v>
      </c>
      <c r="AP27" s="52">
        <f t="shared" si="102"/>
        <v>8.6097228532485248E-2</v>
      </c>
      <c r="AQ27" s="112">
        <f t="shared" si="102"/>
        <v>0.13018262586377105</v>
      </c>
      <c r="AR27" s="52">
        <f t="shared" si="102"/>
        <v>8.9768134439480951E-2</v>
      </c>
      <c r="AS27" s="52">
        <f t="shared" si="102"/>
        <v>7.6418190342240955E-2</v>
      </c>
      <c r="AT27" s="52">
        <f t="shared" si="102"/>
        <v>0.11028446389496716</v>
      </c>
      <c r="AU27" s="52">
        <f t="shared" si="102"/>
        <v>6.2957540263543166E-2</v>
      </c>
      <c r="AV27" s="112">
        <f t="shared" si="102"/>
        <v>8.4779997816355479E-2</v>
      </c>
      <c r="AW27" s="52">
        <f t="shared" si="102"/>
        <v>6.8124146008198272E-2</v>
      </c>
      <c r="AX27" s="52">
        <f t="shared" si="102"/>
        <v>5.0087108013937343E-2</v>
      </c>
      <c r="AY27" s="52">
        <f t="shared" si="102"/>
        <v>4.7299960583366163E-2</v>
      </c>
      <c r="AZ27" s="52">
        <f t="shared" si="102"/>
        <v>7.6938213301849689E-2</v>
      </c>
      <c r="BA27" s="112">
        <f t="shared" si="102"/>
        <v>6.0892758290976845E-2</v>
      </c>
      <c r="BB27" s="52">
        <f t="shared" si="102"/>
        <v>3.8377192982457231E-3</v>
      </c>
      <c r="BC27" s="52">
        <f t="shared" si="102"/>
        <v>4.230609705516386E-2</v>
      </c>
      <c r="BD27" s="52">
        <f t="shared" si="102"/>
        <v>5.4761008656379451E-2</v>
      </c>
      <c r="BE27" s="52">
        <f t="shared" si="102"/>
        <v>0.12260186369450032</v>
      </c>
      <c r="BF27" s="112">
        <f t="shared" si="102"/>
        <v>5.6306626820359584E-2</v>
      </c>
      <c r="BG27" s="52">
        <f t="shared" si="102"/>
        <v>9.885308574549434E-2</v>
      </c>
      <c r="BH27" s="52">
        <f t="shared" ref="BH27:BP27" si="103">+BH26/BC26-1</f>
        <v>0.10724233983286902</v>
      </c>
      <c r="BI27" s="52">
        <f t="shared" si="102"/>
        <v>9.2239072256913524E-2</v>
      </c>
      <c r="BJ27" s="52">
        <f t="shared" si="102"/>
        <v>5.7779947916666741E-2</v>
      </c>
      <c r="BK27" s="112">
        <f t="shared" si="103"/>
        <v>8.7749236572660427E-2</v>
      </c>
      <c r="BL27" s="52">
        <f t="shared" si="103"/>
        <v>8.0351225977468577E-2</v>
      </c>
      <c r="BM27" s="52">
        <f t="shared" si="103"/>
        <v>0.11518418688230003</v>
      </c>
      <c r="BN27" s="52">
        <f t="shared" si="103"/>
        <v>4.1653054557334146E-2</v>
      </c>
      <c r="BO27" s="52">
        <f t="shared" si="103"/>
        <v>-0.35359286044006766</v>
      </c>
      <c r="BP27" s="112">
        <f t="shared" si="103"/>
        <v>-3.7858145487573269E-2</v>
      </c>
      <c r="BQ27" s="52">
        <f t="shared" ref="BQ27:CE27" si="104">+BQ26/BL26-1</f>
        <v>3.7877626130961461E-2</v>
      </c>
      <c r="BR27" s="52">
        <f t="shared" si="104"/>
        <v>9.5874959716403474E-2</v>
      </c>
      <c r="BS27" s="52">
        <f t="shared" si="104"/>
        <v>2.0072134232397731E-2</v>
      </c>
      <c r="BT27" s="52">
        <f t="shared" si="104"/>
        <v>0.89169245417757681</v>
      </c>
      <c r="BU27" s="112">
        <f t="shared" si="104"/>
        <v>0.20236000858184933</v>
      </c>
      <c r="BV27" s="52">
        <f t="shared" si="104"/>
        <v>0.14036643026004736</v>
      </c>
      <c r="BW27" s="52">
        <f t="shared" si="104"/>
        <v>-3.0877812086458345E-3</v>
      </c>
      <c r="BX27" s="52">
        <f t="shared" si="104"/>
        <v>2.3827824750192184E-2</v>
      </c>
      <c r="BY27" s="52">
        <f t="shared" si="104"/>
        <v>4.7816786208632056E-3</v>
      </c>
      <c r="BZ27" s="112">
        <f t="shared" si="104"/>
        <v>4.004139752328606E-2</v>
      </c>
      <c r="CA27" s="52">
        <f t="shared" si="104"/>
        <v>5.1308629178543619E-2</v>
      </c>
      <c r="CB27" s="52">
        <f t="shared" ref="CB27" si="105">+CB26/BW26-1</f>
        <v>0.25427728613569323</v>
      </c>
      <c r="CC27" s="52">
        <f t="shared" si="104"/>
        <v>0.19669669669669676</v>
      </c>
      <c r="CD27" s="52">
        <f t="shared" si="104"/>
        <v>7.0381966186599865E-2</v>
      </c>
      <c r="CE27" s="112">
        <f t="shared" si="104"/>
        <v>0.13697972068764375</v>
      </c>
      <c r="CF27" s="52">
        <f t="shared" ref="CF27" si="106">+CF26/CA26-1</f>
        <v>3.7835839290115914E-2</v>
      </c>
      <c r="CG27" s="52">
        <f t="shared" ref="CG27:CH27" si="107">+CG26/CB26-1</f>
        <v>1.2111947318908856E-2</v>
      </c>
      <c r="CH27" s="52">
        <f t="shared" si="107"/>
        <v>2.4090338770389019E-2</v>
      </c>
      <c r="CI27" s="52">
        <f t="shared" ref="CI27" si="108">+CI26/CD26-1</f>
        <v>-3.6270036270036221E-2</v>
      </c>
      <c r="CJ27" s="112">
        <f t="shared" ref="CJ27" si="109">+CJ26/CE26-1</f>
        <v>8.8124339821940012E-3</v>
      </c>
      <c r="CK27" s="52">
        <f t="shared" ref="CK27:CL27" si="110">+CK26/CF26-1</f>
        <v>-0.11388196176226106</v>
      </c>
      <c r="CL27" s="52">
        <f t="shared" si="110"/>
        <v>-0.11060764494016495</v>
      </c>
      <c r="CM27" s="52">
        <f t="shared" ref="CM27" si="111">+CM26/CH26-1</f>
        <v>-0.11688311688311692</v>
      </c>
      <c r="CN27" s="52">
        <f t="shared" ref="CN27" si="112">+CN26/CI26-1</f>
        <v>-0.12771640160252518</v>
      </c>
      <c r="CO27" s="112">
        <f t="shared" ref="CO27" si="113">+CO26/CJ26-1</f>
        <v>-0.1171807221707003</v>
      </c>
      <c r="CP27" s="52">
        <f t="shared" ref="CP27:CQ27" si="114">+CP26/CK26-1</f>
        <v>-6.9686411149826322E-3</v>
      </c>
      <c r="CQ27" s="52">
        <f t="shared" si="114"/>
        <v>5.2253429131288165E-4</v>
      </c>
      <c r="CR27" s="52">
        <f t="shared" ref="CR27" si="115">+CR26/CM26-1</f>
        <v>2.0116537180909999E-2</v>
      </c>
      <c r="CS27" s="52">
        <f t="shared" ref="CS27" si="116">+CS26/CN26-1</f>
        <v>-1.1412665274878164E-2</v>
      </c>
      <c r="CT27" s="112">
        <f t="shared" ref="CT27" si="117">+CT26/CO26-1</f>
        <v>5.0830227041687159E-4</v>
      </c>
      <c r="CU27" s="52">
        <f t="shared" ref="CU27" si="118">+CU26/CP26-1</f>
        <v>-6.1943319838056676E-2</v>
      </c>
      <c r="CV27" s="52">
        <f t="shared" ref="CV27" si="119">+CV26/CQ26-1</f>
        <v>-0.13223759759759768</v>
      </c>
      <c r="CW27" s="52">
        <f t="shared" ref="CW27" si="120">+CW26/CR26-1</f>
        <v>-9.0746133550931751E-2</v>
      </c>
      <c r="CX27" s="52">
        <f t="shared" ref="CX27" si="121">+CX26/CS26-1</f>
        <v>-0.10400017457412358</v>
      </c>
      <c r="CY27" s="112">
        <f t="shared" ref="CY27" si="122">+CY26/CT26-1</f>
        <v>-9.7469172565622375E-2</v>
      </c>
      <c r="CZ27" s="52">
        <f t="shared" ref="CZ27" si="123">+CZ26/CU26-1</f>
        <v>-8.5444000863185043E-2</v>
      </c>
      <c r="DA27" s="52">
        <f t="shared" ref="DA27" si="124">+DA26/CV26-1</f>
        <v>-5.3536356540899388E-2</v>
      </c>
      <c r="DB27" s="52">
        <f t="shared" ref="DB27" si="125">+DB26/CW26-1</f>
        <v>-3.0174995880188793E-2</v>
      </c>
      <c r="DC27" s="52">
        <f t="shared" ref="DC27" si="126">+DC26/CX26-1</f>
        <v>-2.8508518871327659E-2</v>
      </c>
      <c r="DD27" s="112">
        <f t="shared" ref="DD27" si="127">+DD26/CY26-1</f>
        <v>-5.0020704243988967E-2</v>
      </c>
      <c r="DE27" s="52">
        <f t="shared" ref="DE27" si="128">+DE26/CZ26-1</f>
        <v>8.2137318182295971E-5</v>
      </c>
      <c r="DF27" s="52">
        <f t="shared" ref="DF27" si="129">+DF26/DA26-1</f>
        <v>1.7788253696877643E-3</v>
      </c>
      <c r="DG27" s="52">
        <f t="shared" ref="DG27" si="130">+DG26/DB26-1</f>
        <v>6.87149969014067E-3</v>
      </c>
      <c r="DH27" s="52">
        <f t="shared" ref="DH27" si="131">+DH26/DC26-1</f>
        <v>7.0141711397084805E-3</v>
      </c>
      <c r="DI27" s="112">
        <f t="shared" ref="DI27" si="132">+DI26/DD26-1</f>
        <v>3.935877555415912E-3</v>
      </c>
    </row>
    <row r="28" spans="1:113" s="3" customFormat="1" ht="12" hidden="1" customHeight="1" outlineLevel="1">
      <c r="A28" s="490" t="str">
        <f t="shared" si="0"/>
        <v xml:space="preserve"> </v>
      </c>
      <c r="B28" s="491" t="s">
        <v>173</v>
      </c>
      <c r="C28" s="492"/>
      <c r="D28" s="522"/>
      <c r="E28" s="492"/>
      <c r="F28" s="522"/>
      <c r="G28" s="492"/>
      <c r="H28" s="522"/>
      <c r="I28" s="492"/>
      <c r="J28" s="522"/>
      <c r="K28" s="492"/>
      <c r="L28" s="522"/>
      <c r="M28" s="492"/>
      <c r="N28" s="522"/>
      <c r="O28" s="492"/>
      <c r="P28" s="522"/>
      <c r="Q28" s="492"/>
      <c r="R28" s="378" t="s">
        <v>126</v>
      </c>
      <c r="S28" s="522" t="s">
        <v>126</v>
      </c>
      <c r="T28" s="522" t="s">
        <v>126</v>
      </c>
      <c r="U28" s="522" t="s">
        <v>126</v>
      </c>
      <c r="V28" s="492" t="s">
        <v>126</v>
      </c>
      <c r="W28" s="378" t="s">
        <v>126</v>
      </c>
      <c r="X28" s="522" t="s">
        <v>126</v>
      </c>
      <c r="Y28" s="522" t="s">
        <v>126</v>
      </c>
      <c r="Z28" s="522" t="s">
        <v>126</v>
      </c>
      <c r="AA28" s="492" t="s">
        <v>126</v>
      </c>
      <c r="AB28" s="492"/>
      <c r="AC28" s="378" t="s">
        <v>126</v>
      </c>
      <c r="AD28" s="522" t="s">
        <v>126</v>
      </c>
      <c r="AE28" s="522" t="s">
        <v>126</v>
      </c>
      <c r="AF28" s="522" t="s">
        <v>126</v>
      </c>
      <c r="AG28" s="492" t="s">
        <v>126</v>
      </c>
      <c r="AH28" s="378" t="s">
        <v>126</v>
      </c>
      <c r="AI28" s="522" t="s">
        <v>126</v>
      </c>
      <c r="AJ28" s="522" t="s">
        <v>126</v>
      </c>
      <c r="AK28" s="522" t="s">
        <v>126</v>
      </c>
      <c r="AL28" s="492" t="s">
        <v>126</v>
      </c>
      <c r="AM28" s="378" t="s">
        <v>126</v>
      </c>
      <c r="AN28" s="522" t="s">
        <v>126</v>
      </c>
      <c r="AO28" s="522" t="s">
        <v>126</v>
      </c>
      <c r="AP28" s="522" t="s">
        <v>126</v>
      </c>
      <c r="AQ28" s="112">
        <v>0.17</v>
      </c>
      <c r="AR28" s="52">
        <v>0.18</v>
      </c>
      <c r="AS28" s="52">
        <v>0.16</v>
      </c>
      <c r="AT28" s="52">
        <v>0.18</v>
      </c>
      <c r="AU28" s="52">
        <v>0.09</v>
      </c>
      <c r="AV28" s="112">
        <v>0.15</v>
      </c>
      <c r="AW28" s="52">
        <v>0.1</v>
      </c>
      <c r="AX28" s="52">
        <v>7.0000000000000007E-2</v>
      </c>
      <c r="AY28" s="52">
        <v>7.0000000000000007E-2</v>
      </c>
      <c r="AZ28" s="52">
        <v>0.1</v>
      </c>
      <c r="BA28" s="112">
        <v>0.08</v>
      </c>
      <c r="BB28" s="52">
        <v>0.01</v>
      </c>
      <c r="BC28" s="52">
        <v>0.03</v>
      </c>
      <c r="BD28" s="522">
        <v>0.02</v>
      </c>
      <c r="BE28" s="52">
        <v>0.08</v>
      </c>
      <c r="BF28" s="112">
        <f>SUMPRODUCT(BB28:BE28,AW26:AZ26)/BA26</f>
        <v>3.5268725392533562E-2</v>
      </c>
      <c r="BG28" s="52">
        <v>0.1</v>
      </c>
      <c r="BH28" s="52">
        <v>0.15</v>
      </c>
      <c r="BI28" s="52">
        <v>0.13</v>
      </c>
      <c r="BJ28" s="52">
        <v>0.12</v>
      </c>
      <c r="BK28" s="112">
        <f>SUMPRODUCT(BG28:BJ28,BB26:BE26)/BF26</f>
        <v>0.12435467936051733</v>
      </c>
      <c r="BL28" s="52">
        <v>0.11</v>
      </c>
      <c r="BM28" s="52">
        <v>0.14000000000000001</v>
      </c>
      <c r="BN28" s="52">
        <v>0.05</v>
      </c>
      <c r="BO28" s="52">
        <v>-0.34</v>
      </c>
      <c r="BP28" s="112">
        <f>SUMPRODUCT(BL28:BO28,BG26:BJ26)/BK26</f>
        <v>-1.9011642308645053E-2</v>
      </c>
      <c r="BQ28" s="52">
        <v>0.05</v>
      </c>
      <c r="BR28" s="52">
        <v>0.08</v>
      </c>
      <c r="BS28" s="52">
        <v>-0.01</v>
      </c>
      <c r="BT28" s="52">
        <v>0.83</v>
      </c>
      <c r="BU28" s="112">
        <f>SUMPRODUCT(BQ28:BT28,BL26:BO26)/BP26</f>
        <v>0.18217506972752628</v>
      </c>
      <c r="BV28" s="52">
        <v>0.1</v>
      </c>
      <c r="BW28" s="52">
        <v>-0.01</v>
      </c>
      <c r="BX28" s="52">
        <v>0.05</v>
      </c>
      <c r="BY28" s="52">
        <v>0.04</v>
      </c>
      <c r="BZ28" s="112">
        <f>SUMPRODUCT(BV28:BY28,BQ26:BT26)/BU26</f>
        <v>4.4677920131330075E-2</v>
      </c>
      <c r="CA28" s="52">
        <v>0.12</v>
      </c>
      <c r="CB28" s="52">
        <v>0.36</v>
      </c>
      <c r="CC28" s="52">
        <v>0.25</v>
      </c>
      <c r="CD28" s="52">
        <v>0.1</v>
      </c>
      <c r="CE28" s="112">
        <f>SUMPRODUCT(CA28:CD28,BV26:BY26)/BZ26</f>
        <v>0.20006382321655283</v>
      </c>
      <c r="CF28" s="52">
        <v>0.04</v>
      </c>
      <c r="CG28" s="52">
        <v>0</v>
      </c>
      <c r="CH28" s="52">
        <v>0.03</v>
      </c>
      <c r="CI28" s="52">
        <v>-0.02</v>
      </c>
      <c r="CJ28" s="112">
        <f>SUMPRODUCT(CF28:CI28,CA26:CD26)/CE26</f>
        <v>1.185212011468236E-2</v>
      </c>
      <c r="CK28" s="52">
        <v>-0.1</v>
      </c>
      <c r="CL28" s="52">
        <v>-0.12</v>
      </c>
      <c r="CM28" s="52">
        <v>-0.09</v>
      </c>
      <c r="CN28" s="52">
        <v>-0.12</v>
      </c>
      <c r="CO28" s="112">
        <f>SUMPRODUCT(CK28:CN28,CF26:CI26)/CJ26</f>
        <v>-0.10763634187931911</v>
      </c>
      <c r="CP28" s="52">
        <v>-0.02</v>
      </c>
      <c r="CQ28" s="52">
        <v>-0.01</v>
      </c>
      <c r="CR28" s="52">
        <v>-0.01</v>
      </c>
      <c r="CS28" s="52">
        <v>-0.04</v>
      </c>
      <c r="CT28" s="112">
        <f>SUMPRODUCT(CP28:CS28,CK26:CN26)/CO26</f>
        <v>-1.983293798712301E-2</v>
      </c>
      <c r="CU28" s="52">
        <v>-0.06</v>
      </c>
      <c r="CV28" s="52">
        <f>(CQ187*CV189+CQ256*CV258+CQ325*CV327+CQ394*CV396)/CQ26</f>
        <v>-0.13290377333855594</v>
      </c>
      <c r="CW28" s="52">
        <f>(CR187*CW189+CR256*CW258+CR325*CW327+CR394*CW396)/CR26</f>
        <v>-8.7290901672786622E-2</v>
      </c>
      <c r="CX28" s="52">
        <f>(CS187*CX189+CS256*CX258+CS325*CX327+CS394*CX396)/CS26</f>
        <v>-9.8882162466563422E-2</v>
      </c>
      <c r="CY28" s="112">
        <f>SUMPRODUCT(CU28:CX28,CP26:CS26)/CT26</f>
        <v>-9.5062489415749379E-2</v>
      </c>
      <c r="CZ28" s="52">
        <f>(CU187*CZ189+CU256*CZ258+CU325*CZ327+CU394*CZ396)/CU26</f>
        <v>-8.3923176521363829E-2</v>
      </c>
      <c r="DA28" s="52">
        <f>(CV187*DA189+CV256*DA258+CV325*DA327+CV394*DA396)/CV26</f>
        <v>-5.3536356540899582E-2</v>
      </c>
      <c r="DB28" s="52">
        <f>(CW187*DB189+CW256*DB258+CW325*DB327+CW394*DB396)/CW26</f>
        <v>-3.0174995880189057E-2</v>
      </c>
      <c r="DC28" s="52">
        <f>(CX187*DC189+CX256*DC258+CX325*DC327+CX394*DC396)/CX26</f>
        <v>-2.8508518871327534E-2</v>
      </c>
      <c r="DD28" s="112">
        <f>SUMPRODUCT(CZ28:DC28,CU26:CX26)/CY26</f>
        <v>-4.9623993107262156E-2</v>
      </c>
      <c r="DE28" s="52">
        <f>(CZ187*DE189+CZ256*DE258+CZ325*DE327+CZ394*DE396)/CZ26</f>
        <v>8.2137318182507024E-5</v>
      </c>
      <c r="DF28" s="52">
        <f>(DA187*DF189+DA256*DF258+DA325*DF327+DA394*DF396)/DA26</f>
        <v>1.7788253696877307E-3</v>
      </c>
      <c r="DG28" s="52">
        <f>(DB187*DG189+DB256*DG258+DB325*DG327+DB394*DG396)/DB26</f>
        <v>6.8714996901407203E-3</v>
      </c>
      <c r="DH28" s="52">
        <f>(DC187*DH189+DC256*DH258+DC325*DH327+DC394*DH396)/DC26</f>
        <v>7.014171139708281E-3</v>
      </c>
      <c r="DI28" s="112">
        <f>SUMPRODUCT(DE28:DH28,CZ26:DC26)/DD26</f>
        <v>3.9358775554161037E-3</v>
      </c>
    </row>
    <row r="29" spans="1:113" s="545" customFormat="1" ht="12" hidden="1" customHeight="1" outlineLevel="1">
      <c r="A29" s="490" t="str">
        <f t="shared" si="0"/>
        <v xml:space="preserve"> </v>
      </c>
      <c r="B29" s="546" t="s">
        <v>142</v>
      </c>
      <c r="C29" s="112"/>
      <c r="D29" s="52"/>
      <c r="E29" s="112"/>
      <c r="F29" s="52"/>
      <c r="G29" s="112"/>
      <c r="H29" s="52"/>
      <c r="I29" s="112"/>
      <c r="J29" s="52"/>
      <c r="K29" s="112"/>
      <c r="L29" s="52"/>
      <c r="M29" s="112"/>
      <c r="N29" s="52"/>
      <c r="O29" s="112"/>
      <c r="P29" s="52"/>
      <c r="Q29" s="112"/>
      <c r="R29" s="217" t="s">
        <v>126</v>
      </c>
      <c r="S29" s="52" t="s">
        <v>126</v>
      </c>
      <c r="T29" s="52" t="s">
        <v>126</v>
      </c>
      <c r="U29" s="52" t="s">
        <v>126</v>
      </c>
      <c r="V29" s="112" t="s">
        <v>126</v>
      </c>
      <c r="W29" s="217" t="s">
        <v>126</v>
      </c>
      <c r="X29" s="52" t="s">
        <v>126</v>
      </c>
      <c r="Y29" s="52" t="s">
        <v>126</v>
      </c>
      <c r="Z29" s="52" t="s">
        <v>126</v>
      </c>
      <c r="AA29" s="112" t="s">
        <v>126</v>
      </c>
      <c r="AB29" s="112"/>
      <c r="AC29" s="217" t="s">
        <v>126</v>
      </c>
      <c r="AD29" s="52" t="s">
        <v>126</v>
      </c>
      <c r="AE29" s="52" t="s">
        <v>126</v>
      </c>
      <c r="AF29" s="52" t="s">
        <v>126</v>
      </c>
      <c r="AG29" s="112" t="s">
        <v>126</v>
      </c>
      <c r="AH29" s="378" t="s">
        <v>126</v>
      </c>
      <c r="AI29" s="522" t="s">
        <v>126</v>
      </c>
      <c r="AJ29" s="522" t="s">
        <v>126</v>
      </c>
      <c r="AK29" s="522" t="s">
        <v>126</v>
      </c>
      <c r="AL29" s="112" t="s">
        <v>126</v>
      </c>
      <c r="AM29" s="378" t="s">
        <v>126</v>
      </c>
      <c r="AN29" s="522" t="s">
        <v>126</v>
      </c>
      <c r="AO29" s="522" t="s">
        <v>126</v>
      </c>
      <c r="AP29" s="522" t="s">
        <v>126</v>
      </c>
      <c r="AQ29" s="112">
        <v>0.09</v>
      </c>
      <c r="AR29" s="52">
        <v>0.1</v>
      </c>
      <c r="AS29" s="52">
        <v>0.11</v>
      </c>
      <c r="AT29" s="52">
        <v>0.12</v>
      </c>
      <c r="AU29" s="52">
        <f>((AV29*SUM(AM26:AP26))-AR29*AM26-AS29*AN26-AT29*AO26)/AP26</f>
        <v>3.3645680819912156E-2</v>
      </c>
      <c r="AV29" s="112">
        <v>0.09</v>
      </c>
      <c r="AW29" s="52">
        <v>0.06</v>
      </c>
      <c r="AX29" s="52">
        <v>0.04</v>
      </c>
      <c r="AY29" s="52">
        <v>0.06</v>
      </c>
      <c r="AZ29" s="52">
        <f>((BA29*SUM(AR26:AU26))-AW29*AR26-AX29*AS26-AY29*AT26)/AU26</f>
        <v>0.117172373081464</v>
      </c>
      <c r="BA29" s="112">
        <v>7.0000000000000007E-2</v>
      </c>
      <c r="BB29" s="52">
        <v>0.03</v>
      </c>
      <c r="BC29" s="52">
        <v>0</v>
      </c>
      <c r="BD29" s="52">
        <v>0.01</v>
      </c>
      <c r="BE29" s="52">
        <f>((BF29*SUM(AW26:AZ26))-BB29*AW26-BC29*AX26-BD29*AY26)/AZ26</f>
        <v>3.7332358852548889E-2</v>
      </c>
      <c r="BF29" s="112">
        <v>0.02</v>
      </c>
      <c r="BG29" s="52">
        <v>0.08</v>
      </c>
      <c r="BH29" s="52">
        <v>0.12</v>
      </c>
      <c r="BI29" s="52">
        <v>0.06</v>
      </c>
      <c r="BJ29" s="52">
        <f>((BK29*SUM(BB26:BE26))-BG29*BB26-BH29*BC26-BI29*BD26)/BE26</f>
        <v>6.5524088541666664E-2</v>
      </c>
      <c r="BK29" s="112">
        <v>0.08</v>
      </c>
      <c r="BL29" s="52">
        <v>0.03</v>
      </c>
      <c r="BM29" s="52">
        <v>0.08</v>
      </c>
      <c r="BN29" s="52">
        <v>0.01</v>
      </c>
      <c r="BO29" s="52">
        <f>((BP29*SUM(BG26:BJ26))-BL29*BG26-BM29*BH26-BN29*BI26)/BJ26</f>
        <v>-0.40394829973842128</v>
      </c>
      <c r="BP29" s="112">
        <v>-0.08</v>
      </c>
      <c r="BQ29" s="52">
        <v>0</v>
      </c>
      <c r="BR29" s="52">
        <v>0.04</v>
      </c>
      <c r="BS29" s="52">
        <v>-0.12</v>
      </c>
      <c r="BT29" s="52">
        <f>((BU29*SUM(BL26:BO26))-BQ29*BL26-BR29*BM26-BS29*BN26)/BO26</f>
        <v>0.7332896929302547</v>
      </c>
      <c r="BU29" s="112">
        <v>0.11</v>
      </c>
      <c r="BV29" s="52">
        <v>0.05</v>
      </c>
      <c r="BW29" s="52">
        <v>-7.0000000000000007E-2</v>
      </c>
      <c r="BX29" s="52">
        <v>-0.03</v>
      </c>
      <c r="BY29" s="52">
        <f>((BZ29*SUM(BQ26:BT26))-BV29*BQ26-BW29*BR26-BX29*BS26)/BT26</f>
        <v>-6.389958474896186E-2</v>
      </c>
      <c r="BZ29" s="112">
        <v>-0.03</v>
      </c>
      <c r="CA29" s="111">
        <v>0.03</v>
      </c>
      <c r="CB29" s="52">
        <v>0.28000000000000003</v>
      </c>
      <c r="CC29" s="52">
        <v>0.19</v>
      </c>
      <c r="CD29" s="52">
        <f>((CE29*SUM(BV26:BY26))-CA29*BV26-CB29*BW26-CC29*BX26)/BY26</f>
        <v>4.9248591108328119E-2</v>
      </c>
      <c r="CE29" s="112">
        <v>0.13</v>
      </c>
      <c r="CF29" s="52">
        <v>-0.01</v>
      </c>
      <c r="CG29" s="52">
        <v>-0.06</v>
      </c>
      <c r="CH29" s="52">
        <v>0.02</v>
      </c>
      <c r="CI29" s="52">
        <f>((CJ29*SUM(CA26:CD26))-CF29*CA26-CG29*CB26-CH29*CC26)/CD26</f>
        <v>-2.6994266994267001E-2</v>
      </c>
      <c r="CJ29" s="112">
        <v>-0.02</v>
      </c>
      <c r="CK29" s="52">
        <v>-0.1</v>
      </c>
      <c r="CL29" s="52">
        <v>-7.0000000000000007E-2</v>
      </c>
      <c r="CM29" s="52">
        <v>-0.08</v>
      </c>
      <c r="CN29" s="52">
        <f>((CO29*SUM(CF26:CI26))-CK29*CF26-CL29*CG26-CM29*CH26)/CI26</f>
        <v>-7.0002428068471526E-2</v>
      </c>
      <c r="CO29" s="112">
        <v>-0.08</v>
      </c>
      <c r="CP29" s="52">
        <v>0.02</v>
      </c>
      <c r="CQ29" s="52">
        <v>0</v>
      </c>
      <c r="CR29" s="52">
        <v>-0.02</v>
      </c>
      <c r="CS29" s="52">
        <f>((CT29*SUM(CK26:CN26))-CP29*CK26-CQ29*CL26-CR29*CM26)/CN26</f>
        <v>-4.1778705636743227E-2</v>
      </c>
      <c r="CT29" s="112">
        <v>-0.01</v>
      </c>
      <c r="CU29" s="52"/>
      <c r="CV29" s="52"/>
      <c r="CW29" s="52"/>
      <c r="CX29" s="52"/>
      <c r="CY29" s="112"/>
      <c r="CZ29" s="52"/>
      <c r="DA29" s="52"/>
      <c r="DB29" s="52"/>
      <c r="DC29" s="52"/>
      <c r="DD29" s="112"/>
      <c r="DE29" s="52"/>
      <c r="DF29" s="52"/>
      <c r="DG29" s="52"/>
      <c r="DH29" s="52"/>
      <c r="DI29" s="112"/>
    </row>
    <row r="30" spans="1:113" s="545" customFormat="1" ht="12" hidden="1" customHeight="1" outlineLevel="1">
      <c r="A30" s="490" t="str">
        <f t="shared" si="0"/>
        <v xml:space="preserve"> </v>
      </c>
      <c r="B30" s="546" t="s">
        <v>143</v>
      </c>
      <c r="C30" s="112"/>
      <c r="D30" s="52"/>
      <c r="E30" s="112"/>
      <c r="F30" s="52"/>
      <c r="G30" s="112"/>
      <c r="H30" s="52"/>
      <c r="I30" s="112"/>
      <c r="J30" s="52"/>
      <c r="K30" s="112"/>
      <c r="L30" s="52"/>
      <c r="M30" s="112"/>
      <c r="N30" s="52"/>
      <c r="O30" s="112"/>
      <c r="P30" s="52"/>
      <c r="Q30" s="112"/>
      <c r="R30" s="217" t="s">
        <v>126</v>
      </c>
      <c r="S30" s="52" t="s">
        <v>126</v>
      </c>
      <c r="T30" s="52" t="s">
        <v>126</v>
      </c>
      <c r="U30" s="52" t="s">
        <v>126</v>
      </c>
      <c r="V30" s="112" t="s">
        <v>126</v>
      </c>
      <c r="W30" s="217" t="s">
        <v>126</v>
      </c>
      <c r="X30" s="52" t="s">
        <v>126</v>
      </c>
      <c r="Y30" s="52" t="s">
        <v>126</v>
      </c>
      <c r="Z30" s="52" t="s">
        <v>126</v>
      </c>
      <c r="AA30" s="112" t="s">
        <v>126</v>
      </c>
      <c r="AB30" s="112"/>
      <c r="AC30" s="217" t="s">
        <v>126</v>
      </c>
      <c r="AD30" s="52" t="s">
        <v>126</v>
      </c>
      <c r="AE30" s="52" t="s">
        <v>126</v>
      </c>
      <c r="AF30" s="52" t="s">
        <v>126</v>
      </c>
      <c r="AG30" s="112" t="s">
        <v>126</v>
      </c>
      <c r="AH30" s="378" t="s">
        <v>126</v>
      </c>
      <c r="AI30" s="522" t="s">
        <v>126</v>
      </c>
      <c r="AJ30" s="522" t="s">
        <v>126</v>
      </c>
      <c r="AK30" s="522" t="s">
        <v>126</v>
      </c>
      <c r="AL30" s="112" t="s">
        <v>126</v>
      </c>
      <c r="AM30" s="378" t="s">
        <v>126</v>
      </c>
      <c r="AN30" s="522" t="s">
        <v>126</v>
      </c>
      <c r="AO30" s="522" t="s">
        <v>126</v>
      </c>
      <c r="AP30" s="522" t="s">
        <v>126</v>
      </c>
      <c r="AQ30" s="112">
        <v>0.08</v>
      </c>
      <c r="AR30" s="52">
        <v>0.08</v>
      </c>
      <c r="AS30" s="52">
        <v>0.05</v>
      </c>
      <c r="AT30" s="52">
        <v>0.06</v>
      </c>
      <c r="AU30" s="52">
        <f>((AV30*SUM(AM26:AP26))-AR30*AM26-AS30*AN26-AT30*AO26)/AP26</f>
        <v>4.925747751516419E-2</v>
      </c>
      <c r="AV30" s="112">
        <v>0.06</v>
      </c>
      <c r="AW30" s="52">
        <v>0.04</v>
      </c>
      <c r="AX30" s="52">
        <v>0.03</v>
      </c>
      <c r="AY30" s="52">
        <v>0.01</v>
      </c>
      <c r="AZ30" s="52">
        <f>((BA30*SUM(AR26:AU26))-AW30*AR26-AX30*AS26-AY30*AT26)/AU26</f>
        <v>-3.8313656040928769E-2</v>
      </c>
      <c r="BA30" s="112">
        <v>0.01</v>
      </c>
      <c r="BB30" s="52">
        <v>-0.02</v>
      </c>
      <c r="BC30" s="52">
        <v>0.03</v>
      </c>
      <c r="BD30" s="52">
        <v>0.01</v>
      </c>
      <c r="BE30" s="52">
        <f>((BF30*SUM(AW26:AZ26))-BB30*AW26-BC30*AX26-BD30*AY26)/AZ26</f>
        <v>6.0891649917778179E-2</v>
      </c>
      <c r="BF30" s="112">
        <v>0.02</v>
      </c>
      <c r="BG30" s="52">
        <v>0.02</v>
      </c>
      <c r="BH30" s="52">
        <v>0.03</v>
      </c>
      <c r="BI30" s="52">
        <v>7.0000000000000007E-2</v>
      </c>
      <c r="BJ30" s="52">
        <f>((BK30*SUM(BB26:BE26))-BG30*BB26-BH30*BC26-BI30*BD26)/BE26</f>
        <v>3.869303385416667E-2</v>
      </c>
      <c r="BK30" s="112">
        <v>0.04</v>
      </c>
      <c r="BL30" s="52">
        <v>0.08</v>
      </c>
      <c r="BM30" s="52">
        <v>0.06</v>
      </c>
      <c r="BN30" s="52">
        <v>0.04</v>
      </c>
      <c r="BO30" s="52">
        <f>((BP30*SUM(BG26:BJ26))-BL30*BG26-BM30*BH26-BN30*BI26)/BJ26</f>
        <v>6.0264656100938604E-2</v>
      </c>
      <c r="BP30" s="112">
        <v>0.06</v>
      </c>
      <c r="BQ30" s="52">
        <v>0.05</v>
      </c>
      <c r="BR30" s="52">
        <v>0.04</v>
      </c>
      <c r="BS30" s="52">
        <v>0.11</v>
      </c>
      <c r="BT30" s="52">
        <f>((BU30*SUM(BL26:BO26))-BQ30*BL26-BR30*BM26-BS30*BN26)/BO26</f>
        <v>8.464413234944064E-2</v>
      </c>
      <c r="BU30" s="112">
        <v>7.0000000000000007E-2</v>
      </c>
      <c r="BV30" s="52">
        <v>0.05</v>
      </c>
      <c r="BW30" s="52">
        <v>0.06</v>
      </c>
      <c r="BX30" s="52">
        <v>0.08</v>
      </c>
      <c r="BY30" s="52">
        <f>((BZ30*SUM(BQ26:BT26))-BV30*BQ26-BW30*BR26-BX30*BS26)/BT26</f>
        <v>8.7405310179942144E-2</v>
      </c>
      <c r="BZ30" s="112">
        <v>7.0000000000000007E-2</v>
      </c>
      <c r="CA30" s="111">
        <v>0.09</v>
      </c>
      <c r="CB30" s="52">
        <v>0.08</v>
      </c>
      <c r="CC30" s="52">
        <v>0.06</v>
      </c>
      <c r="CD30" s="52">
        <f>((CE30*SUM(BV26:BY26))-CA30*BV26-CB30*BW26-CC30*BX26)/BY26</f>
        <v>5.051847213525365E-2</v>
      </c>
      <c r="CE30" s="112">
        <v>7.0000000000000007E-2</v>
      </c>
      <c r="CF30" s="52">
        <v>0.05</v>
      </c>
      <c r="CG30" s="52">
        <v>0.06</v>
      </c>
      <c r="CH30" s="52">
        <v>0.01</v>
      </c>
      <c r="CI30" s="52">
        <f>((CJ30*SUM(CA26:CD26))-CF30*CA26-CG30*CB26-CH30*CC26)/CD26</f>
        <v>-1.8603018603019806E-4</v>
      </c>
      <c r="CJ30" s="112">
        <v>0.03</v>
      </c>
      <c r="CK30" s="52">
        <v>0</v>
      </c>
      <c r="CL30" s="52">
        <v>-0.05</v>
      </c>
      <c r="CM30" s="52">
        <v>-0.01</v>
      </c>
      <c r="CN30" s="52">
        <f>((CO30*SUM(CF26:CI26))-CK30*CF26-CL30*CG26-CM30*CH26)/CI26</f>
        <v>-5.9589656428311266E-2</v>
      </c>
      <c r="CO30" s="112">
        <v>-0.03</v>
      </c>
      <c r="CP30" s="52">
        <v>-0.04</v>
      </c>
      <c r="CQ30" s="52">
        <v>-0.01</v>
      </c>
      <c r="CR30" s="52">
        <v>0.01</v>
      </c>
      <c r="CS30" s="52">
        <f>((CT30*SUM(CK26:CN26))-CP30*CK26-CQ30*CL26-CR30*CM26)/CN26</f>
        <v>1.0925539318023653E-3</v>
      </c>
      <c r="CT30" s="112">
        <v>-0.01</v>
      </c>
      <c r="CU30" s="52"/>
      <c r="CV30" s="52"/>
      <c r="CW30" s="52"/>
      <c r="CX30" s="52"/>
      <c r="CY30" s="112"/>
      <c r="CZ30" s="52"/>
      <c r="DA30" s="52"/>
      <c r="DB30" s="52"/>
      <c r="DC30" s="52"/>
      <c r="DD30" s="112"/>
      <c r="DE30" s="52"/>
      <c r="DF30" s="52"/>
      <c r="DG30" s="52"/>
      <c r="DH30" s="52"/>
      <c r="DI30" s="112"/>
    </row>
    <row r="31" spans="1:113" s="3" customFormat="1" ht="12" hidden="1" customHeight="1" outlineLevel="1">
      <c r="A31" s="490" t="str">
        <f t="shared" si="0"/>
        <v xml:space="preserve"> </v>
      </c>
      <c r="B31" s="491" t="s">
        <v>141</v>
      </c>
      <c r="C31" s="492"/>
      <c r="D31" s="522"/>
      <c r="E31" s="492"/>
      <c r="F31" s="522"/>
      <c r="G31" s="492"/>
      <c r="H31" s="522"/>
      <c r="I31" s="492"/>
      <c r="J31" s="522"/>
      <c r="K31" s="492"/>
      <c r="L31" s="522"/>
      <c r="M31" s="492"/>
      <c r="N31" s="522"/>
      <c r="O31" s="492"/>
      <c r="P31" s="522"/>
      <c r="Q31" s="492"/>
      <c r="R31" s="378" t="s">
        <v>126</v>
      </c>
      <c r="S31" s="522" t="s">
        <v>126</v>
      </c>
      <c r="T31" s="522" t="s">
        <v>126</v>
      </c>
      <c r="U31" s="522" t="s">
        <v>126</v>
      </c>
      <c r="V31" s="492" t="s">
        <v>126</v>
      </c>
      <c r="W31" s="217" t="s">
        <v>126</v>
      </c>
      <c r="X31" s="52" t="s">
        <v>126</v>
      </c>
      <c r="Y31" s="52" t="s">
        <v>126</v>
      </c>
      <c r="Z31" s="52" t="s">
        <v>126</v>
      </c>
      <c r="AA31" s="112" t="s">
        <v>126</v>
      </c>
      <c r="AB31" s="112"/>
      <c r="AC31" s="217" t="s">
        <v>126</v>
      </c>
      <c r="AD31" s="52" t="s">
        <v>126</v>
      </c>
      <c r="AE31" s="52" t="s">
        <v>126</v>
      </c>
      <c r="AF31" s="52" t="s">
        <v>126</v>
      </c>
      <c r="AG31" s="112" t="s">
        <v>126</v>
      </c>
      <c r="AH31" s="217" t="s">
        <v>126</v>
      </c>
      <c r="AI31" s="52" t="s">
        <v>126</v>
      </c>
      <c r="AJ31" s="52" t="s">
        <v>126</v>
      </c>
      <c r="AK31" s="52" t="s">
        <v>126</v>
      </c>
      <c r="AL31" s="112" t="s">
        <v>126</v>
      </c>
      <c r="AM31" s="217" t="s">
        <v>126</v>
      </c>
      <c r="AN31" s="52" t="s">
        <v>126</v>
      </c>
      <c r="AO31" s="52" t="s">
        <v>126</v>
      </c>
      <c r="AP31" s="52" t="s">
        <v>126</v>
      </c>
      <c r="AQ31" s="112">
        <f t="shared" ref="AQ31:BJ31" si="133">(1+AQ27)/(1+AQ28)-1</f>
        <v>-3.4031943706178569E-2</v>
      </c>
      <c r="AR31" s="52">
        <f t="shared" si="133"/>
        <v>-7.6467682678405979E-2</v>
      </c>
      <c r="AS31" s="52">
        <f t="shared" si="133"/>
        <v>-7.2053284187723277E-2</v>
      </c>
      <c r="AT31" s="52">
        <f t="shared" si="133"/>
        <v>-5.908096280087527E-2</v>
      </c>
      <c r="AU31" s="52">
        <f t="shared" si="133"/>
        <v>-2.4809596088492536E-2</v>
      </c>
      <c r="AV31" s="112">
        <f t="shared" si="133"/>
        <v>-5.6713045377082105E-2</v>
      </c>
      <c r="AW31" s="52">
        <f t="shared" si="133"/>
        <v>-2.8978049083456248E-2</v>
      </c>
      <c r="AX31" s="52">
        <f t="shared" si="133"/>
        <v>-1.8610179426226892E-2</v>
      </c>
      <c r="AY31" s="52">
        <f t="shared" si="133"/>
        <v>-2.1214990109003629E-2</v>
      </c>
      <c r="AZ31" s="52">
        <f t="shared" si="133"/>
        <v>-2.0965260634682181E-2</v>
      </c>
      <c r="BA31" s="112">
        <f t="shared" si="133"/>
        <v>-1.7691890471317806E-2</v>
      </c>
      <c r="BB31" s="52">
        <f t="shared" si="133"/>
        <v>-6.1012680215388748E-3</v>
      </c>
      <c r="BC31" s="52">
        <f t="shared" si="133"/>
        <v>1.1947667043848309E-2</v>
      </c>
      <c r="BD31" s="52">
        <f t="shared" si="133"/>
        <v>3.4079420251352355E-2</v>
      </c>
      <c r="BE31" s="52">
        <f t="shared" si="133"/>
        <v>3.9446170087500176E-2</v>
      </c>
      <c r="BF31" s="112">
        <f t="shared" si="133"/>
        <v>2.0321198652890171E-2</v>
      </c>
      <c r="BG31" s="52">
        <f t="shared" si="133"/>
        <v>-1.0426493222779332E-3</v>
      </c>
      <c r="BH31" s="52">
        <f t="shared" ref="BH31:BP31" si="134">(1+BH27)/(1+BH28)-1</f>
        <v>-3.7180574058374716E-2</v>
      </c>
      <c r="BI31" s="52">
        <f t="shared" si="133"/>
        <v>-3.3416750215120694E-2</v>
      </c>
      <c r="BJ31" s="52">
        <f t="shared" si="133"/>
        <v>-5.5553617931547672E-2</v>
      </c>
      <c r="BK31" s="112">
        <f t="shared" si="134"/>
        <v>-3.2556846571471842E-2</v>
      </c>
      <c r="BL31" s="52">
        <f t="shared" si="134"/>
        <v>-2.6710607227505845E-2</v>
      </c>
      <c r="BM31" s="52">
        <f t="shared" si="134"/>
        <v>-2.1768257120789558E-2</v>
      </c>
      <c r="BN31" s="52">
        <f t="shared" si="134"/>
        <v>-7.9494718501580408E-3</v>
      </c>
      <c r="BO31" s="52">
        <f t="shared" si="134"/>
        <v>-2.0595243091011461E-2</v>
      </c>
      <c r="BP31" s="112">
        <f t="shared" si="134"/>
        <v>-1.9211750099951574E-2</v>
      </c>
      <c r="BQ31" s="52">
        <f t="shared" ref="BQ31:BZ31" si="135">(1+BQ27)/(1+BQ28)-1</f>
        <v>-1.1545117970512941E-2</v>
      </c>
      <c r="BR31" s="52">
        <f t="shared" si="135"/>
        <v>1.4699036774447505E-2</v>
      </c>
      <c r="BS31" s="52">
        <f t="shared" si="135"/>
        <v>3.0375893164038104E-2</v>
      </c>
      <c r="BT31" s="52">
        <f t="shared" si="135"/>
        <v>3.3711723594304299E-2</v>
      </c>
      <c r="BU31" s="112">
        <f t="shared" si="135"/>
        <v>1.7074407480928588E-2</v>
      </c>
      <c r="BV31" s="52">
        <f t="shared" si="135"/>
        <v>3.6696754781861074E-2</v>
      </c>
      <c r="BW31" s="52">
        <f t="shared" si="135"/>
        <v>6.9820391831860729E-3</v>
      </c>
      <c r="BX31" s="52">
        <f t="shared" si="135"/>
        <v>-2.4925881190293153E-2</v>
      </c>
      <c r="BY31" s="52">
        <f t="shared" ref="BY31" si="136">(1+BY27)/(1+BY28)-1</f>
        <v>-3.3863770556862294E-2</v>
      </c>
      <c r="BZ31" s="112">
        <f t="shared" si="135"/>
        <v>-4.4382316489096629E-3</v>
      </c>
      <c r="CA31" s="52">
        <f t="shared" ref="CA31:CH31" si="137">(1+CA27)/(1+CA28)-1</f>
        <v>-6.1331581090586118E-2</v>
      </c>
      <c r="CB31" s="52">
        <f t="shared" si="137"/>
        <v>-7.7737289606107818E-2</v>
      </c>
      <c r="CC31" s="52">
        <f t="shared" si="137"/>
        <v>-4.2642642642642614E-2</v>
      </c>
      <c r="CD31" s="52">
        <f t="shared" si="137"/>
        <v>-2.6925485284909345E-2</v>
      </c>
      <c r="CE31" s="112">
        <f t="shared" si="137"/>
        <v>-5.2567289596167965E-2</v>
      </c>
      <c r="CF31" s="52">
        <f t="shared" si="137"/>
        <v>-2.080923759503972E-3</v>
      </c>
      <c r="CG31" s="52">
        <f t="shared" ref="CG31:CL31" si="138">(1+CG27)/(1+CG28)-1</f>
        <v>1.2111947318908856E-2</v>
      </c>
      <c r="CH31" s="52">
        <f t="shared" si="137"/>
        <v>-5.7375351743795822E-3</v>
      </c>
      <c r="CI31" s="52">
        <f t="shared" si="138"/>
        <v>-1.660207782656753E-2</v>
      </c>
      <c r="CJ31" s="112">
        <f t="shared" si="138"/>
        <v>-3.0040813989141713E-3</v>
      </c>
      <c r="CK31" s="52">
        <f t="shared" si="138"/>
        <v>-1.5424401958067824E-2</v>
      </c>
      <c r="CL31" s="52">
        <f t="shared" si="138"/>
        <v>1.0673130749812465E-2</v>
      </c>
      <c r="CM31" s="52">
        <f t="shared" ref="CM31:CO31" si="139">(1+CM27)/(1+CM28)-1</f>
        <v>-2.954188668474389E-2</v>
      </c>
      <c r="CN31" s="52">
        <f t="shared" si="139"/>
        <v>-8.7686381846876493E-3</v>
      </c>
      <c r="CO31" s="112">
        <f t="shared" si="139"/>
        <v>-1.0695617425166781E-2</v>
      </c>
      <c r="CP31" s="52">
        <f t="shared" ref="CP31:CT31" si="140">(1+CP27)/(1+CP28)-1</f>
        <v>1.32973049847116E-2</v>
      </c>
      <c r="CQ31" s="52">
        <f t="shared" si="140"/>
        <v>1.0628822516477676E-2</v>
      </c>
      <c r="CR31" s="52">
        <f t="shared" si="140"/>
        <v>3.0420744627181806E-2</v>
      </c>
      <c r="CS31" s="52">
        <f t="shared" si="140"/>
        <v>2.9778473672001926E-2</v>
      </c>
      <c r="CT31" s="112">
        <f t="shared" si="140"/>
        <v>2.0752829844911336E-2</v>
      </c>
      <c r="CU31" s="52">
        <f t="shared" ref="CU31:CY31" si="141">(1+CU27)/(1+CU28)-1</f>
        <v>-2.0673615298474335E-3</v>
      </c>
      <c r="CV31" s="52">
        <f t="shared" si="141"/>
        <v>7.6828351972335618E-4</v>
      </c>
      <c r="CW31" s="52">
        <f t="shared" si="141"/>
        <v>-3.7856879968412027E-3</v>
      </c>
      <c r="CX31" s="52">
        <f t="shared" si="141"/>
        <v>-5.6796257874212053E-3</v>
      </c>
      <c r="CY31" s="112">
        <f t="shared" si="141"/>
        <v>-2.6595020338135988E-3</v>
      </c>
      <c r="CZ31" s="52">
        <f t="shared" ref="CZ31:DD31" si="142">(1+CZ27)/(1+CZ28)-1</f>
        <v>-1.6601493486606556E-3</v>
      </c>
      <c r="DA31" s="52">
        <f t="shared" si="142"/>
        <v>0</v>
      </c>
      <c r="DB31" s="52">
        <f t="shared" si="142"/>
        <v>0</v>
      </c>
      <c r="DC31" s="52">
        <f t="shared" si="142"/>
        <v>0</v>
      </c>
      <c r="DD31" s="112">
        <f t="shared" si="142"/>
        <v>-4.1742545460909941E-4</v>
      </c>
      <c r="DE31" s="52">
        <f t="shared" ref="DE31:DI31" si="143">(1+DE27)/(1+DE28)-1</f>
        <v>0</v>
      </c>
      <c r="DF31" s="52">
        <f t="shared" si="143"/>
        <v>0</v>
      </c>
      <c r="DG31" s="52">
        <f t="shared" si="143"/>
        <v>0</v>
      </c>
      <c r="DH31" s="52">
        <f t="shared" si="143"/>
        <v>0</v>
      </c>
      <c r="DI31" s="112">
        <f t="shared" si="143"/>
        <v>0</v>
      </c>
    </row>
    <row r="32" spans="1:113" ht="12" hidden="1" customHeight="1" outlineLevel="1">
      <c r="A32" s="219"/>
      <c r="B32" s="17"/>
      <c r="C32" s="79"/>
      <c r="D32" s="6"/>
      <c r="E32" s="79"/>
      <c r="F32" s="6"/>
      <c r="G32" s="79"/>
      <c r="H32" s="6"/>
      <c r="I32" s="79"/>
      <c r="J32" s="6"/>
      <c r="K32" s="79"/>
      <c r="L32" s="6"/>
      <c r="M32" s="79"/>
      <c r="N32" s="6"/>
      <c r="O32" s="79"/>
      <c r="P32" s="6"/>
      <c r="Q32" s="79"/>
      <c r="R32" s="6"/>
      <c r="S32" s="6"/>
      <c r="T32" s="6"/>
      <c r="U32" s="6"/>
      <c r="V32" s="79"/>
      <c r="W32" s="6"/>
      <c r="X32" s="6"/>
      <c r="Y32" s="6"/>
      <c r="Z32" s="6"/>
      <c r="AA32" s="79"/>
      <c r="AB32" s="79"/>
      <c r="AC32" s="6"/>
      <c r="AD32" s="6"/>
      <c r="AE32" s="6"/>
      <c r="AF32" s="6"/>
      <c r="AG32" s="79"/>
      <c r="AH32" s="6"/>
      <c r="AI32" s="6"/>
      <c r="AJ32" s="6"/>
      <c r="AK32" s="6"/>
      <c r="AL32" s="79"/>
      <c r="AM32" s="6"/>
      <c r="AN32" s="6"/>
      <c r="AO32" s="6"/>
      <c r="AP32" s="6"/>
      <c r="AQ32" s="79"/>
      <c r="AR32" s="6"/>
      <c r="AS32" s="6"/>
      <c r="AT32" s="6"/>
      <c r="AU32" s="6"/>
      <c r="AV32" s="79"/>
      <c r="AW32" s="6"/>
      <c r="AX32" s="6"/>
      <c r="AY32" s="6"/>
      <c r="AZ32" s="6"/>
      <c r="BA32" s="79"/>
      <c r="BB32" s="6"/>
      <c r="BC32" s="6"/>
      <c r="BD32" s="6"/>
      <c r="BE32" s="6"/>
      <c r="BF32" s="79"/>
      <c r="BG32" s="6"/>
      <c r="BH32" s="6"/>
      <c r="BI32" s="6"/>
      <c r="BJ32" s="6"/>
      <c r="BK32" s="79"/>
      <c r="BL32" s="6"/>
      <c r="BM32" s="6"/>
      <c r="BN32" s="6"/>
      <c r="BO32" s="6"/>
      <c r="BP32" s="79"/>
      <c r="BQ32" s="6"/>
      <c r="BR32" s="6"/>
      <c r="BS32" s="6"/>
      <c r="BT32" s="6"/>
      <c r="BU32" s="79"/>
      <c r="BV32" s="6"/>
      <c r="BW32" s="6"/>
      <c r="BX32" s="6"/>
      <c r="BY32" s="6"/>
      <c r="BZ32" s="79"/>
      <c r="CA32" s="6"/>
      <c r="CB32" s="6"/>
      <c r="CC32" s="6"/>
      <c r="CD32" s="6"/>
      <c r="CE32" s="79"/>
      <c r="CF32" s="6"/>
      <c r="CG32" s="6"/>
      <c r="CH32" s="6"/>
      <c r="CI32" s="6"/>
      <c r="CJ32" s="79"/>
      <c r="CK32" s="6"/>
      <c r="CL32" s="6"/>
      <c r="CM32" s="6"/>
      <c r="CN32" s="6"/>
      <c r="CO32" s="79"/>
      <c r="CP32" s="6"/>
      <c r="CQ32" s="6"/>
      <c r="CR32" s="6"/>
      <c r="CS32" s="6"/>
      <c r="CT32" s="79"/>
      <c r="CU32" s="6"/>
      <c r="CV32" s="6"/>
      <c r="CW32" s="6"/>
      <c r="CX32" s="6"/>
      <c r="CY32" s="79"/>
      <c r="CZ32" s="6"/>
      <c r="DA32" s="6"/>
      <c r="DB32" s="6"/>
      <c r="DC32" s="6"/>
      <c r="DD32" s="79"/>
      <c r="DE32" s="6"/>
      <c r="DF32" s="6"/>
      <c r="DG32" s="6"/>
      <c r="DH32" s="6"/>
      <c r="DI32" s="79"/>
    </row>
    <row r="33" spans="1:113" s="7" customFormat="1" ht="12" hidden="1" customHeight="1" outlineLevel="1">
      <c r="A33" s="219" t="str">
        <f t="shared" si="0"/>
        <v xml:space="preserve"> </v>
      </c>
      <c r="B33" s="20" t="s">
        <v>96</v>
      </c>
      <c r="C33" s="36"/>
      <c r="D33" s="43"/>
      <c r="E33" s="36"/>
      <c r="F33" s="43"/>
      <c r="G33" s="36"/>
      <c r="H33" s="43"/>
      <c r="I33" s="36"/>
      <c r="J33" s="43"/>
      <c r="K33" s="36"/>
      <c r="L33" s="43"/>
      <c r="M33" s="36"/>
      <c r="N33" s="43"/>
      <c r="O33" s="36"/>
      <c r="P33" s="43"/>
      <c r="Q33" s="36"/>
      <c r="R33" s="542" t="s">
        <v>126</v>
      </c>
      <c r="S33" s="543" t="s">
        <v>126</v>
      </c>
      <c r="T33" s="543" t="s">
        <v>126</v>
      </c>
      <c r="U33" s="543" t="s">
        <v>126</v>
      </c>
      <c r="V33" s="544" t="s">
        <v>126</v>
      </c>
      <c r="W33" s="542" t="s">
        <v>126</v>
      </c>
      <c r="X33" s="543" t="s">
        <v>126</v>
      </c>
      <c r="Y33" s="543" t="s">
        <v>126</v>
      </c>
      <c r="Z33" s="543" t="s">
        <v>126</v>
      </c>
      <c r="AA33" s="544" t="s">
        <v>126</v>
      </c>
      <c r="AB33" s="544"/>
      <c r="AC33" s="542" t="s">
        <v>126</v>
      </c>
      <c r="AD33" s="543" t="s">
        <v>126</v>
      </c>
      <c r="AE33" s="543" t="s">
        <v>126</v>
      </c>
      <c r="AF33" s="543" t="s">
        <v>126</v>
      </c>
      <c r="AG33" s="544" t="s">
        <v>126</v>
      </c>
      <c r="AH33" s="43">
        <v>2023</v>
      </c>
      <c r="AI33" s="43">
        <v>2058</v>
      </c>
      <c r="AJ33" s="43">
        <v>1893</v>
      </c>
      <c r="AK33" s="43">
        <v>2135</v>
      </c>
      <c r="AL33" s="36">
        <f>SUM(AH33:AK33)</f>
        <v>8109</v>
      </c>
      <c r="AM33" s="43">
        <v>2236</v>
      </c>
      <c r="AN33" s="43">
        <v>2285</v>
      </c>
      <c r="AO33" s="43">
        <v>1959</v>
      </c>
      <c r="AP33" s="43">
        <v>2236</v>
      </c>
      <c r="AQ33" s="36">
        <f>SUM(AM33:AP33)</f>
        <v>8716</v>
      </c>
      <c r="AR33" s="43">
        <v>2341</v>
      </c>
      <c r="AS33" s="43">
        <v>2362</v>
      </c>
      <c r="AT33" s="43">
        <v>2124</v>
      </c>
      <c r="AU33" s="43">
        <v>2240</v>
      </c>
      <c r="AV33" s="36">
        <f>SUM(AR33:AU33)</f>
        <v>9067</v>
      </c>
      <c r="AW33" s="43">
        <v>2549</v>
      </c>
      <c r="AX33" s="43">
        <v>2535</v>
      </c>
      <c r="AY33" s="43">
        <v>2269</v>
      </c>
      <c r="AZ33" s="43">
        <v>2301</v>
      </c>
      <c r="BA33" s="36">
        <f>SUM(AW33:AZ33)</f>
        <v>9654</v>
      </c>
      <c r="BB33" s="43">
        <v>2652</v>
      </c>
      <c r="BC33" s="43">
        <v>2761</v>
      </c>
      <c r="BD33" s="43">
        <v>2555</v>
      </c>
      <c r="BE33" s="43">
        <v>2765</v>
      </c>
      <c r="BF33" s="36">
        <f>SUM(BB33:BE33)</f>
        <v>10733</v>
      </c>
      <c r="BG33" s="43">
        <v>2949</v>
      </c>
      <c r="BH33" s="43">
        <v>3049</v>
      </c>
      <c r="BI33" s="43">
        <v>2707</v>
      </c>
      <c r="BJ33" s="43">
        <v>2845</v>
      </c>
      <c r="BK33" s="36">
        <f>SUM(BG33:BJ33)</f>
        <v>11550</v>
      </c>
      <c r="BL33" s="43">
        <v>3121</v>
      </c>
      <c r="BM33" s="43">
        <v>3287</v>
      </c>
      <c r="BN33" s="43">
        <v>2905</v>
      </c>
      <c r="BO33" s="43">
        <v>1640</v>
      </c>
      <c r="BP33" s="36">
        <f>SUM(BL33:BO33)</f>
        <v>10953</v>
      </c>
      <c r="BQ33" s="43">
        <v>2875</v>
      </c>
      <c r="BR33" s="43">
        <v>3585</v>
      </c>
      <c r="BS33" s="43">
        <v>2966</v>
      </c>
      <c r="BT33" s="43">
        <v>3439</v>
      </c>
      <c r="BU33" s="36">
        <f>SUM(BQ33:BT33)</f>
        <v>12865</v>
      </c>
      <c r="BV33" s="43">
        <v>3450</v>
      </c>
      <c r="BW33" s="43">
        <v>3648</v>
      </c>
      <c r="BX33" s="43">
        <v>3232</v>
      </c>
      <c r="BY33" s="43">
        <v>3237</v>
      </c>
      <c r="BZ33" s="36">
        <f>SUM(BV33:BY33)</f>
        <v>13567</v>
      </c>
      <c r="CA33" s="43">
        <v>3434</v>
      </c>
      <c r="CB33" s="43">
        <v>3794</v>
      </c>
      <c r="CC33" s="43">
        <v>3381</v>
      </c>
      <c r="CD33" s="43">
        <v>3234</v>
      </c>
      <c r="CE33" s="36">
        <f>SUM(CA33:CD33)</f>
        <v>13843</v>
      </c>
      <c r="CF33" s="43">
        <v>3388</v>
      </c>
      <c r="CG33" s="43">
        <v>3774</v>
      </c>
      <c r="CH33" s="43">
        <v>3290</v>
      </c>
      <c r="CI33" s="43">
        <v>3323</v>
      </c>
      <c r="CJ33" s="36">
        <f>SUM(CF33:CI33)</f>
        <v>13775</v>
      </c>
      <c r="CK33" s="43">
        <v>3032</v>
      </c>
      <c r="CL33" s="43">
        <v>3738</v>
      </c>
      <c r="CM33" s="43">
        <v>3193</v>
      </c>
      <c r="CN33" s="43">
        <v>3002</v>
      </c>
      <c r="CO33" s="36">
        <f>SUM(CK33:CN33)</f>
        <v>12965</v>
      </c>
      <c r="CP33" s="43">
        <v>3313</v>
      </c>
      <c r="CQ33" s="43">
        <v>3906</v>
      </c>
      <c r="CR33" s="43">
        <v>3184</v>
      </c>
      <c r="CS33" s="43">
        <v>3046</v>
      </c>
      <c r="CT33" s="36">
        <f>SUM(CP33:CS33)</f>
        <v>13449</v>
      </c>
      <c r="CU33" s="43">
        <v>3384</v>
      </c>
      <c r="CV33" s="43">
        <f>+CV194+CV263+CV332+CV401</f>
        <v>3506.1060299999999</v>
      </c>
      <c r="CW33" s="43">
        <f>+CW194+CW263+CW332+CW401</f>
        <v>2961.2641499999995</v>
      </c>
      <c r="CX33" s="43">
        <f>+CX194+CX263+CX332+CX401</f>
        <v>2775.0218</v>
      </c>
      <c r="CY33" s="36">
        <f>SUM(CU33:CX33)</f>
        <v>12626.39198</v>
      </c>
      <c r="CZ33" s="43">
        <f>+CZ194+CZ263+CZ332+CZ401</f>
        <v>3131.0409999999997</v>
      </c>
      <c r="DA33" s="43">
        <f>+DA194+DA263+DA332+DA401</f>
        <v>3371.7594686999992</v>
      </c>
      <c r="DB33" s="43">
        <f>+DB194+DB263+DB332+DB401</f>
        <v>2895.9069650999995</v>
      </c>
      <c r="DC33" s="43">
        <f>+DC194+DC263+DC332+DC401</f>
        <v>2717.2166559999996</v>
      </c>
      <c r="DD33" s="36">
        <f>SUM(CZ33:DC33)</f>
        <v>12115.924089799999</v>
      </c>
      <c r="DE33" s="43">
        <f>+DE194+DE263+DE332+DE401</f>
        <v>3136.0082088999998</v>
      </c>
      <c r="DF33" s="43">
        <f>+DF194+DF263+DF332+DF401</f>
        <v>3379.8693035819992</v>
      </c>
      <c r="DG33" s="43">
        <f>+DG194+DG263+DG332+DG401</f>
        <v>2918.3727249649996</v>
      </c>
      <c r="DH33" s="43">
        <f>+DH194+DH263+DH332+DH401</f>
        <v>2740.4372772000002</v>
      </c>
      <c r="DI33" s="36">
        <f>SUM(DE33:DH33)</f>
        <v>12174.687514646999</v>
      </c>
    </row>
    <row r="34" spans="1:113" s="524" customFormat="1" ht="12" hidden="1" customHeight="1" outlineLevel="1">
      <c r="A34" s="219" t="str">
        <f t="shared" si="0"/>
        <v xml:space="preserve"> </v>
      </c>
      <c r="B34" s="547" t="s">
        <v>171</v>
      </c>
      <c r="C34" s="492"/>
      <c r="D34" s="522"/>
      <c r="E34" s="492"/>
      <c r="F34" s="522"/>
      <c r="G34" s="492"/>
      <c r="H34" s="522"/>
      <c r="I34" s="492"/>
      <c r="J34" s="522"/>
      <c r="K34" s="492"/>
      <c r="L34" s="522"/>
      <c r="M34" s="492"/>
      <c r="N34" s="522"/>
      <c r="O34" s="492"/>
      <c r="P34" s="522"/>
      <c r="Q34" s="492"/>
      <c r="R34" s="378" t="s">
        <v>126</v>
      </c>
      <c r="S34" s="522" t="s">
        <v>126</v>
      </c>
      <c r="T34" s="522" t="s">
        <v>126</v>
      </c>
      <c r="U34" s="522" t="s">
        <v>126</v>
      </c>
      <c r="V34" s="492" t="s">
        <v>126</v>
      </c>
      <c r="W34" s="378" t="s">
        <v>126</v>
      </c>
      <c r="X34" s="522" t="s">
        <v>126</v>
      </c>
      <c r="Y34" s="522" t="s">
        <v>126</v>
      </c>
      <c r="Z34" s="522" t="s">
        <v>126</v>
      </c>
      <c r="AA34" s="492" t="s">
        <v>126</v>
      </c>
      <c r="AB34" s="492"/>
      <c r="AC34" s="378" t="s">
        <v>126</v>
      </c>
      <c r="AD34" s="522" t="s">
        <v>126</v>
      </c>
      <c r="AE34" s="522" t="s">
        <v>126</v>
      </c>
      <c r="AF34" s="522" t="s">
        <v>126</v>
      </c>
      <c r="AG34" s="492" t="s">
        <v>126</v>
      </c>
      <c r="AH34" s="378" t="s">
        <v>126</v>
      </c>
      <c r="AI34" s="522" t="s">
        <v>126</v>
      </c>
      <c r="AJ34" s="522" t="s">
        <v>126</v>
      </c>
      <c r="AK34" s="522" t="s">
        <v>126</v>
      </c>
      <c r="AL34" s="492" t="s">
        <v>126</v>
      </c>
      <c r="AM34" s="52">
        <f t="shared" ref="AM34:BJ34" si="144">+AM33/AH33-1</f>
        <v>0.10528917449332664</v>
      </c>
      <c r="AN34" s="52">
        <f t="shared" si="144"/>
        <v>0.1103012633624878</v>
      </c>
      <c r="AO34" s="52">
        <f t="shared" si="144"/>
        <v>3.4865293185419866E-2</v>
      </c>
      <c r="AP34" s="52">
        <f t="shared" si="144"/>
        <v>4.730679156908657E-2</v>
      </c>
      <c r="AQ34" s="112">
        <f t="shared" si="144"/>
        <v>7.4855099272413295E-2</v>
      </c>
      <c r="AR34" s="52">
        <f t="shared" si="144"/>
        <v>4.6958855098389929E-2</v>
      </c>
      <c r="AS34" s="52">
        <f t="shared" si="144"/>
        <v>3.3698030634573328E-2</v>
      </c>
      <c r="AT34" s="52">
        <f t="shared" si="144"/>
        <v>8.4226646248085846E-2</v>
      </c>
      <c r="AU34" s="52">
        <f t="shared" si="144"/>
        <v>1.7889087656528524E-3</v>
      </c>
      <c r="AV34" s="112">
        <f t="shared" si="144"/>
        <v>4.0270766406608427E-2</v>
      </c>
      <c r="AW34" s="52">
        <f t="shared" si="144"/>
        <v>8.8850918410935398E-2</v>
      </c>
      <c r="AX34" s="52">
        <f t="shared" si="144"/>
        <v>7.3243014394580808E-2</v>
      </c>
      <c r="AY34" s="52">
        <f t="shared" si="144"/>
        <v>6.8267419962335207E-2</v>
      </c>
      <c r="AZ34" s="52">
        <f t="shared" si="144"/>
        <v>2.7232142857142927E-2</v>
      </c>
      <c r="BA34" s="112">
        <f t="shared" si="144"/>
        <v>6.4740266901952115E-2</v>
      </c>
      <c r="BB34" s="52">
        <f t="shared" si="144"/>
        <v>4.0408003138485693E-2</v>
      </c>
      <c r="BC34" s="52">
        <f t="shared" si="144"/>
        <v>8.9151873767258305E-2</v>
      </c>
      <c r="BD34" s="52">
        <f t="shared" si="144"/>
        <v>0.12604671661524902</v>
      </c>
      <c r="BE34" s="52">
        <f t="shared" si="144"/>
        <v>0.20165145588874411</v>
      </c>
      <c r="BF34" s="112">
        <f t="shared" si="144"/>
        <v>0.1117671431530971</v>
      </c>
      <c r="BG34" s="52">
        <f t="shared" si="144"/>
        <v>0.11199095022624439</v>
      </c>
      <c r="BH34" s="52">
        <f t="shared" ref="BH34:BP34" si="145">+BH33/BC33-1</f>
        <v>0.10431003259688509</v>
      </c>
      <c r="BI34" s="52">
        <f t="shared" si="144"/>
        <v>5.9491193737769121E-2</v>
      </c>
      <c r="BJ34" s="52">
        <f t="shared" si="144"/>
        <v>2.893309222423146E-2</v>
      </c>
      <c r="BK34" s="112">
        <f t="shared" si="145"/>
        <v>7.6120376409205326E-2</v>
      </c>
      <c r="BL34" s="52">
        <f t="shared" si="145"/>
        <v>5.8324855883350235E-2</v>
      </c>
      <c r="BM34" s="52">
        <f t="shared" si="145"/>
        <v>7.8058379796654531E-2</v>
      </c>
      <c r="BN34" s="52">
        <f t="shared" si="145"/>
        <v>7.3143701514591708E-2</v>
      </c>
      <c r="BO34" s="52">
        <f t="shared" si="145"/>
        <v>-0.42355008787346227</v>
      </c>
      <c r="BP34" s="112">
        <f t="shared" si="145"/>
        <v>-5.1688311688311672E-2</v>
      </c>
      <c r="BQ34" s="52">
        <f t="shared" ref="BQ34:BZ34" si="146">+BQ33/BL33-1</f>
        <v>-7.882089074014742E-2</v>
      </c>
      <c r="BR34" s="52">
        <f t="shared" si="146"/>
        <v>9.066017645269242E-2</v>
      </c>
      <c r="BS34" s="52">
        <f t="shared" si="146"/>
        <v>2.0998278829604144E-2</v>
      </c>
      <c r="BT34" s="52">
        <f t="shared" si="146"/>
        <v>1.0969512195121953</v>
      </c>
      <c r="BU34" s="112">
        <f t="shared" si="146"/>
        <v>0.17456404637998713</v>
      </c>
      <c r="BV34" s="52">
        <f t="shared" si="146"/>
        <v>0.19999999999999996</v>
      </c>
      <c r="BW34" s="52">
        <f t="shared" si="146"/>
        <v>1.7573221757322122E-2</v>
      </c>
      <c r="BX34" s="52">
        <f t="shared" si="146"/>
        <v>8.968307484828042E-2</v>
      </c>
      <c r="BY34" s="52">
        <f t="shared" si="146"/>
        <v>-5.8738005234079682E-2</v>
      </c>
      <c r="BZ34" s="112">
        <f t="shared" si="146"/>
        <v>5.4566653711620727E-2</v>
      </c>
      <c r="CA34" s="52">
        <f t="shared" ref="CA34" si="147">+CA33/BV33-1</f>
        <v>-4.6376811594203149E-3</v>
      </c>
      <c r="CB34" s="52">
        <f t="shared" ref="CB34:CD34" si="148">+CB33/BW33-1</f>
        <v>4.0021929824561431E-2</v>
      </c>
      <c r="CC34" s="52">
        <f t="shared" si="148"/>
        <v>4.6101485148514865E-2</v>
      </c>
      <c r="CD34" s="52">
        <f t="shared" si="148"/>
        <v>-9.2678405931423402E-4</v>
      </c>
      <c r="CE34" s="112">
        <f t="shared" ref="CE34" si="149">+CE33/BZ33-1</f>
        <v>2.0343480504164457E-2</v>
      </c>
      <c r="CF34" s="52">
        <f t="shared" ref="CF34" si="150">+CF33/CA33-1</f>
        <v>-1.3395457192778126E-2</v>
      </c>
      <c r="CG34" s="52">
        <f t="shared" ref="CG34:CH34" si="151">+CG33/CB33-1</f>
        <v>-5.2714812862414417E-3</v>
      </c>
      <c r="CH34" s="52">
        <f t="shared" si="151"/>
        <v>-2.6915113871635588E-2</v>
      </c>
      <c r="CI34" s="52">
        <f t="shared" ref="CI34" si="152">+CI33/CD33-1</f>
        <v>2.7520098948670357E-2</v>
      </c>
      <c r="CJ34" s="112">
        <f t="shared" ref="CJ34" si="153">+CJ33/CE33-1</f>
        <v>-4.9122300079462722E-3</v>
      </c>
      <c r="CK34" s="52">
        <f t="shared" ref="CK34" si="154">+CK33/CF33-1</f>
        <v>-0.10507674144037782</v>
      </c>
      <c r="CL34" s="52">
        <f t="shared" ref="CL34" si="155">+CL33/CG33-1</f>
        <v>-9.5389507154213238E-3</v>
      </c>
      <c r="CM34" s="52">
        <f t="shared" ref="CM34" si="156">+CM33/CH33-1</f>
        <v>-2.9483282674772071E-2</v>
      </c>
      <c r="CN34" s="52">
        <f t="shared" ref="CN34" si="157">+CN33/CI33-1</f>
        <v>-9.6599458320794418E-2</v>
      </c>
      <c r="CO34" s="112">
        <f t="shared" ref="CO34" si="158">+CO33/CJ33-1</f>
        <v>-5.880217785843922E-2</v>
      </c>
      <c r="CP34" s="52">
        <f t="shared" ref="CP34:CQ34" si="159">+CP33/CK33-1</f>
        <v>9.2678100263852148E-2</v>
      </c>
      <c r="CQ34" s="52">
        <f t="shared" si="159"/>
        <v>4.4943820224719211E-2</v>
      </c>
      <c r="CR34" s="52">
        <f t="shared" ref="CR34" si="160">+CR33/CM33-1</f>
        <v>-2.8186658315064728E-3</v>
      </c>
      <c r="CS34" s="52">
        <f t="shared" ref="CS34" si="161">+CS33/CN33-1</f>
        <v>1.4656895403064585E-2</v>
      </c>
      <c r="CT34" s="112">
        <f t="shared" ref="CT34" si="162">+CT33/CO33-1</f>
        <v>3.7331276513690614E-2</v>
      </c>
      <c r="CU34" s="52">
        <f t="shared" ref="CU34" si="163">+CU33/CP33-1</f>
        <v>2.1430727437367958E-2</v>
      </c>
      <c r="CV34" s="52">
        <f t="shared" ref="CV34" si="164">+CV33/CQ33-1</f>
        <v>-0.10237940860215056</v>
      </c>
      <c r="CW34" s="52">
        <f t="shared" ref="CW34" si="165">+CW33/CR33-1</f>
        <v>-6.9954726758794106E-2</v>
      </c>
      <c r="CX34" s="52">
        <f t="shared" ref="CX34" si="166">+CX33/CS33-1</f>
        <v>-8.8961982928430716E-2</v>
      </c>
      <c r="CY34" s="112">
        <f t="shared" ref="CY34" si="167">+CY33/CT33-1</f>
        <v>-6.1164995166926861E-2</v>
      </c>
      <c r="CZ34" s="52">
        <f t="shared" ref="CZ34" si="168">+CZ33/CU33-1</f>
        <v>-7.4751477541371236E-2</v>
      </c>
      <c r="DA34" s="52">
        <f t="shared" ref="DA34" si="169">+DA33/CV33-1</f>
        <v>-3.8317883187349189E-2</v>
      </c>
      <c r="DB34" s="52">
        <f t="shared" ref="DB34" si="170">+DB33/CW33-1</f>
        <v>-2.2070704128167695E-2</v>
      </c>
      <c r="DC34" s="52">
        <f t="shared" ref="DC34" si="171">+DC33/CX33-1</f>
        <v>-2.0830518880968873E-2</v>
      </c>
      <c r="DD34" s="112">
        <f t="shared" ref="DD34" si="172">+DD33/CY33-1</f>
        <v>-4.0428642719834262E-2</v>
      </c>
      <c r="DE34" s="52">
        <f t="shared" ref="DE34" si="173">+DE33/CZ33-1</f>
        <v>1.5864400689737934E-3</v>
      </c>
      <c r="DF34" s="52">
        <f t="shared" ref="DF34" si="174">+DF33/DA33-1</f>
        <v>2.4052234322418098E-3</v>
      </c>
      <c r="DG34" s="52">
        <f t="shared" ref="DG34" si="175">+DG33/DB33-1</f>
        <v>7.757762986085659E-3</v>
      </c>
      <c r="DH34" s="52">
        <f t="shared" ref="DH34" si="176">+DH33/DC33-1</f>
        <v>8.5457378412303608E-3</v>
      </c>
      <c r="DI34" s="112">
        <f t="shared" ref="DI34" si="177">+DI33/DD33-1</f>
        <v>4.8500984664034963E-3</v>
      </c>
    </row>
    <row r="35" spans="1:113" s="3" customFormat="1" ht="12" hidden="1" customHeight="1" outlineLevel="1">
      <c r="A35" s="490" t="str">
        <f t="shared" si="0"/>
        <v xml:space="preserve"> </v>
      </c>
      <c r="B35" s="491" t="s">
        <v>173</v>
      </c>
      <c r="C35" s="492"/>
      <c r="D35" s="522"/>
      <c r="E35" s="492"/>
      <c r="F35" s="522"/>
      <c r="G35" s="492"/>
      <c r="H35" s="522"/>
      <c r="I35" s="492"/>
      <c r="J35" s="522"/>
      <c r="K35" s="492"/>
      <c r="L35" s="522"/>
      <c r="M35" s="492"/>
      <c r="N35" s="522"/>
      <c r="O35" s="492"/>
      <c r="P35" s="522"/>
      <c r="Q35" s="492"/>
      <c r="R35" s="378" t="s">
        <v>126</v>
      </c>
      <c r="S35" s="522" t="s">
        <v>126</v>
      </c>
      <c r="T35" s="522" t="s">
        <v>126</v>
      </c>
      <c r="U35" s="522" t="s">
        <v>126</v>
      </c>
      <c r="V35" s="492" t="s">
        <v>126</v>
      </c>
      <c r="W35" s="378" t="s">
        <v>126</v>
      </c>
      <c r="X35" s="522" t="s">
        <v>126</v>
      </c>
      <c r="Y35" s="522" t="s">
        <v>126</v>
      </c>
      <c r="Z35" s="522" t="s">
        <v>126</v>
      </c>
      <c r="AA35" s="492" t="s">
        <v>126</v>
      </c>
      <c r="AB35" s="492"/>
      <c r="AC35" s="378" t="s">
        <v>126</v>
      </c>
      <c r="AD35" s="522" t="s">
        <v>126</v>
      </c>
      <c r="AE35" s="522" t="s">
        <v>126</v>
      </c>
      <c r="AF35" s="522" t="s">
        <v>126</v>
      </c>
      <c r="AG35" s="492" t="s">
        <v>126</v>
      </c>
      <c r="AH35" s="378" t="s">
        <v>126</v>
      </c>
      <c r="AI35" s="522" t="s">
        <v>126</v>
      </c>
      <c r="AJ35" s="522" t="s">
        <v>126</v>
      </c>
      <c r="AK35" s="522" t="s">
        <v>126</v>
      </c>
      <c r="AL35" s="492" t="s">
        <v>126</v>
      </c>
      <c r="AM35" s="378" t="s">
        <v>126</v>
      </c>
      <c r="AN35" s="522" t="s">
        <v>126</v>
      </c>
      <c r="AO35" s="522" t="s">
        <v>126</v>
      </c>
      <c r="AP35" s="522" t="s">
        <v>126</v>
      </c>
      <c r="AQ35" s="112">
        <v>0.1</v>
      </c>
      <c r="AR35" s="52">
        <v>0.12</v>
      </c>
      <c r="AS35" s="52">
        <v>0.1</v>
      </c>
      <c r="AT35" s="52">
        <v>0.14000000000000001</v>
      </c>
      <c r="AU35" s="52">
        <v>7.0000000000000007E-2</v>
      </c>
      <c r="AV35" s="112">
        <v>0.11</v>
      </c>
      <c r="AW35" s="52">
        <v>0.12</v>
      </c>
      <c r="AX35" s="52">
        <v>0.09</v>
      </c>
      <c r="AY35" s="52">
        <v>0.09</v>
      </c>
      <c r="AZ35" s="52">
        <v>0.04</v>
      </c>
      <c r="BA35" s="112">
        <v>0.09</v>
      </c>
      <c r="BB35" s="52">
        <v>0.05</v>
      </c>
      <c r="BC35" s="52">
        <v>0.08</v>
      </c>
      <c r="BD35" s="522">
        <v>0.09</v>
      </c>
      <c r="BE35" s="52">
        <v>0.15</v>
      </c>
      <c r="BF35" s="112">
        <f>SUMPRODUCT(BB35:BE35,AW33:AZ33)/BA33</f>
        <v>9.1113528071265798E-2</v>
      </c>
      <c r="BG35" s="52">
        <v>0.11</v>
      </c>
      <c r="BH35" s="52">
        <v>0.14000000000000001</v>
      </c>
      <c r="BI35" s="52">
        <v>0.1</v>
      </c>
      <c r="BJ35" s="52">
        <v>0.08</v>
      </c>
      <c r="BK35" s="112">
        <f>SUMPRODUCT(BG35:BJ35,BB33:BE33)/BF33</f>
        <v>0.10760831081710613</v>
      </c>
      <c r="BL35" s="52">
        <v>0.09</v>
      </c>
      <c r="BM35" s="52">
        <v>0.1</v>
      </c>
      <c r="BN35" s="52">
        <v>0.09</v>
      </c>
      <c r="BO35" s="52">
        <v>-0.41</v>
      </c>
      <c r="BP35" s="112">
        <f>SUMPRODUCT(BL35:BO35,BG33:BJ33)/BK33</f>
        <v>-3.0520346320346309E-2</v>
      </c>
      <c r="BQ35" s="52">
        <v>-7.0000000000000007E-2</v>
      </c>
      <c r="BR35" s="52">
        <v>7.0000000000000007E-2</v>
      </c>
      <c r="BS35" s="52">
        <v>-0.01</v>
      </c>
      <c r="BT35" s="52">
        <v>1.01</v>
      </c>
      <c r="BU35" s="112">
        <f>SUMPRODUCT(BQ35:BT35,BL33:BO33)/BP33</f>
        <v>0.14963662923399981</v>
      </c>
      <c r="BV35" s="52">
        <v>0.16</v>
      </c>
      <c r="BW35" s="52">
        <v>0.01</v>
      </c>
      <c r="BX35" s="52">
        <v>0.12</v>
      </c>
      <c r="BY35" s="52">
        <v>-0.02</v>
      </c>
      <c r="BZ35" s="112">
        <f>SUMPRODUCT(BV35:BY35,BQ33:BT33)/BU33</f>
        <v>6.0862028760202101E-2</v>
      </c>
      <c r="CA35" s="52">
        <v>7.0000000000000007E-2</v>
      </c>
      <c r="CB35" s="52">
        <v>0.14000000000000001</v>
      </c>
      <c r="CC35" s="52">
        <v>0.1</v>
      </c>
      <c r="CD35" s="52">
        <v>0.03</v>
      </c>
      <c r="CE35" s="112">
        <f>SUMPRODUCT(CA35:CD35,BV33:BY33)/BZ33</f>
        <v>8.6425149259231962E-2</v>
      </c>
      <c r="CF35" s="52">
        <v>-0.01</v>
      </c>
      <c r="CG35" s="52">
        <v>-0.02</v>
      </c>
      <c r="CH35" s="52">
        <v>-0.03</v>
      </c>
      <c r="CI35" s="52">
        <v>0.04</v>
      </c>
      <c r="CJ35" s="112">
        <f>SUMPRODUCT(CF35:CI35,CA33:CD33)/CE33</f>
        <v>-5.9445206963808393E-3</v>
      </c>
      <c r="CK35" s="52">
        <v>-0.09</v>
      </c>
      <c r="CL35" s="52">
        <v>-0.02</v>
      </c>
      <c r="CM35" s="52">
        <v>-0.01</v>
      </c>
      <c r="CN35" s="52">
        <v>-0.09</v>
      </c>
      <c r="CO35" s="112">
        <f>SUMPRODUCT(CK35:CN35,CF33:CI33)/CJ33</f>
        <v>-5.1714700544464608E-2</v>
      </c>
      <c r="CP35" s="52">
        <v>7.0000000000000007E-2</v>
      </c>
      <c r="CQ35" s="52">
        <v>0.04</v>
      </c>
      <c r="CR35" s="52">
        <v>-0.04</v>
      </c>
      <c r="CS35" s="52">
        <v>-0.01</v>
      </c>
      <c r="CT35" s="112">
        <f>SUMPRODUCT(CP35:CS35,CK33:CN33)/CO33</f>
        <v>1.573621288083301E-2</v>
      </c>
      <c r="CU35" s="52">
        <v>0.02</v>
      </c>
      <c r="CV35" s="52">
        <f>(CQ194*CV196+CQ263*CV265+CQ332*CV334+CQ401*CV403)/CQ33</f>
        <v>-0.10133128520225294</v>
      </c>
      <c r="CW35" s="52">
        <f>(CR194*CW196+CR263*CW265+CR332*CW334+CR401*CW403)/CR33</f>
        <v>-6.3665201005025124E-2</v>
      </c>
      <c r="CX35" s="52">
        <f>(CS194*CX196+CS263*CX265+CS332*CX334+CS401*CX403)/CS33</f>
        <v>-8.1713722915298742E-2</v>
      </c>
      <c r="CY35" s="112">
        <f>SUMPRODUCT(CU35:CX35,CP33:CS33)/CT33</f>
        <v>-5.8082385307457803E-2</v>
      </c>
      <c r="CZ35" s="52">
        <f>(CU194*CZ196+CU263*CZ265+CU332*CZ334+CU401*CZ403)/CU33</f>
        <v>-7.130023640661938E-2</v>
      </c>
      <c r="DA35" s="52">
        <f>(CV194*DA196+CV263*DA265+CV332*DA334+CV401*DA403)/CV33</f>
        <v>-3.8317883187349015E-2</v>
      </c>
      <c r="DB35" s="52">
        <f>(CW194*DB196+CW263*DB265+CW332*DB334+CW401*DB403)/CW33</f>
        <v>-2.2070704128167695E-2</v>
      </c>
      <c r="DC35" s="52">
        <f>(CX194*DC196+CX263*DC265+CX332*DC334+CX401*DC403)/CX33</f>
        <v>-2.083051888096879E-2</v>
      </c>
      <c r="DD35" s="112">
        <f>SUMPRODUCT(CZ35:DC35,CU33:CX33)/CY33</f>
        <v>-3.9503675395954237E-2</v>
      </c>
      <c r="DE35" s="52">
        <f>(CZ194*DE196+CZ263*DE265+CZ332*DE334+CZ401*DE403)/CZ33</f>
        <v>1.5864400689738656E-3</v>
      </c>
      <c r="DF35" s="52">
        <f>(DA194*DF196+DA263*DF265+DA332*DF334+DA401*DF403)/DA33</f>
        <v>2.4052234322416806E-3</v>
      </c>
      <c r="DG35" s="52">
        <f>(DB194*DG196+DB263*DG265+DB332*DG334+DB401*DG403)/DB33</f>
        <v>7.7577629860855089E-3</v>
      </c>
      <c r="DH35" s="52">
        <f>(DC194*DH196+DC263*DH265+DC332*DH334+DC401*DH403)/DC33</f>
        <v>8.5457378412301336E-3</v>
      </c>
      <c r="DI35" s="112">
        <f>SUMPRODUCT(DE35:DH35,CZ33:DC33)/DD33</f>
        <v>4.8500984664034833E-3</v>
      </c>
    </row>
    <row r="36" spans="1:113" s="545" customFormat="1" ht="12" hidden="1" customHeight="1" outlineLevel="1">
      <c r="A36" s="490" t="str">
        <f t="shared" si="0"/>
        <v xml:space="preserve"> </v>
      </c>
      <c r="B36" s="546" t="s">
        <v>142</v>
      </c>
      <c r="C36" s="112"/>
      <c r="D36" s="52"/>
      <c r="E36" s="112"/>
      <c r="F36" s="52"/>
      <c r="G36" s="112"/>
      <c r="H36" s="52"/>
      <c r="I36" s="112"/>
      <c r="J36" s="52"/>
      <c r="K36" s="112"/>
      <c r="L36" s="52"/>
      <c r="M36" s="112"/>
      <c r="N36" s="52"/>
      <c r="O36" s="112"/>
      <c r="P36" s="52"/>
      <c r="Q36" s="112"/>
      <c r="R36" s="217" t="s">
        <v>126</v>
      </c>
      <c r="S36" s="52" t="s">
        <v>126</v>
      </c>
      <c r="T36" s="52" t="s">
        <v>126</v>
      </c>
      <c r="U36" s="52" t="s">
        <v>126</v>
      </c>
      <c r="V36" s="112" t="s">
        <v>126</v>
      </c>
      <c r="W36" s="217" t="s">
        <v>126</v>
      </c>
      <c r="X36" s="52" t="s">
        <v>126</v>
      </c>
      <c r="Y36" s="52" t="s">
        <v>126</v>
      </c>
      <c r="Z36" s="52" t="s">
        <v>126</v>
      </c>
      <c r="AA36" s="112" t="s">
        <v>126</v>
      </c>
      <c r="AB36" s="112"/>
      <c r="AC36" s="217" t="s">
        <v>126</v>
      </c>
      <c r="AD36" s="52" t="s">
        <v>126</v>
      </c>
      <c r="AE36" s="52" t="s">
        <v>126</v>
      </c>
      <c r="AF36" s="52" t="s">
        <v>126</v>
      </c>
      <c r="AG36" s="112" t="s">
        <v>126</v>
      </c>
      <c r="AH36" s="217" t="s">
        <v>126</v>
      </c>
      <c r="AI36" s="52" t="s">
        <v>126</v>
      </c>
      <c r="AJ36" s="52" t="s">
        <v>126</v>
      </c>
      <c r="AK36" s="52" t="s">
        <v>126</v>
      </c>
      <c r="AL36" s="112" t="s">
        <v>126</v>
      </c>
      <c r="AM36" s="217" t="s">
        <v>126</v>
      </c>
      <c r="AN36" s="52" t="s">
        <v>126</v>
      </c>
      <c r="AO36" s="52" t="s">
        <v>126</v>
      </c>
      <c r="AP36" s="52" t="s">
        <v>126</v>
      </c>
      <c r="AQ36" s="112">
        <v>0.08</v>
      </c>
      <c r="AR36" s="52">
        <v>0.09</v>
      </c>
      <c r="AS36" s="52">
        <v>0.08</v>
      </c>
      <c r="AT36" s="52">
        <v>0.12</v>
      </c>
      <c r="AU36" s="52">
        <f>((AV36*SUM(AM33:AP33))-AR36*AM33-AS36*AN33-AT36*AO33)/AP33</f>
        <v>-4.0250447227191417E-3</v>
      </c>
      <c r="AV36" s="112">
        <v>7.0000000000000007E-2</v>
      </c>
      <c r="AW36" s="52">
        <v>0.09</v>
      </c>
      <c r="AX36" s="52">
        <v>0.05</v>
      </c>
      <c r="AY36" s="52">
        <v>0.06</v>
      </c>
      <c r="AZ36" s="52">
        <f>((BA36*SUM(AR33:AU33))-AW36*AR33-AX36*AS33-AY36*AT33)/AU33</f>
        <v>3.9191964285714267E-2</v>
      </c>
      <c r="BA36" s="112">
        <v>0.06</v>
      </c>
      <c r="BB36" s="52">
        <v>0.03</v>
      </c>
      <c r="BC36" s="52">
        <v>0.03</v>
      </c>
      <c r="BD36" s="52">
        <v>0.02</v>
      </c>
      <c r="BE36" s="52">
        <f>((BF36*SUM(AW33:AZ33))-BB36*AW33-BC36*AX33-BD36*AY33)/AZ33</f>
        <v>8.1816601477618447E-2</v>
      </c>
      <c r="BF36" s="112">
        <v>0.04</v>
      </c>
      <c r="BG36" s="52">
        <v>7.0000000000000007E-2</v>
      </c>
      <c r="BH36" s="52">
        <v>0.08</v>
      </c>
      <c r="BI36" s="52">
        <v>0.02</v>
      </c>
      <c r="BJ36" s="52">
        <f>((BK36*SUM(BB33:BE33))-BG36*BB33-BH36*BC33-BI36*BD33)/BE33</f>
        <v>6.7399638336347212E-2</v>
      </c>
      <c r="BK36" s="112">
        <v>0.06</v>
      </c>
      <c r="BL36" s="52">
        <v>0.05</v>
      </c>
      <c r="BM36" s="52">
        <v>7.0000000000000007E-2</v>
      </c>
      <c r="BN36" s="52">
        <v>0.08</v>
      </c>
      <c r="BO36" s="52">
        <f>((BP36*SUM(BG33:BJ33))-BL36*BG33-BM36*BH33-BN36*BI33)/BJ33</f>
        <v>-0.52774692442882254</v>
      </c>
      <c r="BP36" s="112">
        <v>-0.08</v>
      </c>
      <c r="BQ36" s="52">
        <v>-0.06</v>
      </c>
      <c r="BR36" s="52">
        <v>0.09</v>
      </c>
      <c r="BS36" s="52">
        <v>-0.11</v>
      </c>
      <c r="BT36" s="52">
        <f>((BU36*SUM(BL33:BO33))-BQ36*BL33-BR36*BM33-BS36*BN33)/BO33</f>
        <v>1.0636585365853659</v>
      </c>
      <c r="BU36" s="112">
        <v>0.14000000000000001</v>
      </c>
      <c r="BV36" s="52">
        <v>0.08</v>
      </c>
      <c r="BW36" s="52">
        <v>-0.06</v>
      </c>
      <c r="BX36" s="52">
        <v>0.05</v>
      </c>
      <c r="BY36" s="52">
        <f>((BZ36*SUM(BQ33:BT33))-BV36*BQ33-BW36*BR33-BX36*BS33)/BT33</f>
        <v>-4.7455655713870316E-2</v>
      </c>
      <c r="BZ36" s="112">
        <v>0</v>
      </c>
      <c r="CA36" s="52">
        <v>0.05</v>
      </c>
      <c r="CB36" s="52">
        <v>0.1</v>
      </c>
      <c r="CC36" s="52">
        <v>0.05</v>
      </c>
      <c r="CD36" s="52">
        <f>((CE36*SUM(BV33:BY33))-CA36*BV33-CB36*BW33-CC36*BX33)/BY33</f>
        <v>-4.8260735248687049E-2</v>
      </c>
      <c r="CE36" s="112">
        <v>0.04</v>
      </c>
      <c r="CF36" s="52">
        <v>-0.12</v>
      </c>
      <c r="CG36" s="52">
        <v>-0.15</v>
      </c>
      <c r="CH36" s="52">
        <v>-0.08</v>
      </c>
      <c r="CI36" s="52">
        <f>((CJ36*SUM(CA33:CD33))-CF36*CA33-CG36*CB33-CH36*CC33)/CD33</f>
        <v>1.7903525046382429E-3</v>
      </c>
      <c r="CJ36" s="112">
        <v>-0.09</v>
      </c>
      <c r="CK36" s="52">
        <v>-0.12</v>
      </c>
      <c r="CL36" s="52">
        <v>0</v>
      </c>
      <c r="CM36" s="52">
        <v>0</v>
      </c>
      <c r="CN36" s="52">
        <f>((CO36*SUM(CF33:CI33))-CK36*CF33-CL36*CG33-CM36*CH33)/CI33</f>
        <v>-8.4920252783629246E-2</v>
      </c>
      <c r="CO36" s="112">
        <v>-0.05</v>
      </c>
      <c r="CP36" s="52">
        <v>0.1</v>
      </c>
      <c r="CQ36" s="52">
        <v>0.04</v>
      </c>
      <c r="CR36" s="52">
        <v>-0.03</v>
      </c>
      <c r="CS36" s="52">
        <f>((CT36*SUM(CK33:CN33))-CP36*CK33-CQ36*CL33-CR36*CM33)/CN33</f>
        <v>-7.5709526982011999E-2</v>
      </c>
      <c r="CT36" s="112">
        <v>0.01</v>
      </c>
      <c r="CU36" s="52"/>
      <c r="CV36" s="52"/>
      <c r="CW36" s="52"/>
      <c r="CX36" s="52"/>
      <c r="CY36" s="112"/>
      <c r="CZ36" s="52"/>
      <c r="DA36" s="52"/>
      <c r="DB36" s="52"/>
      <c r="DC36" s="52"/>
      <c r="DD36" s="112"/>
      <c r="DE36" s="52"/>
      <c r="DF36" s="52"/>
      <c r="DG36" s="52"/>
      <c r="DH36" s="52"/>
      <c r="DI36" s="112"/>
    </row>
    <row r="37" spans="1:113" s="545" customFormat="1" ht="12" hidden="1" customHeight="1" outlineLevel="1">
      <c r="A37" s="490" t="str">
        <f t="shared" si="0"/>
        <v xml:space="preserve"> </v>
      </c>
      <c r="B37" s="546" t="s">
        <v>143</v>
      </c>
      <c r="C37" s="112"/>
      <c r="D37" s="52"/>
      <c r="E37" s="112"/>
      <c r="F37" s="52"/>
      <c r="G37" s="112"/>
      <c r="H37" s="52"/>
      <c r="I37" s="112"/>
      <c r="J37" s="52"/>
      <c r="K37" s="112"/>
      <c r="L37" s="52"/>
      <c r="M37" s="112"/>
      <c r="N37" s="52"/>
      <c r="O37" s="112"/>
      <c r="P37" s="52"/>
      <c r="Q37" s="112"/>
      <c r="R37" s="217" t="s">
        <v>126</v>
      </c>
      <c r="S37" s="52" t="s">
        <v>126</v>
      </c>
      <c r="T37" s="52" t="s">
        <v>126</v>
      </c>
      <c r="U37" s="52" t="s">
        <v>126</v>
      </c>
      <c r="V37" s="112" t="s">
        <v>126</v>
      </c>
      <c r="W37" s="217" t="s">
        <v>126</v>
      </c>
      <c r="X37" s="52" t="s">
        <v>126</v>
      </c>
      <c r="Y37" s="52" t="s">
        <v>126</v>
      </c>
      <c r="Z37" s="52" t="s">
        <v>126</v>
      </c>
      <c r="AA37" s="112" t="s">
        <v>126</v>
      </c>
      <c r="AB37" s="112"/>
      <c r="AC37" s="217" t="s">
        <v>126</v>
      </c>
      <c r="AD37" s="52" t="s">
        <v>126</v>
      </c>
      <c r="AE37" s="52" t="s">
        <v>126</v>
      </c>
      <c r="AF37" s="52" t="s">
        <v>126</v>
      </c>
      <c r="AG37" s="112" t="s">
        <v>126</v>
      </c>
      <c r="AH37" s="217" t="s">
        <v>126</v>
      </c>
      <c r="AI37" s="52" t="s">
        <v>126</v>
      </c>
      <c r="AJ37" s="52" t="s">
        <v>126</v>
      </c>
      <c r="AK37" s="52" t="s">
        <v>126</v>
      </c>
      <c r="AL37" s="112" t="s">
        <v>126</v>
      </c>
      <c r="AM37" s="217" t="s">
        <v>126</v>
      </c>
      <c r="AN37" s="52" t="s">
        <v>126</v>
      </c>
      <c r="AO37" s="52" t="s">
        <v>126</v>
      </c>
      <c r="AP37" s="52" t="s">
        <v>126</v>
      </c>
      <c r="AQ37" s="112">
        <v>0.02</v>
      </c>
      <c r="AR37" s="52">
        <v>0.03</v>
      </c>
      <c r="AS37" s="52">
        <v>0.02</v>
      </c>
      <c r="AT37" s="52">
        <v>0.02</v>
      </c>
      <c r="AU37" s="52">
        <f>((AV37*SUM(AM33:AP33))-AR37*AM33-AS37*AN33-AT37*AO33)/AP33</f>
        <v>8.7960644007155642E-2</v>
      </c>
      <c r="AV37" s="112">
        <v>0.04</v>
      </c>
      <c r="AW37" s="52">
        <v>0.03</v>
      </c>
      <c r="AX37" s="52">
        <v>0.04</v>
      </c>
      <c r="AY37" s="52">
        <v>0.03</v>
      </c>
      <c r="AZ37" s="52">
        <f>((BA37*SUM(AR33:AU33))-AW37*AR33-AX37*AS33-AY37*AT33)/AU33</f>
        <v>1.9455357142857128E-2</v>
      </c>
      <c r="BA37" s="112">
        <v>0.03</v>
      </c>
      <c r="BB37" s="52">
        <v>0.02</v>
      </c>
      <c r="BC37" s="52">
        <v>0.05</v>
      </c>
      <c r="BD37" s="52">
        <v>7.0000000000000007E-2</v>
      </c>
      <c r="BE37" s="52">
        <f>((BF37*SUM(AW33:AZ33))-BB37*AW33-BC37*AX33-BD37*AY33)/AZ33</f>
        <v>6.3511516731855719E-2</v>
      </c>
      <c r="BF37" s="112">
        <v>0.05</v>
      </c>
      <c r="BG37" s="52">
        <v>0.04</v>
      </c>
      <c r="BH37" s="52">
        <v>0.06</v>
      </c>
      <c r="BI37" s="52">
        <v>0.08</v>
      </c>
      <c r="BJ37" s="52">
        <f>((BK37*SUM(BB33:BE33))-BG37*BB33-BH37*BC33-BI37*BD33)/BE33</f>
        <v>2.1884267631103061E-2</v>
      </c>
      <c r="BK37" s="112">
        <v>0.05</v>
      </c>
      <c r="BL37" s="52">
        <v>0.04</v>
      </c>
      <c r="BM37" s="52">
        <v>0.03</v>
      </c>
      <c r="BN37" s="52">
        <v>0.01</v>
      </c>
      <c r="BO37" s="52">
        <f>((BP37*SUM(BG33:BJ33))-BL37*BG33-BM37*BH33-BN37*BI33)/BJ33</f>
        <v>0.11985940246045693</v>
      </c>
      <c r="BP37" s="112">
        <v>0.05</v>
      </c>
      <c r="BQ37" s="52">
        <v>-0.01</v>
      </c>
      <c r="BR37" s="52">
        <v>-0.02</v>
      </c>
      <c r="BS37" s="52">
        <v>0.1</v>
      </c>
      <c r="BT37" s="52">
        <f>((BU37*SUM(BL33:BO33))-BQ37*BL33-BR37*BM33-BS37*BN33)/BO33</f>
        <v>-5.1231707317073161E-2</v>
      </c>
      <c r="BU37" s="112">
        <v>0.01</v>
      </c>
      <c r="BV37" s="52">
        <v>0.08</v>
      </c>
      <c r="BW37" s="52">
        <v>7.0000000000000007E-2</v>
      </c>
      <c r="BX37" s="52">
        <v>7.0000000000000007E-2</v>
      </c>
      <c r="BY37" s="52">
        <f>((BZ37*SUM(BQ33:BT33))-BV37*BQ33-BW37*BR33-BX37*BS33)/BT33</f>
        <v>2.423088107007848E-2</v>
      </c>
      <c r="BZ37" s="112">
        <v>0.06</v>
      </c>
      <c r="CA37" s="52">
        <v>0.02</v>
      </c>
      <c r="CB37" s="52">
        <v>0.04</v>
      </c>
      <c r="CC37" s="52">
        <v>0.05</v>
      </c>
      <c r="CD37" s="52">
        <f>((CE37*SUM(BV33:BY33))-CA37*BV33-CB37*BW33-CC37*BX33)/BY33</f>
        <v>5.133147976521471E-2</v>
      </c>
      <c r="CE37" s="112">
        <v>0.04</v>
      </c>
      <c r="CF37" s="52">
        <v>0.11</v>
      </c>
      <c r="CG37" s="52">
        <v>0.13</v>
      </c>
      <c r="CH37" s="52">
        <v>0.05</v>
      </c>
      <c r="CI37" s="52">
        <f>((CJ37*SUM(CA33:CD33))-CF37*CA33-CG37*CB33-CH37*CC33)/CD33</f>
        <v>6.3654916512059317E-2</v>
      </c>
      <c r="CJ37" s="112">
        <v>0.09</v>
      </c>
      <c r="CK37" s="52">
        <v>0.03</v>
      </c>
      <c r="CL37" s="52">
        <v>-0.02</v>
      </c>
      <c r="CM37" s="52">
        <v>-0.01</v>
      </c>
      <c r="CN37" s="52">
        <f>((CO37*SUM(CF33:CI33))-CK37*CF33-CL37*CG33-CM37*CH33)/CI33</f>
        <v>2.0282876918447192E-3</v>
      </c>
      <c r="CO37" s="112">
        <v>0</v>
      </c>
      <c r="CP37" s="52">
        <v>-0.03</v>
      </c>
      <c r="CQ37" s="52">
        <v>0</v>
      </c>
      <c r="CR37" s="52">
        <v>-0.01</v>
      </c>
      <c r="CS37" s="52">
        <f>((CT37*SUM(CK33:CN33))-CP37*CK33-CQ37*CL33-CR37*CM33)/CN33</f>
        <v>8.4123917388407729E-2</v>
      </c>
      <c r="CT37" s="112">
        <v>0.01</v>
      </c>
      <c r="CU37" s="52"/>
      <c r="CV37" s="52"/>
      <c r="CW37" s="52"/>
      <c r="CX37" s="52"/>
      <c r="CY37" s="112"/>
      <c r="CZ37" s="52"/>
      <c r="DA37" s="52"/>
      <c r="DB37" s="52"/>
      <c r="DC37" s="52"/>
      <c r="DD37" s="112"/>
      <c r="DE37" s="52"/>
      <c r="DF37" s="52"/>
      <c r="DG37" s="52"/>
      <c r="DH37" s="52"/>
      <c r="DI37" s="112"/>
    </row>
    <row r="38" spans="1:113" s="433" customFormat="1" ht="12" hidden="1" customHeight="1" outlineLevel="1">
      <c r="A38" s="490" t="str">
        <f t="shared" si="0"/>
        <v xml:space="preserve"> </v>
      </c>
      <c r="B38" s="547" t="s">
        <v>141</v>
      </c>
      <c r="C38" s="492"/>
      <c r="D38" s="522"/>
      <c r="E38" s="492"/>
      <c r="F38" s="522"/>
      <c r="G38" s="492"/>
      <c r="H38" s="522"/>
      <c r="I38" s="492"/>
      <c r="J38" s="522"/>
      <c r="K38" s="492"/>
      <c r="L38" s="522"/>
      <c r="M38" s="492"/>
      <c r="N38" s="522"/>
      <c r="O38" s="492"/>
      <c r="P38" s="522"/>
      <c r="Q38" s="492"/>
      <c r="R38" s="378" t="s">
        <v>126</v>
      </c>
      <c r="S38" s="522" t="s">
        <v>126</v>
      </c>
      <c r="T38" s="522" t="s">
        <v>126</v>
      </c>
      <c r="U38" s="522" t="s">
        <v>126</v>
      </c>
      <c r="V38" s="492" t="s">
        <v>126</v>
      </c>
      <c r="W38" s="378" t="s">
        <v>126</v>
      </c>
      <c r="X38" s="522" t="s">
        <v>126</v>
      </c>
      <c r="Y38" s="522" t="s">
        <v>126</v>
      </c>
      <c r="Z38" s="522" t="s">
        <v>126</v>
      </c>
      <c r="AA38" s="492" t="s">
        <v>126</v>
      </c>
      <c r="AB38" s="492"/>
      <c r="AC38" s="378" t="s">
        <v>126</v>
      </c>
      <c r="AD38" s="522" t="s">
        <v>126</v>
      </c>
      <c r="AE38" s="522" t="s">
        <v>126</v>
      </c>
      <c r="AF38" s="522" t="s">
        <v>126</v>
      </c>
      <c r="AG38" s="492" t="s">
        <v>126</v>
      </c>
      <c r="AH38" s="217" t="s">
        <v>126</v>
      </c>
      <c r="AI38" s="52" t="s">
        <v>126</v>
      </c>
      <c r="AJ38" s="52" t="s">
        <v>126</v>
      </c>
      <c r="AK38" s="52" t="s">
        <v>126</v>
      </c>
      <c r="AL38" s="112" t="s">
        <v>126</v>
      </c>
      <c r="AM38" s="217" t="s">
        <v>126</v>
      </c>
      <c r="AN38" s="52" t="s">
        <v>126</v>
      </c>
      <c r="AO38" s="52" t="s">
        <v>126</v>
      </c>
      <c r="AP38" s="52" t="s">
        <v>126</v>
      </c>
      <c r="AQ38" s="112">
        <f t="shared" ref="AQ38:BP38" si="178">(1+AQ34)/(1+AQ35)-1</f>
        <v>-2.285900066144253E-2</v>
      </c>
      <c r="AR38" s="52">
        <f t="shared" si="178"/>
        <v>-6.521530794786623E-2</v>
      </c>
      <c r="AS38" s="52">
        <f t="shared" si="178"/>
        <v>-6.0274517604933409E-2</v>
      </c>
      <c r="AT38" s="52">
        <f t="shared" si="178"/>
        <v>-4.8923994519223024E-2</v>
      </c>
      <c r="AU38" s="52">
        <f t="shared" si="178"/>
        <v>-6.3748683396586125E-2</v>
      </c>
      <c r="AV38" s="112">
        <f t="shared" si="178"/>
        <v>-6.2819129363415938E-2</v>
      </c>
      <c r="AW38" s="52">
        <f t="shared" si="178"/>
        <v>-2.7811679990236371E-2</v>
      </c>
      <c r="AX38" s="52">
        <f t="shared" si="178"/>
        <v>-1.5373381289375487E-2</v>
      </c>
      <c r="AY38" s="52">
        <f t="shared" si="178"/>
        <v>-1.9938146823545777E-2</v>
      </c>
      <c r="AZ38" s="52">
        <f t="shared" si="178"/>
        <v>-1.2276785714285698E-2</v>
      </c>
      <c r="BA38" s="112">
        <f t="shared" si="178"/>
        <v>-2.3174067062429304E-2</v>
      </c>
      <c r="BB38" s="52">
        <f t="shared" si="178"/>
        <v>-9.1352351062041759E-3</v>
      </c>
      <c r="BC38" s="52">
        <f t="shared" si="178"/>
        <v>8.47395719190569E-3</v>
      </c>
      <c r="BD38" s="52">
        <f t="shared" si="178"/>
        <v>3.3070382215824701E-2</v>
      </c>
      <c r="BE38" s="52">
        <f t="shared" si="178"/>
        <v>4.491430946847319E-2</v>
      </c>
      <c r="BF38" s="112">
        <f t="shared" si="178"/>
        <v>1.8928933195741848E-2</v>
      </c>
      <c r="BG38" s="52">
        <f t="shared" si="178"/>
        <v>1.7936488524723515E-3</v>
      </c>
      <c r="BH38" s="52">
        <f t="shared" si="178"/>
        <v>-3.1306988950100867E-2</v>
      </c>
      <c r="BI38" s="52">
        <f t="shared" si="178"/>
        <v>-3.6826187511119102E-2</v>
      </c>
      <c r="BJ38" s="52">
        <f t="shared" si="178"/>
        <v>-4.728417386645245E-2</v>
      </c>
      <c r="BK38" s="112">
        <f t="shared" si="178"/>
        <v>-2.8428763219257136E-2</v>
      </c>
      <c r="BL38" s="52">
        <f t="shared" si="178"/>
        <v>-2.9059765244632829E-2</v>
      </c>
      <c r="BM38" s="52">
        <f t="shared" si="178"/>
        <v>-1.994692745758686E-2</v>
      </c>
      <c r="BN38" s="52">
        <f t="shared" si="178"/>
        <v>-1.5464494023310404E-2</v>
      </c>
      <c r="BO38" s="52">
        <f t="shared" si="178"/>
        <v>-2.2966250632987073E-2</v>
      </c>
      <c r="BP38" s="112">
        <f t="shared" si="178"/>
        <v>-2.1834357521194558E-2</v>
      </c>
      <c r="BQ38" s="52">
        <f t="shared" ref="BQ38:BZ38" si="179">(1+BQ34)/(1+BQ35)-1</f>
        <v>-9.4848287528466191E-3</v>
      </c>
      <c r="BR38" s="52">
        <f t="shared" si="179"/>
        <v>1.9308576124011489E-2</v>
      </c>
      <c r="BS38" s="52">
        <f t="shared" si="179"/>
        <v>3.1311392757175982E-2</v>
      </c>
      <c r="BT38" s="52">
        <f t="shared" si="179"/>
        <v>4.3259313190147086E-2</v>
      </c>
      <c r="BU38" s="112">
        <f t="shared" si="179"/>
        <v>2.1682866144058233E-2</v>
      </c>
      <c r="BV38" s="52">
        <f t="shared" si="179"/>
        <v>3.4482758620689724E-2</v>
      </c>
      <c r="BW38" s="52">
        <f t="shared" si="179"/>
        <v>7.4982393636853217E-3</v>
      </c>
      <c r="BX38" s="52">
        <f t="shared" si="179"/>
        <v>-2.7068683171178276E-2</v>
      </c>
      <c r="BY38" s="52">
        <f t="shared" ref="BY38" si="180">(1+BY34)/(1+BY35)-1</f>
        <v>-3.9528576769469081E-2</v>
      </c>
      <c r="BZ38" s="112">
        <f t="shared" si="179"/>
        <v>-5.9342071616407255E-3</v>
      </c>
      <c r="CA38" s="52">
        <f t="shared" ref="CA38:CE38" si="181">(1+CA34)/(1+CA35)-1</f>
        <v>-6.9754842205065781E-2</v>
      </c>
      <c r="CB38" s="52">
        <f t="shared" si="181"/>
        <v>-8.7700061557402398E-2</v>
      </c>
      <c r="CC38" s="52">
        <f t="shared" si="181"/>
        <v>-4.8998649864986588E-2</v>
      </c>
      <c r="CD38" s="52">
        <f t="shared" si="181"/>
        <v>-3.0026003941081791E-2</v>
      </c>
      <c r="CE38" s="112">
        <f t="shared" si="181"/>
        <v>-6.0824870263841646E-2</v>
      </c>
      <c r="CF38" s="52">
        <f t="shared" ref="CF38:CJ38" si="182">(1+CF34)/(1+CF35)-1</f>
        <v>-3.4297547401799244E-3</v>
      </c>
      <c r="CG38" s="52">
        <f t="shared" si="182"/>
        <v>1.5029100728324973E-2</v>
      </c>
      <c r="CH38" s="52">
        <f t="shared" si="182"/>
        <v>3.1802949776953415E-3</v>
      </c>
      <c r="CI38" s="52">
        <f t="shared" si="182"/>
        <v>-1.1999904857047716E-2</v>
      </c>
      <c r="CJ38" s="112">
        <f t="shared" si="182"/>
        <v>1.0384638583329497E-3</v>
      </c>
      <c r="CK38" s="52">
        <f t="shared" ref="CK38:CQ38" si="183">(1+CK34)/(1+CK35)-1</f>
        <v>-1.6567847736678964E-2</v>
      </c>
      <c r="CL38" s="52">
        <f t="shared" si="183"/>
        <v>1.0674540086304862E-2</v>
      </c>
      <c r="CM38" s="52">
        <f t="shared" si="183"/>
        <v>-1.9680083509870716E-2</v>
      </c>
      <c r="CN38" s="52">
        <f t="shared" si="183"/>
        <v>-7.2521520008730356E-3</v>
      </c>
      <c r="CO38" s="112">
        <f t="shared" si="183"/>
        <v>-7.4739926033272619E-3</v>
      </c>
      <c r="CP38" s="52">
        <f t="shared" ref="CP38:CT38" si="184">(1+CP34)/(1+CP35)-1</f>
        <v>2.1194486227899212E-2</v>
      </c>
      <c r="CQ38" s="52">
        <f t="shared" si="183"/>
        <v>4.7536732929991388E-3</v>
      </c>
      <c r="CR38" s="52">
        <f t="shared" si="184"/>
        <v>3.873055642551404E-2</v>
      </c>
      <c r="CS38" s="52">
        <f t="shared" si="184"/>
        <v>2.4905954952590514E-2</v>
      </c>
      <c r="CT38" s="112">
        <f t="shared" si="184"/>
        <v>2.1260503818811172E-2</v>
      </c>
      <c r="CU38" s="52">
        <f t="shared" ref="CU38:CY38" si="185">(1+CU34)/(1+CU35)-1</f>
        <v>1.402673958203815E-3</v>
      </c>
      <c r="CV38" s="52">
        <f t="shared" si="185"/>
        <v>-1.166306763147329E-3</v>
      </c>
      <c r="CW38" s="52">
        <f t="shared" si="185"/>
        <v>-6.7171761217460491E-3</v>
      </c>
      <c r="CX38" s="52">
        <f t="shared" si="185"/>
        <v>-7.8932465768116744E-3</v>
      </c>
      <c r="CY38" s="112">
        <f t="shared" si="185"/>
        <v>-3.2726958402570228E-3</v>
      </c>
      <c r="CZ38" s="52">
        <f t="shared" ref="CZ38:DD38" si="186">(1+CZ34)/(1+CZ35)-1</f>
        <v>-3.7162076163324009E-3</v>
      </c>
      <c r="DA38" s="52">
        <f t="shared" si="186"/>
        <v>0</v>
      </c>
      <c r="DB38" s="52">
        <f t="shared" si="186"/>
        <v>0</v>
      </c>
      <c r="DC38" s="52">
        <f t="shared" si="186"/>
        <v>0</v>
      </c>
      <c r="DD38" s="112">
        <f t="shared" si="186"/>
        <v>-9.6300974838325892E-4</v>
      </c>
      <c r="DE38" s="52">
        <f t="shared" ref="DE38:DI38" si="187">(1+DE34)/(1+DE35)-1</f>
        <v>0</v>
      </c>
      <c r="DF38" s="52">
        <f t="shared" si="187"/>
        <v>0</v>
      </c>
      <c r="DG38" s="52">
        <f t="shared" si="187"/>
        <v>0</v>
      </c>
      <c r="DH38" s="52">
        <f t="shared" si="187"/>
        <v>0</v>
      </c>
      <c r="DI38" s="112">
        <f t="shared" si="187"/>
        <v>0</v>
      </c>
    </row>
    <row r="39" spans="1:113" ht="12" hidden="1" customHeight="1" outlineLevel="1">
      <c r="A39" s="219"/>
      <c r="B39" s="17"/>
      <c r="C39" s="79"/>
      <c r="D39" s="6"/>
      <c r="E39" s="79"/>
      <c r="F39" s="6"/>
      <c r="G39" s="79"/>
      <c r="H39" s="6"/>
      <c r="I39" s="79"/>
      <c r="J39" s="6"/>
      <c r="K39" s="79"/>
      <c r="L39" s="6"/>
      <c r="M39" s="79"/>
      <c r="N39" s="6"/>
      <c r="O39" s="79"/>
      <c r="P39" s="6"/>
      <c r="Q39" s="79"/>
      <c r="R39" s="6"/>
      <c r="S39" s="6"/>
      <c r="T39" s="6"/>
      <c r="U39" s="6"/>
      <c r="V39" s="79"/>
      <c r="W39" s="6"/>
      <c r="X39" s="6"/>
      <c r="Y39" s="6"/>
      <c r="Z39" s="6"/>
      <c r="AA39" s="79"/>
      <c r="AB39" s="79"/>
      <c r="AC39" s="6"/>
      <c r="AD39" s="6"/>
      <c r="AE39" s="6"/>
      <c r="AF39" s="6"/>
      <c r="AG39" s="79"/>
      <c r="AH39" s="6"/>
      <c r="AI39" s="6"/>
      <c r="AJ39" s="6"/>
      <c r="AK39" s="6"/>
      <c r="AL39" s="79"/>
      <c r="AM39" s="6"/>
      <c r="AN39" s="6"/>
      <c r="AO39" s="6"/>
      <c r="AP39" s="6"/>
      <c r="AQ39" s="79"/>
      <c r="AR39" s="6"/>
      <c r="AS39" s="6"/>
      <c r="AT39" s="6"/>
      <c r="AU39" s="6"/>
      <c r="AV39" s="79"/>
      <c r="AW39" s="6"/>
      <c r="AX39" s="6"/>
      <c r="AY39" s="6"/>
      <c r="AZ39" s="6"/>
      <c r="BA39" s="79"/>
      <c r="BB39" s="6"/>
      <c r="BC39" s="6"/>
      <c r="BD39" s="6"/>
      <c r="BE39" s="6"/>
      <c r="BF39" s="79"/>
      <c r="BG39" s="6"/>
      <c r="BH39" s="6"/>
      <c r="BI39" s="6"/>
      <c r="BJ39" s="6"/>
      <c r="BK39" s="79"/>
      <c r="BL39" s="6"/>
      <c r="BM39" s="6"/>
      <c r="BN39" s="6"/>
      <c r="BO39" s="6"/>
      <c r="BP39" s="79"/>
      <c r="BQ39" s="6"/>
      <c r="BR39" s="6"/>
      <c r="BS39" s="6"/>
      <c r="BT39" s="6"/>
      <c r="BU39" s="79"/>
      <c r="BV39" s="6"/>
      <c r="BW39" s="6"/>
      <c r="BX39" s="6"/>
      <c r="BY39" s="6"/>
      <c r="BZ39" s="79"/>
      <c r="CA39" s="6"/>
      <c r="CB39" s="6"/>
      <c r="CC39" s="6"/>
      <c r="CD39" s="6"/>
      <c r="CE39" s="79"/>
      <c r="CF39" s="6"/>
      <c r="CG39" s="6"/>
      <c r="CH39" s="6"/>
      <c r="CI39" s="6"/>
      <c r="CJ39" s="79"/>
      <c r="CK39" s="6"/>
      <c r="CL39" s="6"/>
      <c r="CM39" s="6"/>
      <c r="CN39" s="6"/>
      <c r="CO39" s="79"/>
      <c r="CP39" s="6"/>
      <c r="CQ39" s="6"/>
      <c r="CR39" s="6"/>
      <c r="CS39" s="6"/>
      <c r="CT39" s="79"/>
      <c r="CU39" s="6"/>
      <c r="CV39" s="6"/>
      <c r="CW39" s="6"/>
      <c r="CX39" s="6"/>
      <c r="CY39" s="79"/>
      <c r="CZ39" s="6"/>
      <c r="DA39" s="6"/>
      <c r="DB39" s="6"/>
      <c r="DC39" s="6"/>
      <c r="DD39" s="79"/>
      <c r="DE39" s="6"/>
      <c r="DF39" s="6"/>
      <c r="DG39" s="6"/>
      <c r="DH39" s="6"/>
      <c r="DI39" s="79"/>
    </row>
    <row r="40" spans="1:113" s="7" customFormat="1" ht="12" hidden="1" customHeight="1" outlineLevel="1">
      <c r="A40" s="219" t="str">
        <f t="shared" si="0"/>
        <v xml:space="preserve"> </v>
      </c>
      <c r="B40" s="20" t="s">
        <v>97</v>
      </c>
      <c r="C40" s="36"/>
      <c r="D40" s="43"/>
      <c r="E40" s="36"/>
      <c r="F40" s="43"/>
      <c r="G40" s="36"/>
      <c r="H40" s="43"/>
      <c r="I40" s="36"/>
      <c r="J40" s="43"/>
      <c r="K40" s="36"/>
      <c r="L40" s="43"/>
      <c r="M40" s="36"/>
      <c r="N40" s="43"/>
      <c r="O40" s="36"/>
      <c r="P40" s="43"/>
      <c r="Q40" s="36"/>
      <c r="R40" s="542" t="s">
        <v>126</v>
      </c>
      <c r="S40" s="543" t="s">
        <v>126</v>
      </c>
      <c r="T40" s="543" t="s">
        <v>126</v>
      </c>
      <c r="U40" s="543" t="s">
        <v>126</v>
      </c>
      <c r="V40" s="544" t="s">
        <v>126</v>
      </c>
      <c r="W40" s="542" t="s">
        <v>126</v>
      </c>
      <c r="X40" s="543" t="s">
        <v>126</v>
      </c>
      <c r="Y40" s="543" t="s">
        <v>126</v>
      </c>
      <c r="Z40" s="543" t="s">
        <v>126</v>
      </c>
      <c r="AA40" s="544" t="s">
        <v>126</v>
      </c>
      <c r="AB40" s="544"/>
      <c r="AC40" s="542" t="s">
        <v>126</v>
      </c>
      <c r="AD40" s="543" t="s">
        <v>126</v>
      </c>
      <c r="AE40" s="543" t="s">
        <v>126</v>
      </c>
      <c r="AF40" s="543" t="s">
        <v>126</v>
      </c>
      <c r="AG40" s="544" t="s">
        <v>126</v>
      </c>
      <c r="AH40" s="43">
        <v>434</v>
      </c>
      <c r="AI40" s="43">
        <v>370</v>
      </c>
      <c r="AJ40" s="43">
        <v>419</v>
      </c>
      <c r="AK40" s="43">
        <v>447</v>
      </c>
      <c r="AL40" s="36">
        <f>SUM(AH40:AK40)</f>
        <v>1670</v>
      </c>
      <c r="AM40" s="43">
        <v>455</v>
      </c>
      <c r="AN40" s="43">
        <v>380</v>
      </c>
      <c r="AO40" s="43">
        <v>382</v>
      </c>
      <c r="AP40" s="43">
        <v>415</v>
      </c>
      <c r="AQ40" s="36">
        <f>SUM(AM40:AP40)</f>
        <v>1632</v>
      </c>
      <c r="AR40" s="43">
        <v>408</v>
      </c>
      <c r="AS40" s="43">
        <v>345</v>
      </c>
      <c r="AT40" s="43">
        <v>352</v>
      </c>
      <c r="AU40" s="43">
        <v>391</v>
      </c>
      <c r="AV40" s="36">
        <f>SUM(AR40:AU40)</f>
        <v>1496</v>
      </c>
      <c r="AW40" s="43">
        <v>423</v>
      </c>
      <c r="AX40" s="43">
        <v>346</v>
      </c>
      <c r="AY40" s="43">
        <v>321</v>
      </c>
      <c r="AZ40" s="43">
        <v>335</v>
      </c>
      <c r="BA40" s="36">
        <f>SUM(AW40:AZ40)</f>
        <v>1425</v>
      </c>
      <c r="BB40" s="43">
        <v>420</v>
      </c>
      <c r="BC40" s="43">
        <v>326</v>
      </c>
      <c r="BD40" s="43">
        <v>314</v>
      </c>
      <c r="BE40" s="43">
        <v>336</v>
      </c>
      <c r="BF40" s="36">
        <f>SUM(BB40:BE40)</f>
        <v>1396</v>
      </c>
      <c r="BG40" s="43">
        <v>416</v>
      </c>
      <c r="BH40" s="43">
        <v>323</v>
      </c>
      <c r="BI40" s="43">
        <v>311</v>
      </c>
      <c r="BJ40" s="43">
        <v>354</v>
      </c>
      <c r="BK40" s="36">
        <f>SUM(BG40:BJ40)</f>
        <v>1404</v>
      </c>
      <c r="BL40" s="43">
        <v>448</v>
      </c>
      <c r="BM40" s="43">
        <v>341</v>
      </c>
      <c r="BN40" s="43">
        <v>326</v>
      </c>
      <c r="BO40" s="43">
        <v>165</v>
      </c>
      <c r="BP40" s="36">
        <f>SUM(BL40:BO40)</f>
        <v>1280</v>
      </c>
      <c r="BQ40" s="43">
        <v>371</v>
      </c>
      <c r="BR40" s="43">
        <v>347</v>
      </c>
      <c r="BS40" s="43">
        <v>296</v>
      </c>
      <c r="BT40" s="43">
        <v>368</v>
      </c>
      <c r="BU40" s="36">
        <f>SUM(BQ40:BT40)</f>
        <v>1382</v>
      </c>
      <c r="BV40" s="43">
        <v>465</v>
      </c>
      <c r="BW40" s="43">
        <v>382</v>
      </c>
      <c r="BX40" s="43">
        <v>390</v>
      </c>
      <c r="BY40" s="43">
        <v>387</v>
      </c>
      <c r="BZ40" s="36">
        <f>SUM(BV40:BY40)</f>
        <v>1624</v>
      </c>
      <c r="CA40" s="43">
        <v>486</v>
      </c>
      <c r="CB40" s="43">
        <v>408</v>
      </c>
      <c r="CC40" s="43">
        <v>403</v>
      </c>
      <c r="CD40" s="43">
        <v>430</v>
      </c>
      <c r="CE40" s="36">
        <f>SUM(CA40:CD40)</f>
        <v>1727</v>
      </c>
      <c r="CF40" s="43">
        <v>531</v>
      </c>
      <c r="CG40" s="43">
        <v>479</v>
      </c>
      <c r="CH40" s="43">
        <v>487</v>
      </c>
      <c r="CI40" s="43">
        <v>578</v>
      </c>
      <c r="CJ40" s="36">
        <f>SUM(CF40:CI40)</f>
        <v>2075</v>
      </c>
      <c r="CK40" s="43">
        <v>603</v>
      </c>
      <c r="CL40" s="43">
        <v>544</v>
      </c>
      <c r="CM40" s="43">
        <v>477</v>
      </c>
      <c r="CN40" s="43">
        <v>567</v>
      </c>
      <c r="CO40" s="36">
        <f>SUM(CK40:CN40)</f>
        <v>2191</v>
      </c>
      <c r="CP40" s="43">
        <v>630</v>
      </c>
      <c r="CQ40" s="43">
        <v>550</v>
      </c>
      <c r="CR40" s="43">
        <v>468</v>
      </c>
      <c r="CS40" s="43">
        <v>551</v>
      </c>
      <c r="CT40" s="36">
        <f>SUM(CP40:CS40)</f>
        <v>2199</v>
      </c>
      <c r="CU40" s="43">
        <v>611</v>
      </c>
      <c r="CV40" s="43">
        <f>+CV201+CV270+CV339+CV408</f>
        <v>491.79966999999999</v>
      </c>
      <c r="CW40" s="43">
        <f>+CW201+CW270+CW339+CW408</f>
        <v>440.77537999999998</v>
      </c>
      <c r="CX40" s="43">
        <f>+CX201+CX270+CX339+CX408</f>
        <v>522.83481000000006</v>
      </c>
      <c r="CY40" s="36">
        <f>SUM(CU40:CX40)</f>
        <v>2066.4098599999998</v>
      </c>
      <c r="CZ40" s="43">
        <f>+CZ201+CZ270+CZ339+CZ408</f>
        <v>584.26306</v>
      </c>
      <c r="DA40" s="43">
        <f>+DA201+DA270+DA339+DA408</f>
        <v>475.1203888</v>
      </c>
      <c r="DB40" s="43">
        <f>+DB201+DB270+DB339+DB408</f>
        <v>431.76271359999993</v>
      </c>
      <c r="DC40" s="43">
        <f>+DC201+DC270+DC339+DC408</f>
        <v>512.52899000000002</v>
      </c>
      <c r="DD40" s="36">
        <f>SUM(CZ40:DC40)</f>
        <v>2003.6751523999999</v>
      </c>
      <c r="DE40" s="43">
        <f>+DE201+DE270+DE339+DE408</f>
        <v>584.59527749999995</v>
      </c>
      <c r="DF40" s="43">
        <f>+DF201+DF270+DF339+DF408</f>
        <v>475.52424060000004</v>
      </c>
      <c r="DG40" s="43">
        <f>+DG201+DG270+DG339+DG408</f>
        <v>433.78854385599993</v>
      </c>
      <c r="DH40" s="43">
        <f>+DH201+DH270+DH339+DH408</f>
        <v>514.72204670400004</v>
      </c>
      <c r="DI40" s="36">
        <f>SUM(DE40:DH40)</f>
        <v>2008.6301086600001</v>
      </c>
    </row>
    <row r="41" spans="1:113" s="524" customFormat="1" ht="12" hidden="1" customHeight="1" outlineLevel="1">
      <c r="A41" s="219" t="str">
        <f t="shared" si="0"/>
        <v xml:space="preserve"> </v>
      </c>
      <c r="B41" s="547" t="s">
        <v>171</v>
      </c>
      <c r="C41" s="492"/>
      <c r="D41" s="522"/>
      <c r="E41" s="492"/>
      <c r="F41" s="522"/>
      <c r="G41" s="492"/>
      <c r="H41" s="522"/>
      <c r="I41" s="492"/>
      <c r="J41" s="522"/>
      <c r="K41" s="492"/>
      <c r="L41" s="522"/>
      <c r="M41" s="492"/>
      <c r="N41" s="522"/>
      <c r="O41" s="492"/>
      <c r="P41" s="522"/>
      <c r="Q41" s="492"/>
      <c r="R41" s="378" t="s">
        <v>126</v>
      </c>
      <c r="S41" s="522" t="s">
        <v>126</v>
      </c>
      <c r="T41" s="522" t="s">
        <v>126</v>
      </c>
      <c r="U41" s="522" t="s">
        <v>126</v>
      </c>
      <c r="V41" s="492" t="s">
        <v>126</v>
      </c>
      <c r="W41" s="378" t="s">
        <v>126</v>
      </c>
      <c r="X41" s="522" t="s">
        <v>126</v>
      </c>
      <c r="Y41" s="522" t="s">
        <v>126</v>
      </c>
      <c r="Z41" s="522" t="s">
        <v>126</v>
      </c>
      <c r="AA41" s="492" t="s">
        <v>126</v>
      </c>
      <c r="AB41" s="492"/>
      <c r="AC41" s="378" t="s">
        <v>126</v>
      </c>
      <c r="AD41" s="522" t="s">
        <v>126</v>
      </c>
      <c r="AE41" s="522" t="s">
        <v>126</v>
      </c>
      <c r="AF41" s="522" t="s">
        <v>126</v>
      </c>
      <c r="AG41" s="492" t="s">
        <v>126</v>
      </c>
      <c r="AH41" s="378" t="s">
        <v>126</v>
      </c>
      <c r="AI41" s="522" t="s">
        <v>126</v>
      </c>
      <c r="AJ41" s="522" t="s">
        <v>126</v>
      </c>
      <c r="AK41" s="522" t="s">
        <v>126</v>
      </c>
      <c r="AL41" s="492" t="s">
        <v>126</v>
      </c>
      <c r="AM41" s="52">
        <f t="shared" ref="AM41:BJ41" si="188">+AM40/AH40-1</f>
        <v>4.8387096774193505E-2</v>
      </c>
      <c r="AN41" s="52">
        <f t="shared" si="188"/>
        <v>2.7027027027026973E-2</v>
      </c>
      <c r="AO41" s="52">
        <f t="shared" si="188"/>
        <v>-8.8305489260143144E-2</v>
      </c>
      <c r="AP41" s="52">
        <f t="shared" si="188"/>
        <v>-7.1588366890380284E-2</v>
      </c>
      <c r="AQ41" s="112">
        <f t="shared" si="188"/>
        <v>-2.2754491017964118E-2</v>
      </c>
      <c r="AR41" s="52">
        <f t="shared" si="188"/>
        <v>-0.10329670329670326</v>
      </c>
      <c r="AS41" s="52">
        <f t="shared" si="188"/>
        <v>-9.210526315789469E-2</v>
      </c>
      <c r="AT41" s="52">
        <f t="shared" si="188"/>
        <v>-7.8534031413612593E-2</v>
      </c>
      <c r="AU41" s="52">
        <f t="shared" si="188"/>
        <v>-5.7831325301204828E-2</v>
      </c>
      <c r="AV41" s="112">
        <f t="shared" si="188"/>
        <v>-8.333333333333337E-2</v>
      </c>
      <c r="AW41" s="52">
        <f t="shared" si="188"/>
        <v>3.6764705882353033E-2</v>
      </c>
      <c r="AX41" s="52">
        <f t="shared" si="188"/>
        <v>2.8985507246377384E-3</v>
      </c>
      <c r="AY41" s="52">
        <f t="shared" si="188"/>
        <v>-8.8068181818181768E-2</v>
      </c>
      <c r="AZ41" s="52">
        <f t="shared" si="188"/>
        <v>-0.14322250639386191</v>
      </c>
      <c r="BA41" s="112">
        <f t="shared" si="188"/>
        <v>-4.7459893048128365E-2</v>
      </c>
      <c r="BB41" s="52">
        <f t="shared" si="188"/>
        <v>-7.0921985815602939E-3</v>
      </c>
      <c r="BC41" s="52">
        <f t="shared" si="188"/>
        <v>-5.7803468208092457E-2</v>
      </c>
      <c r="BD41" s="52">
        <f t="shared" si="188"/>
        <v>-2.180685358255452E-2</v>
      </c>
      <c r="BE41" s="52">
        <f t="shared" si="188"/>
        <v>2.9850746268655914E-3</v>
      </c>
      <c r="BF41" s="112">
        <f t="shared" si="188"/>
        <v>-2.0350877192982453E-2</v>
      </c>
      <c r="BG41" s="52">
        <f t="shared" si="188"/>
        <v>-9.52380952380949E-3</v>
      </c>
      <c r="BH41" s="52">
        <f t="shared" ref="BH41:BP41" si="189">+BH40/BC40-1</f>
        <v>-9.2024539877300082E-3</v>
      </c>
      <c r="BI41" s="52">
        <f t="shared" si="188"/>
        <v>-9.5541401273885329E-3</v>
      </c>
      <c r="BJ41" s="52">
        <f t="shared" si="188"/>
        <v>5.3571428571428603E-2</v>
      </c>
      <c r="BK41" s="112">
        <f t="shared" si="189"/>
        <v>5.7306590257879542E-3</v>
      </c>
      <c r="BL41" s="52">
        <f t="shared" si="189"/>
        <v>7.6923076923076872E-2</v>
      </c>
      <c r="BM41" s="52">
        <f t="shared" si="189"/>
        <v>5.5727554179566541E-2</v>
      </c>
      <c r="BN41" s="52">
        <f t="shared" si="189"/>
        <v>4.8231511254019255E-2</v>
      </c>
      <c r="BO41" s="52">
        <f t="shared" si="189"/>
        <v>-0.53389830508474578</v>
      </c>
      <c r="BP41" s="112">
        <f t="shared" si="189"/>
        <v>-8.8319088319088301E-2</v>
      </c>
      <c r="BQ41" s="52">
        <f t="shared" ref="BQ41:BZ41" si="190">+BQ40/BL40-1</f>
        <v>-0.171875</v>
      </c>
      <c r="BR41" s="52">
        <f t="shared" si="190"/>
        <v>1.7595307917888547E-2</v>
      </c>
      <c r="BS41" s="52">
        <f t="shared" si="190"/>
        <v>-9.2024539877300637E-2</v>
      </c>
      <c r="BT41" s="52">
        <f t="shared" si="190"/>
        <v>1.2303030303030305</v>
      </c>
      <c r="BU41" s="112">
        <f t="shared" si="190"/>
        <v>7.9687499999999911E-2</v>
      </c>
      <c r="BV41" s="52">
        <f t="shared" si="190"/>
        <v>0.25336927223719674</v>
      </c>
      <c r="BW41" s="52">
        <f t="shared" si="190"/>
        <v>0.10086455331412103</v>
      </c>
      <c r="BX41" s="52">
        <f t="shared" si="190"/>
        <v>0.31756756756756754</v>
      </c>
      <c r="BY41" s="52">
        <f t="shared" si="190"/>
        <v>5.1630434782608647E-2</v>
      </c>
      <c r="BZ41" s="112">
        <f t="shared" si="190"/>
        <v>0.17510853835021711</v>
      </c>
      <c r="CA41" s="52">
        <f t="shared" ref="CA41" si="191">+CA40/BV40-1</f>
        <v>4.5161290322580649E-2</v>
      </c>
      <c r="CB41" s="52">
        <f t="shared" ref="CB41:CD41" si="192">+CB40/BW40-1</f>
        <v>6.8062827225130906E-2</v>
      </c>
      <c r="CC41" s="52">
        <f t="shared" si="192"/>
        <v>3.3333333333333437E-2</v>
      </c>
      <c r="CD41" s="52">
        <f t="shared" si="192"/>
        <v>0.11111111111111116</v>
      </c>
      <c r="CE41" s="112">
        <f t="shared" ref="CE41" si="193">+CE40/BZ40-1</f>
        <v>6.3423645320197064E-2</v>
      </c>
      <c r="CF41" s="52">
        <f t="shared" ref="CF41" si="194">+CF40/CA40-1</f>
        <v>9.259259259259256E-2</v>
      </c>
      <c r="CG41" s="52">
        <f t="shared" ref="CG41:CH41" si="195">+CG40/CB40-1</f>
        <v>0.1740196078431373</v>
      </c>
      <c r="CH41" s="52">
        <f t="shared" si="195"/>
        <v>0.20843672456575679</v>
      </c>
      <c r="CI41" s="52">
        <f t="shared" ref="CI41" si="196">+CI40/CD40-1</f>
        <v>0.34418604651162799</v>
      </c>
      <c r="CJ41" s="112">
        <f t="shared" ref="CJ41" si="197">+CJ40/CE40-1</f>
        <v>0.20150550086855823</v>
      </c>
      <c r="CK41" s="52">
        <f t="shared" ref="CK41" si="198">+CK40/CF40-1</f>
        <v>0.13559322033898313</v>
      </c>
      <c r="CL41" s="52">
        <f t="shared" ref="CL41" si="199">+CL40/CG40-1</f>
        <v>0.13569937369519836</v>
      </c>
      <c r="CM41" s="52">
        <f t="shared" ref="CM41" si="200">+CM40/CH40-1</f>
        <v>-2.0533880903490731E-2</v>
      </c>
      <c r="CN41" s="52">
        <f t="shared" ref="CN41" si="201">+CN40/CI40-1</f>
        <v>-1.9031141868512069E-2</v>
      </c>
      <c r="CO41" s="112">
        <f t="shared" ref="CO41" si="202">+CO40/CJ40-1</f>
        <v>5.5903614457831319E-2</v>
      </c>
      <c r="CP41" s="52">
        <f t="shared" ref="CP41:CQ41" si="203">+CP40/CK40-1</f>
        <v>4.4776119402984982E-2</v>
      </c>
      <c r="CQ41" s="52">
        <f t="shared" si="203"/>
        <v>1.1029411764705843E-2</v>
      </c>
      <c r="CR41" s="52">
        <f t="shared" ref="CR41" si="204">+CR40/CM40-1</f>
        <v>-1.8867924528301883E-2</v>
      </c>
      <c r="CS41" s="52">
        <f t="shared" ref="CS41" si="205">+CS40/CN40-1</f>
        <v>-2.821869488536155E-2</v>
      </c>
      <c r="CT41" s="112">
        <f t="shared" ref="CT41" si="206">+CT40/CO40-1</f>
        <v>3.6513007759013671E-3</v>
      </c>
      <c r="CU41" s="52">
        <f t="shared" ref="CU41" si="207">+CU40/CP40-1</f>
        <v>-3.0158730158730163E-2</v>
      </c>
      <c r="CV41" s="52">
        <f t="shared" ref="CV41" si="208">+CV40/CQ40-1</f>
        <v>-0.10581878181818183</v>
      </c>
      <c r="CW41" s="52">
        <f t="shared" ref="CW41" si="209">+CW40/CR40-1</f>
        <v>-5.8172264957265019E-2</v>
      </c>
      <c r="CX41" s="52">
        <f t="shared" ref="CX41" si="210">+CX40/CS40-1</f>
        <v>-5.1116497277676864E-2</v>
      </c>
      <c r="CY41" s="112">
        <f t="shared" ref="CY41" si="211">+CY40/CT40-1</f>
        <v>-6.0295652569349767E-2</v>
      </c>
      <c r="CZ41" s="52">
        <f t="shared" ref="CZ41" si="212">+CZ40/CU40-1</f>
        <v>-4.3759312602291378E-2</v>
      </c>
      <c r="DA41" s="52">
        <f t="shared" ref="DA41" si="213">+DA40/CV40-1</f>
        <v>-3.3914787295404203E-2</v>
      </c>
      <c r="DB41" s="52">
        <f t="shared" ref="DB41" si="214">+DB40/CW40-1</f>
        <v>-2.0447299937669028E-2</v>
      </c>
      <c r="DC41" s="52">
        <f t="shared" ref="DC41" si="215">+DC40/CX40-1</f>
        <v>-1.9711426635881546E-2</v>
      </c>
      <c r="DD41" s="112">
        <f t="shared" ref="DD41" si="216">+DD40/CY40-1</f>
        <v>-3.035927616024825E-2</v>
      </c>
      <c r="DE41" s="52">
        <f t="shared" ref="DE41" si="217">+DE40/CZ40-1</f>
        <v>5.6860945478898195E-4</v>
      </c>
      <c r="DF41" s="52">
        <f t="shared" ref="DF41" si="218">+DF40/DA40-1</f>
        <v>8.4999888348313846E-4</v>
      </c>
      <c r="DG41" s="52">
        <f t="shared" ref="DG41" si="219">+DG40/DB40-1</f>
        <v>4.6919990823404145E-3</v>
      </c>
      <c r="DH41" s="52">
        <f t="shared" ref="DH41" si="220">+DH40/DC40-1</f>
        <v>4.2788929929602482E-3</v>
      </c>
      <c r="DI41" s="112">
        <f t="shared" ref="DI41" si="221">+DI40/DD40-1</f>
        <v>2.4729339254745408E-3</v>
      </c>
    </row>
    <row r="42" spans="1:113" s="3" customFormat="1" ht="12" hidden="1" customHeight="1" outlineLevel="1">
      <c r="A42" s="490" t="str">
        <f t="shared" si="0"/>
        <v xml:space="preserve"> </v>
      </c>
      <c r="B42" s="491" t="s">
        <v>173</v>
      </c>
      <c r="C42" s="492"/>
      <c r="D42" s="522"/>
      <c r="E42" s="492"/>
      <c r="F42" s="522"/>
      <c r="G42" s="492"/>
      <c r="H42" s="522"/>
      <c r="I42" s="492"/>
      <c r="J42" s="522"/>
      <c r="K42" s="492"/>
      <c r="L42" s="522"/>
      <c r="M42" s="492"/>
      <c r="N42" s="522"/>
      <c r="O42" s="492"/>
      <c r="P42" s="522"/>
      <c r="Q42" s="492"/>
      <c r="R42" s="378" t="s">
        <v>126</v>
      </c>
      <c r="S42" s="522" t="s">
        <v>126</v>
      </c>
      <c r="T42" s="522" t="s">
        <v>126</v>
      </c>
      <c r="U42" s="522" t="s">
        <v>126</v>
      </c>
      <c r="V42" s="492" t="s">
        <v>126</v>
      </c>
      <c r="W42" s="378" t="s">
        <v>126</v>
      </c>
      <c r="X42" s="522" t="s">
        <v>126</v>
      </c>
      <c r="Y42" s="522" t="s">
        <v>126</v>
      </c>
      <c r="Z42" s="522" t="s">
        <v>126</v>
      </c>
      <c r="AA42" s="492" t="s">
        <v>126</v>
      </c>
      <c r="AB42" s="492"/>
      <c r="AC42" s="378" t="s">
        <v>126</v>
      </c>
      <c r="AD42" s="522" t="s">
        <v>126</v>
      </c>
      <c r="AE42" s="522" t="s">
        <v>126</v>
      </c>
      <c r="AF42" s="522" t="s">
        <v>126</v>
      </c>
      <c r="AG42" s="492" t="s">
        <v>126</v>
      </c>
      <c r="AH42" s="378" t="s">
        <v>126</v>
      </c>
      <c r="AI42" s="522" t="s">
        <v>126</v>
      </c>
      <c r="AJ42" s="522" t="s">
        <v>126</v>
      </c>
      <c r="AK42" s="522" t="s">
        <v>126</v>
      </c>
      <c r="AL42" s="492" t="s">
        <v>126</v>
      </c>
      <c r="AM42" s="378" t="s">
        <v>126</v>
      </c>
      <c r="AN42" s="522" t="s">
        <v>126</v>
      </c>
      <c r="AO42" s="522" t="s">
        <v>126</v>
      </c>
      <c r="AP42" s="522" t="s">
        <v>126</v>
      </c>
      <c r="AQ42" s="112">
        <v>0.01</v>
      </c>
      <c r="AR42" s="52">
        <v>-0.03</v>
      </c>
      <c r="AS42" s="52">
        <v>-0.01</v>
      </c>
      <c r="AT42" s="52">
        <v>-0.02</v>
      </c>
      <c r="AU42" s="52">
        <v>-0.03</v>
      </c>
      <c r="AV42" s="112">
        <v>-0.02</v>
      </c>
      <c r="AW42" s="52">
        <v>0.06</v>
      </c>
      <c r="AX42" s="52">
        <v>0.02</v>
      </c>
      <c r="AY42" s="52">
        <v>-7.0000000000000007E-2</v>
      </c>
      <c r="AZ42" s="52">
        <v>-0.14000000000000001</v>
      </c>
      <c r="BA42" s="112">
        <v>-0.03</v>
      </c>
      <c r="BB42" s="52">
        <v>0</v>
      </c>
      <c r="BC42" s="52">
        <v>-7.0000000000000007E-2</v>
      </c>
      <c r="BD42" s="522">
        <v>-0.06</v>
      </c>
      <c r="BE42" s="52">
        <v>-0.03</v>
      </c>
      <c r="BF42" s="112">
        <f>SUMPRODUCT(BB42:BE42,AW40:AZ40)/BA40</f>
        <v>-3.7564912280701752E-2</v>
      </c>
      <c r="BG42" s="52">
        <v>-0.01</v>
      </c>
      <c r="BH42" s="52">
        <v>0.04</v>
      </c>
      <c r="BI42" s="52">
        <v>0.04</v>
      </c>
      <c r="BJ42" s="52">
        <v>0.11</v>
      </c>
      <c r="BK42" s="112">
        <f>SUMPRODUCT(BG42:BJ42,BB40:BE40)/BF40</f>
        <v>4.1805157593123206E-2</v>
      </c>
      <c r="BL42" s="52">
        <v>0.11</v>
      </c>
      <c r="BM42" s="52">
        <v>0.08</v>
      </c>
      <c r="BN42" s="52">
        <v>0.06</v>
      </c>
      <c r="BO42" s="52">
        <v>-0.51</v>
      </c>
      <c r="BP42" s="112">
        <f>SUMPRODUCT(BL42:BO42,BG40:BJ40)/BK40</f>
        <v>-6.4301994301994306E-2</v>
      </c>
      <c r="BQ42" s="52">
        <v>-0.16</v>
      </c>
      <c r="BR42" s="52">
        <v>0.01</v>
      </c>
      <c r="BS42" s="52">
        <v>-0.11</v>
      </c>
      <c r="BT42" s="52">
        <v>1.1299999999999999</v>
      </c>
      <c r="BU42" s="112">
        <f>SUMPRODUCT(BQ42:BT42,BL40:BO40)/BP40</f>
        <v>6.4312499999999981E-2</v>
      </c>
      <c r="BV42" s="52">
        <v>0.22</v>
      </c>
      <c r="BW42" s="52">
        <v>0.09</v>
      </c>
      <c r="BX42" s="52">
        <v>0.36</v>
      </c>
      <c r="BY42" s="52">
        <v>0.1</v>
      </c>
      <c r="BZ42" s="112">
        <f>SUMPRODUCT(BV42:BY42,BQ40:BT40)/BU40</f>
        <v>0.18539073806078149</v>
      </c>
      <c r="CA42" s="52">
        <v>0.12</v>
      </c>
      <c r="CB42" s="52">
        <v>0.17</v>
      </c>
      <c r="CC42" s="52">
        <v>0.08</v>
      </c>
      <c r="CD42" s="52">
        <v>0.14000000000000001</v>
      </c>
      <c r="CE42" s="112">
        <f>SUMPRODUCT(CA42:CD42,BV40:BY40)/BZ40</f>
        <v>0.12692118226600985</v>
      </c>
      <c r="CF42" s="52">
        <v>0.09</v>
      </c>
      <c r="CG42" s="52">
        <v>0.15</v>
      </c>
      <c r="CH42" s="52">
        <v>0.2</v>
      </c>
      <c r="CI42" s="52">
        <v>0.35</v>
      </c>
      <c r="CJ42" s="112">
        <f>SUMPRODUCT(CF42:CI42,CA40:CD40)/CE40</f>
        <v>0.1945801968731905</v>
      </c>
      <c r="CK42" s="52">
        <v>0.15</v>
      </c>
      <c r="CL42" s="52">
        <v>0.12</v>
      </c>
      <c r="CM42" s="52">
        <v>0</v>
      </c>
      <c r="CN42" s="52">
        <v>-0.01</v>
      </c>
      <c r="CO42" s="112">
        <f>SUMPRODUCT(CK42:CN42,CF40:CI40)/CJ40</f>
        <v>6.3301204819277104E-2</v>
      </c>
      <c r="CP42" s="52">
        <v>0.03</v>
      </c>
      <c r="CQ42" s="52">
        <v>0</v>
      </c>
      <c r="CR42" s="52">
        <v>-0.06</v>
      </c>
      <c r="CS42" s="52">
        <v>-0.05</v>
      </c>
      <c r="CT42" s="112">
        <f>SUMPRODUCT(CP42:CS42,CK40:CN40)/CO40</f>
        <v>-1.7745321770880874E-2</v>
      </c>
      <c r="CU42" s="52">
        <v>-0.03</v>
      </c>
      <c r="CV42" s="52">
        <f>(CQ201*CV203+CQ270*CV272+CQ339*CV341+CQ408*CV410)/CQ40</f>
        <v>-0.10145454545454546</v>
      </c>
      <c r="CW42" s="52">
        <f>(CR201*CW203+CR270*CW272+CR339*CW341+CR408*CW410)/CR40</f>
        <v>-4.8547008547008538E-2</v>
      </c>
      <c r="CX42" s="52">
        <f>(CS201*CX203+CS270*CX272+CS339*CX341+CS408*CX410)/CS40</f>
        <v>-4.2704174228675139E-2</v>
      </c>
      <c r="CY42" s="112">
        <f>SUMPRODUCT(CU42:CX42,CP40:CS40)/CT40</f>
        <v>-5.5002273760800365E-2</v>
      </c>
      <c r="CZ42" s="52">
        <f>(CU201*CZ203+CU270*CZ272+CU339*CZ341+CU408*CZ410)/CU40</f>
        <v>-3.9705400981996729E-2</v>
      </c>
      <c r="DA42" s="52">
        <f>(CV201*DA203+CV270*DA272+CV339*DA341+CV408*DA410)/CV40</f>
        <v>-3.3914787295404245E-2</v>
      </c>
      <c r="DB42" s="52">
        <f>(CW201*DB203+CW270*DB272+CW339*DB341+CW408*DB410)/CW40</f>
        <v>-2.0447299937668931E-2</v>
      </c>
      <c r="DC42" s="52">
        <f>(CX201*DC203+CX270*DC272+CX339*DC341+CX408*DC410)/CX40</f>
        <v>-1.9711426635881414E-2</v>
      </c>
      <c r="DD42" s="112">
        <f>SUMPRODUCT(CZ42:DC42,CU40:CX40)/CY40</f>
        <v>-2.916060785733959E-2</v>
      </c>
      <c r="DE42" s="52">
        <f>(CZ201*DE203+CZ270*DE272+CZ339*DE341+CZ408*DE410)/CZ40</f>
        <v>5.6860945478908072E-4</v>
      </c>
      <c r="DF42" s="52">
        <f>(DA201*DF203+DA270*DF272+DA339*DF341+DA408*DF410)/DA40</f>
        <v>8.4999888348298125E-4</v>
      </c>
      <c r="DG42" s="52">
        <f>(DB201*DG203+DB270*DG272+DB339*DG341+DB408*DG410)/DB40</f>
        <v>4.691999082340398E-3</v>
      </c>
      <c r="DH42" s="52">
        <f>(DC201*DH203+DC270*DH272+DC339*DH341+DC408*DH410)/DC40</f>
        <v>4.2788929929602612E-3</v>
      </c>
      <c r="DI42" s="112">
        <f>SUMPRODUCT(DE42:DH42,CZ40:DC40)/DD40</f>
        <v>2.4729339254743756E-3</v>
      </c>
    </row>
    <row r="43" spans="1:113" s="3" customFormat="1" ht="12" hidden="1" customHeight="1" outlineLevel="1">
      <c r="A43" s="490" t="str">
        <f t="shared" si="0"/>
        <v xml:space="preserve"> </v>
      </c>
      <c r="B43" s="491" t="s">
        <v>141</v>
      </c>
      <c r="C43" s="492"/>
      <c r="D43" s="522"/>
      <c r="E43" s="492"/>
      <c r="F43" s="522"/>
      <c r="G43" s="492"/>
      <c r="H43" s="522"/>
      <c r="I43" s="492"/>
      <c r="J43" s="522"/>
      <c r="K43" s="492"/>
      <c r="L43" s="522"/>
      <c r="M43" s="492"/>
      <c r="N43" s="522"/>
      <c r="O43" s="492"/>
      <c r="P43" s="522"/>
      <c r="Q43" s="492"/>
      <c r="R43" s="378" t="s">
        <v>126</v>
      </c>
      <c r="S43" s="522" t="s">
        <v>126</v>
      </c>
      <c r="T43" s="522" t="s">
        <v>126</v>
      </c>
      <c r="U43" s="522" t="s">
        <v>126</v>
      </c>
      <c r="V43" s="492" t="s">
        <v>126</v>
      </c>
      <c r="W43" s="378" t="s">
        <v>126</v>
      </c>
      <c r="X43" s="522" t="s">
        <v>126</v>
      </c>
      <c r="Y43" s="522" t="s">
        <v>126</v>
      </c>
      <c r="Z43" s="522" t="s">
        <v>126</v>
      </c>
      <c r="AA43" s="492" t="s">
        <v>126</v>
      </c>
      <c r="AB43" s="492"/>
      <c r="AC43" s="378" t="s">
        <v>126</v>
      </c>
      <c r="AD43" s="522" t="s">
        <v>126</v>
      </c>
      <c r="AE43" s="522" t="s">
        <v>126</v>
      </c>
      <c r="AF43" s="522" t="s">
        <v>126</v>
      </c>
      <c r="AG43" s="492" t="s">
        <v>126</v>
      </c>
      <c r="AH43" s="217" t="s">
        <v>126</v>
      </c>
      <c r="AI43" s="52" t="s">
        <v>126</v>
      </c>
      <c r="AJ43" s="52" t="s">
        <v>126</v>
      </c>
      <c r="AK43" s="52" t="s">
        <v>126</v>
      </c>
      <c r="AL43" s="112" t="s">
        <v>126</v>
      </c>
      <c r="AM43" s="217" t="s">
        <v>126</v>
      </c>
      <c r="AN43" s="52" t="s">
        <v>126</v>
      </c>
      <c r="AO43" s="52" t="s">
        <v>126</v>
      </c>
      <c r="AP43" s="52" t="s">
        <v>126</v>
      </c>
      <c r="AQ43" s="112">
        <f t="shared" ref="AQ43:BP43" si="222">(1+AQ41)/(1+AQ42)-1</f>
        <v>-3.2430189126697151E-2</v>
      </c>
      <c r="AR43" s="52">
        <f t="shared" si="222"/>
        <v>-7.5563611646085826E-2</v>
      </c>
      <c r="AS43" s="52">
        <f t="shared" si="222"/>
        <v>-8.2934609250398639E-2</v>
      </c>
      <c r="AT43" s="52">
        <f t="shared" si="222"/>
        <v>-5.9728603483278131E-2</v>
      </c>
      <c r="AU43" s="52">
        <f t="shared" si="222"/>
        <v>-2.8692087939386379E-2</v>
      </c>
      <c r="AV43" s="112">
        <f t="shared" si="222"/>
        <v>-6.4625850340136126E-2</v>
      </c>
      <c r="AW43" s="52">
        <f t="shared" si="222"/>
        <v>-2.1920088790232994E-2</v>
      </c>
      <c r="AX43" s="52">
        <f t="shared" si="222"/>
        <v>-1.6766126740551224E-2</v>
      </c>
      <c r="AY43" s="52">
        <f t="shared" si="222"/>
        <v>-1.9428152492668493E-2</v>
      </c>
      <c r="AZ43" s="52">
        <f t="shared" si="222"/>
        <v>-3.7471004579789913E-3</v>
      </c>
      <c r="BA43" s="112">
        <f t="shared" si="222"/>
        <v>-1.7999889740338504E-2</v>
      </c>
      <c r="BB43" s="52">
        <f t="shared" si="222"/>
        <v>-7.0921985815602939E-3</v>
      </c>
      <c r="BC43" s="52">
        <f t="shared" si="222"/>
        <v>1.3114550313879203E-2</v>
      </c>
      <c r="BD43" s="52">
        <f t="shared" si="222"/>
        <v>4.063100682706966E-2</v>
      </c>
      <c r="BE43" s="52">
        <f t="shared" si="222"/>
        <v>3.4005231574088191E-2</v>
      </c>
      <c r="BF43" s="112">
        <f t="shared" si="222"/>
        <v>1.7885918029559633E-2</v>
      </c>
      <c r="BG43" s="52">
        <f t="shared" si="222"/>
        <v>4.8100048100052639E-4</v>
      </c>
      <c r="BH43" s="52">
        <f t="shared" si="222"/>
        <v>-4.7310051911278905E-2</v>
      </c>
      <c r="BI43" s="52">
        <f t="shared" si="222"/>
        <v>-4.7648211660950568E-2</v>
      </c>
      <c r="BJ43" s="52">
        <f t="shared" si="222"/>
        <v>-5.083655083655092E-2</v>
      </c>
      <c r="BK43" s="112">
        <f t="shared" si="222"/>
        <v>-3.4626914931653929E-2</v>
      </c>
      <c r="BL43" s="52">
        <f t="shared" si="222"/>
        <v>-2.979902979902993E-2</v>
      </c>
      <c r="BM43" s="52">
        <f t="shared" si="222"/>
        <v>-2.2474486870771804E-2</v>
      </c>
      <c r="BN43" s="52">
        <f t="shared" si="222"/>
        <v>-1.1102347873566787E-2</v>
      </c>
      <c r="BO43" s="52">
        <f t="shared" si="222"/>
        <v>-4.8772051193358701E-2</v>
      </c>
      <c r="BP43" s="112">
        <f t="shared" si="222"/>
        <v>-2.5667569954023639E-2</v>
      </c>
      <c r="BQ43" s="52">
        <f t="shared" ref="BQ43:BZ43" si="223">(1+BQ41)/(1+BQ42)-1</f>
        <v>-1.4136904761904767E-2</v>
      </c>
      <c r="BR43" s="52">
        <f t="shared" si="223"/>
        <v>7.5201068493946366E-3</v>
      </c>
      <c r="BS43" s="52">
        <f t="shared" si="223"/>
        <v>2.0197146205280125E-2</v>
      </c>
      <c r="BT43" s="52">
        <f t="shared" si="223"/>
        <v>4.7090624555413463E-2</v>
      </c>
      <c r="BU43" s="112">
        <f t="shared" si="223"/>
        <v>1.4445945152387063E-2</v>
      </c>
      <c r="BV43" s="52">
        <f t="shared" si="223"/>
        <v>2.7351862489505496E-2</v>
      </c>
      <c r="BW43" s="52">
        <f t="shared" si="223"/>
        <v>9.9674801046980566E-3</v>
      </c>
      <c r="BX43" s="52">
        <f t="shared" si="223"/>
        <v>-3.1200317965023761E-2</v>
      </c>
      <c r="BY43" s="52">
        <f t="shared" si="223"/>
        <v>-4.3972332015810411E-2</v>
      </c>
      <c r="BZ43" s="112">
        <f t="shared" si="223"/>
        <v>-8.6741016109046498E-3</v>
      </c>
      <c r="CA43" s="52">
        <f t="shared" ref="CA43:CE43" si="224">(1+CA41)/(1+CA42)-1</f>
        <v>-6.6820276497695952E-2</v>
      </c>
      <c r="CB43" s="52">
        <f t="shared" si="224"/>
        <v>-8.7125788696469253E-2</v>
      </c>
      <c r="CC43" s="52">
        <f t="shared" si="224"/>
        <v>-4.3209876543209846E-2</v>
      </c>
      <c r="CD43" s="52">
        <f t="shared" si="224"/>
        <v>-2.5341130604288553E-2</v>
      </c>
      <c r="CE43" s="112">
        <f t="shared" si="224"/>
        <v>-5.6346031954188858E-2</v>
      </c>
      <c r="CF43" s="52">
        <f t="shared" ref="CF43:CJ43" si="225">(1+CF41)/(1+CF42)-1</f>
        <v>2.3785253143049356E-3</v>
      </c>
      <c r="CG43" s="52">
        <f t="shared" si="225"/>
        <v>2.0886615515771645E-2</v>
      </c>
      <c r="CH43" s="52">
        <f t="shared" si="225"/>
        <v>7.030603804797364E-3</v>
      </c>
      <c r="CI43" s="52">
        <f t="shared" si="225"/>
        <v>-4.3066322136089408E-3</v>
      </c>
      <c r="CJ43" s="112">
        <f t="shared" si="225"/>
        <v>5.7972700480846129E-3</v>
      </c>
      <c r="CK43" s="52">
        <f t="shared" ref="CK43:CQ43" si="226">(1+CK41)/(1+CK42)-1</f>
        <v>-1.2527634487840666E-2</v>
      </c>
      <c r="CL43" s="52">
        <f t="shared" si="226"/>
        <v>1.4017297942141349E-2</v>
      </c>
      <c r="CM43" s="52">
        <f t="shared" si="226"/>
        <v>-2.0533880903490731E-2</v>
      </c>
      <c r="CN43" s="52">
        <f t="shared" si="226"/>
        <v>-9.1223655237495649E-3</v>
      </c>
      <c r="CO43" s="112">
        <f t="shared" si="226"/>
        <v>-6.9571917420173657E-3</v>
      </c>
      <c r="CP43" s="52">
        <f t="shared" ref="CP43:CT43" si="227">(1+CP41)/(1+CP42)-1</f>
        <v>1.4345746993189357E-2</v>
      </c>
      <c r="CQ43" s="52">
        <f t="shared" si="226"/>
        <v>1.1029411764705843E-2</v>
      </c>
      <c r="CR43" s="52">
        <f t="shared" si="227"/>
        <v>4.3757527097551208E-2</v>
      </c>
      <c r="CS43" s="52">
        <f t="shared" si="227"/>
        <v>2.2927689594356204E-2</v>
      </c>
      <c r="CT43" s="112">
        <f t="shared" si="227"/>
        <v>2.17831719420849E-2</v>
      </c>
      <c r="CU43" s="52">
        <f t="shared" ref="CU43:CY43" si="228">(1+CU41)/(1+CU42)-1</f>
        <v>-1.6363933889707027E-4</v>
      </c>
      <c r="CV43" s="52">
        <f t="shared" si="228"/>
        <v>-4.8570012140833896E-3</v>
      </c>
      <c r="CW43" s="52">
        <f t="shared" si="228"/>
        <v>-1.0116376212720102E-2</v>
      </c>
      <c r="CX43" s="52">
        <f t="shared" si="228"/>
        <v>-8.7875898155345133E-3</v>
      </c>
      <c r="CY43" s="112">
        <f t="shared" si="228"/>
        <v>-5.6014725343471738E-3</v>
      </c>
      <c r="CZ43" s="52">
        <f t="shared" ref="CZ43:DD43" si="229">(1+CZ41)/(1+CZ42)-1</f>
        <v>-4.2215291270409905E-3</v>
      </c>
      <c r="DA43" s="52">
        <f t="shared" si="229"/>
        <v>0</v>
      </c>
      <c r="DB43" s="52">
        <f t="shared" si="229"/>
        <v>0</v>
      </c>
      <c r="DC43" s="52">
        <f t="shared" si="229"/>
        <v>0</v>
      </c>
      <c r="DD43" s="112">
        <f t="shared" si="229"/>
        <v>-1.2346720916044385E-3</v>
      </c>
      <c r="DE43" s="52">
        <f t="shared" ref="DE43:DI43" si="230">(1+DE41)/(1+DE42)-1</f>
        <v>0</v>
      </c>
      <c r="DF43" s="52">
        <f t="shared" si="230"/>
        <v>0</v>
      </c>
      <c r="DG43" s="52">
        <f t="shared" si="230"/>
        <v>0</v>
      </c>
      <c r="DH43" s="52">
        <f t="shared" si="230"/>
        <v>0</v>
      </c>
      <c r="DI43" s="112">
        <f t="shared" si="230"/>
        <v>0</v>
      </c>
    </row>
    <row r="44" spans="1:113" ht="12" hidden="1" customHeight="1" outlineLevel="1">
      <c r="A44" s="219"/>
      <c r="B44" s="17"/>
      <c r="C44" s="79"/>
      <c r="D44" s="6"/>
      <c r="E44" s="79"/>
      <c r="F44" s="6"/>
      <c r="G44" s="79"/>
      <c r="H44" s="6"/>
      <c r="I44" s="79"/>
      <c r="J44" s="6"/>
      <c r="K44" s="79"/>
      <c r="L44" s="6"/>
      <c r="M44" s="79"/>
      <c r="N44" s="6"/>
      <c r="O44" s="79"/>
      <c r="P44" s="6"/>
      <c r="Q44" s="79"/>
      <c r="R44" s="548"/>
      <c r="S44" s="549"/>
      <c r="T44" s="549"/>
      <c r="U44" s="549"/>
      <c r="V44" s="550"/>
      <c r="W44" s="548"/>
      <c r="X44" s="549"/>
      <c r="Y44" s="549"/>
      <c r="Z44" s="549"/>
      <c r="AA44" s="550"/>
      <c r="AB44" s="550"/>
      <c r="AC44" s="548"/>
      <c r="AD44" s="549"/>
      <c r="AE44" s="549"/>
      <c r="AF44" s="549"/>
      <c r="AG44" s="550"/>
      <c r="AH44" s="6"/>
      <c r="AI44" s="6"/>
      <c r="AJ44" s="6"/>
      <c r="AK44" s="6"/>
      <c r="AL44" s="79"/>
      <c r="AM44" s="6"/>
      <c r="AN44" s="6"/>
      <c r="AO44" s="6"/>
      <c r="AP44" s="6"/>
      <c r="AQ44" s="79"/>
      <c r="AR44" s="6"/>
      <c r="AS44" s="82"/>
      <c r="AT44" s="6"/>
      <c r="AU44" s="6"/>
      <c r="AV44" s="79"/>
      <c r="AW44" s="6"/>
      <c r="AX44" s="82"/>
      <c r="AY44" s="6"/>
      <c r="AZ44" s="6"/>
      <c r="BA44" s="79"/>
      <c r="BB44" s="6"/>
      <c r="BC44" s="82"/>
      <c r="BD44" s="6"/>
      <c r="BE44" s="82"/>
      <c r="BF44" s="81"/>
      <c r="BG44" s="82"/>
      <c r="BH44" s="82"/>
      <c r="BI44" s="82"/>
      <c r="BJ44" s="82"/>
      <c r="BK44" s="81"/>
      <c r="BL44" s="82"/>
      <c r="BM44" s="82"/>
      <c r="BN44" s="82"/>
      <c r="BO44" s="82"/>
      <c r="BP44" s="81"/>
      <c r="BQ44" s="82"/>
      <c r="BR44" s="82"/>
      <c r="BS44" s="82"/>
      <c r="BT44" s="82"/>
      <c r="BU44" s="81"/>
      <c r="BV44" s="82"/>
      <c r="BW44" s="82"/>
      <c r="BX44" s="82"/>
      <c r="BY44" s="82"/>
      <c r="BZ44" s="81"/>
      <c r="CA44" s="82"/>
      <c r="CB44" s="231"/>
      <c r="CC44" s="231"/>
      <c r="CD44" s="82"/>
      <c r="CE44" s="81"/>
      <c r="CF44" s="82"/>
      <c r="CG44" s="82"/>
      <c r="CH44" s="82"/>
      <c r="CI44" s="82"/>
      <c r="CJ44" s="81"/>
      <c r="CK44" s="82"/>
      <c r="CL44" s="82"/>
      <c r="CM44" s="82"/>
      <c r="CN44" s="82"/>
      <c r="CO44" s="81"/>
      <c r="CP44" s="82"/>
      <c r="CQ44" s="82"/>
      <c r="CR44" s="82"/>
      <c r="CS44" s="82"/>
      <c r="CT44" s="246"/>
      <c r="CU44" s="82"/>
      <c r="CV44" s="82"/>
      <c r="CW44" s="82"/>
      <c r="CX44" s="82"/>
      <c r="CY44" s="81"/>
      <c r="CZ44" s="82"/>
      <c r="DA44" s="82"/>
      <c r="DB44" s="82"/>
      <c r="DC44" s="82"/>
      <c r="DD44" s="81"/>
      <c r="DE44" s="82"/>
      <c r="DF44" s="82"/>
      <c r="DG44" s="82"/>
      <c r="DH44" s="82"/>
      <c r="DI44" s="81"/>
    </row>
    <row r="45" spans="1:113" s="7" customFormat="1" ht="12" hidden="1" customHeight="1" outlineLevel="1">
      <c r="A45" s="219" t="str">
        <f t="shared" si="0"/>
        <v xml:space="preserve"> </v>
      </c>
      <c r="B45" s="551" t="s">
        <v>177</v>
      </c>
      <c r="C45" s="36"/>
      <c r="D45" s="43"/>
      <c r="E45" s="36"/>
      <c r="F45" s="43"/>
      <c r="G45" s="36"/>
      <c r="H45" s="43"/>
      <c r="I45" s="36"/>
      <c r="J45" s="43"/>
      <c r="K45" s="36"/>
      <c r="L45" s="43"/>
      <c r="M45" s="36"/>
      <c r="N45" s="43"/>
      <c r="O45" s="36"/>
      <c r="P45" s="43"/>
      <c r="Q45" s="36"/>
      <c r="R45" s="542" t="s">
        <v>126</v>
      </c>
      <c r="S45" s="543" t="s">
        <v>126</v>
      </c>
      <c r="T45" s="543" t="s">
        <v>126</v>
      </c>
      <c r="U45" s="543" t="s">
        <v>126</v>
      </c>
      <c r="V45" s="544" t="s">
        <v>126</v>
      </c>
      <c r="W45" s="542" t="s">
        <v>126</v>
      </c>
      <c r="X45" s="543" t="s">
        <v>126</v>
      </c>
      <c r="Y45" s="543" t="s">
        <v>126</v>
      </c>
      <c r="Z45" s="543" t="s">
        <v>126</v>
      </c>
      <c r="AA45" s="544" t="s">
        <v>126</v>
      </c>
      <c r="AB45" s="544"/>
      <c r="AC45" s="542" t="s">
        <v>126</v>
      </c>
      <c r="AD45" s="543" t="s">
        <v>126</v>
      </c>
      <c r="AE45" s="543" t="s">
        <v>126</v>
      </c>
      <c r="AF45" s="543" t="s">
        <v>126</v>
      </c>
      <c r="AG45" s="544" t="s">
        <v>126</v>
      </c>
      <c r="AH45" s="43">
        <v>1301</v>
      </c>
      <c r="AI45" s="43">
        <v>1157</v>
      </c>
      <c r="AJ45" s="43">
        <v>1359</v>
      </c>
      <c r="AK45" s="43">
        <v>1487</v>
      </c>
      <c r="AL45" s="36">
        <f>SUM(AH45:AK45)</f>
        <v>5304</v>
      </c>
      <c r="AM45" s="43">
        <v>1703</v>
      </c>
      <c r="AN45" s="43">
        <v>1480</v>
      </c>
      <c r="AO45" s="43">
        <v>1684</v>
      </c>
      <c r="AP45" s="43">
        <v>1767</v>
      </c>
      <c r="AQ45" s="36">
        <f>SUM(AM45:AP45)</f>
        <v>6634</v>
      </c>
      <c r="AR45" s="43">
        <v>1932</v>
      </c>
      <c r="AS45" s="43">
        <v>1741</v>
      </c>
      <c r="AT45" s="43">
        <v>2057</v>
      </c>
      <c r="AU45" s="43">
        <v>2127</v>
      </c>
      <c r="AV45" s="36">
        <f>SUM(AR45:AU45)</f>
        <v>7857</v>
      </c>
      <c r="AW45" s="43">
        <v>2305</v>
      </c>
      <c r="AX45" s="43">
        <v>2144</v>
      </c>
      <c r="AY45" s="43">
        <v>2286</v>
      </c>
      <c r="AZ45" s="43">
        <v>2347</v>
      </c>
      <c r="BA45" s="36">
        <f>SUM(AW45:AZ45)</f>
        <v>9082</v>
      </c>
      <c r="BB45" s="43">
        <v>2535</v>
      </c>
      <c r="BC45" s="43">
        <v>2484</v>
      </c>
      <c r="BD45" s="43">
        <v>2611</v>
      </c>
      <c r="BE45" s="43">
        <f>BF45-SUM(BB45:BD45)</f>
        <v>2798</v>
      </c>
      <c r="BF45" s="36">
        <v>10428</v>
      </c>
      <c r="BG45" s="43">
        <v>2851</v>
      </c>
      <c r="BH45" s="43">
        <v>2831</v>
      </c>
      <c r="BI45" s="43">
        <v>2966</v>
      </c>
      <c r="BJ45" s="43">
        <f>BK45-SUM(BG45:BI45)</f>
        <v>3105</v>
      </c>
      <c r="BK45" s="36">
        <v>11753</v>
      </c>
      <c r="BL45" s="43">
        <v>3248</v>
      </c>
      <c r="BM45" s="43">
        <v>3256</v>
      </c>
      <c r="BN45" s="43">
        <v>3297</v>
      </c>
      <c r="BO45" s="43">
        <f>12382-BN45-BM45-BL45</f>
        <v>2581</v>
      </c>
      <c r="BP45" s="36">
        <f>SUM(BL45:BO45)</f>
        <v>12382</v>
      </c>
      <c r="BQ45" s="43">
        <v>3650</v>
      </c>
      <c r="BR45" s="230">
        <v>4310</v>
      </c>
      <c r="BS45" s="230">
        <v>3953</v>
      </c>
      <c r="BT45" s="43">
        <f>16370-BS45-BR45-BQ45</f>
        <v>4457</v>
      </c>
      <c r="BU45" s="36">
        <f>SUM(BQ45:BT45)</f>
        <v>16370</v>
      </c>
      <c r="BV45" s="43">
        <v>4690</v>
      </c>
      <c r="BW45" s="230">
        <v>4691</v>
      </c>
      <c r="BX45" s="230">
        <v>4554</v>
      </c>
      <c r="BY45" s="230">
        <f>18726-BX45-BW45-BV45</f>
        <v>4791</v>
      </c>
      <c r="BZ45" s="36">
        <f>SUM(BV45:BY45)</f>
        <v>18726</v>
      </c>
      <c r="CA45" s="43">
        <v>5051</v>
      </c>
      <c r="CB45" s="369">
        <v>5419</v>
      </c>
      <c r="CC45" s="369">
        <v>5331</v>
      </c>
      <c r="CD45" s="369">
        <f>21308-CA45-CB45-CC45</f>
        <v>5507</v>
      </c>
      <c r="CE45" s="36">
        <f>SUM(CA45:CD45)</f>
        <v>21308</v>
      </c>
      <c r="CF45" s="369">
        <v>5357</v>
      </c>
      <c r="CG45" s="369">
        <v>5742</v>
      </c>
      <c r="CH45" s="369">
        <v>5351</v>
      </c>
      <c r="CI45" s="369">
        <f>21519-CH45-CG45-CF45</f>
        <v>5069</v>
      </c>
      <c r="CJ45" s="36">
        <f>SUM(CF45:CI45)</f>
        <v>21519</v>
      </c>
      <c r="CK45" s="369">
        <v>4687</v>
      </c>
      <c r="CL45" s="369">
        <v>5017</v>
      </c>
      <c r="CM45" s="369">
        <v>4723</v>
      </c>
      <c r="CN45" s="369">
        <f>18783-CK45-CL45-CM45</f>
        <v>4356</v>
      </c>
      <c r="CO45" s="36">
        <f>SUM(CK45:CN45)</f>
        <v>18783</v>
      </c>
      <c r="CP45" s="369">
        <v>4514</v>
      </c>
      <c r="CQ45" s="369">
        <v>4616</v>
      </c>
      <c r="CR45" s="230">
        <v>4539</v>
      </c>
      <c r="CS45" s="369">
        <f>17720-CR45-CQ45-CP45</f>
        <v>4051</v>
      </c>
      <c r="CT45" s="36">
        <f>CP45+CQ45+CR45+CS45</f>
        <v>17720</v>
      </c>
      <c r="CU45" s="369">
        <v>4142</v>
      </c>
      <c r="CV45" s="82"/>
      <c r="CW45" s="82"/>
      <c r="CX45" s="82"/>
      <c r="CY45" s="81"/>
      <c r="CZ45" s="82"/>
      <c r="DA45" s="82"/>
      <c r="DB45" s="82"/>
      <c r="DC45" s="82"/>
      <c r="DD45" s="81"/>
      <c r="DE45" s="82"/>
      <c r="DF45" s="82"/>
      <c r="DG45" s="82"/>
      <c r="DH45" s="82"/>
      <c r="DI45" s="81"/>
    </row>
    <row r="46" spans="1:113" s="524" customFormat="1" ht="12" hidden="1" customHeight="1" outlineLevel="1">
      <c r="A46" s="219" t="str">
        <f t="shared" si="0"/>
        <v xml:space="preserve"> </v>
      </c>
      <c r="B46" s="547" t="s">
        <v>171</v>
      </c>
      <c r="C46" s="492"/>
      <c r="D46" s="522"/>
      <c r="E46" s="492"/>
      <c r="F46" s="522"/>
      <c r="G46" s="492"/>
      <c r="H46" s="522"/>
      <c r="I46" s="492"/>
      <c r="J46" s="522"/>
      <c r="K46" s="492"/>
      <c r="L46" s="522"/>
      <c r="M46" s="492"/>
      <c r="N46" s="522"/>
      <c r="O46" s="492"/>
      <c r="P46" s="522"/>
      <c r="Q46" s="492"/>
      <c r="R46" s="378" t="s">
        <v>126</v>
      </c>
      <c r="S46" s="522" t="s">
        <v>126</v>
      </c>
      <c r="T46" s="522" t="s">
        <v>126</v>
      </c>
      <c r="U46" s="522" t="s">
        <v>126</v>
      </c>
      <c r="V46" s="492" t="s">
        <v>126</v>
      </c>
      <c r="W46" s="378" t="s">
        <v>126</v>
      </c>
      <c r="X46" s="522" t="s">
        <v>126</v>
      </c>
      <c r="Y46" s="522" t="s">
        <v>126</v>
      </c>
      <c r="Z46" s="522" t="s">
        <v>126</v>
      </c>
      <c r="AA46" s="492" t="s">
        <v>126</v>
      </c>
      <c r="AB46" s="492"/>
      <c r="AC46" s="378" t="s">
        <v>126</v>
      </c>
      <c r="AD46" s="522" t="s">
        <v>126</v>
      </c>
      <c r="AE46" s="522" t="s">
        <v>126</v>
      </c>
      <c r="AF46" s="522" t="s">
        <v>126</v>
      </c>
      <c r="AG46" s="492" t="s">
        <v>126</v>
      </c>
      <c r="AH46" s="378" t="s">
        <v>126</v>
      </c>
      <c r="AI46" s="522" t="s">
        <v>126</v>
      </c>
      <c r="AJ46" s="522" t="s">
        <v>126</v>
      </c>
      <c r="AK46" s="522" t="s">
        <v>126</v>
      </c>
      <c r="AL46" s="492" t="s">
        <v>126</v>
      </c>
      <c r="AM46" s="52">
        <f t="shared" ref="AM46:BN46" si="231">+AM45/AH45-1</f>
        <v>0.30899308224442734</v>
      </c>
      <c r="AN46" s="52">
        <f t="shared" si="231"/>
        <v>0.27917026793431288</v>
      </c>
      <c r="AO46" s="52">
        <f t="shared" si="231"/>
        <v>0.23914643119941137</v>
      </c>
      <c r="AP46" s="52">
        <f t="shared" si="231"/>
        <v>0.18829858776059183</v>
      </c>
      <c r="AQ46" s="112">
        <f t="shared" si="231"/>
        <v>0.25075414781297134</v>
      </c>
      <c r="AR46" s="52">
        <f t="shared" si="231"/>
        <v>0.13446858485026425</v>
      </c>
      <c r="AS46" s="52">
        <f t="shared" si="231"/>
        <v>0.17635135135135127</v>
      </c>
      <c r="AT46" s="52">
        <f t="shared" si="231"/>
        <v>0.22149643705463173</v>
      </c>
      <c r="AU46" s="52">
        <f t="shared" si="231"/>
        <v>0.20373514431239381</v>
      </c>
      <c r="AV46" s="112">
        <f t="shared" si="231"/>
        <v>0.18435333132348508</v>
      </c>
      <c r="AW46" s="52">
        <f t="shared" si="231"/>
        <v>0.19306418219461707</v>
      </c>
      <c r="AX46" s="52">
        <f t="shared" si="231"/>
        <v>0.23147616312464092</v>
      </c>
      <c r="AY46" s="52">
        <f t="shared" si="231"/>
        <v>0.11132717549829851</v>
      </c>
      <c r="AZ46" s="52">
        <f t="shared" si="231"/>
        <v>0.10343206393982141</v>
      </c>
      <c r="BA46" s="112">
        <f t="shared" si="231"/>
        <v>0.15591192567137591</v>
      </c>
      <c r="BB46" s="52">
        <f t="shared" si="231"/>
        <v>9.9783080260303691E-2</v>
      </c>
      <c r="BC46" s="52">
        <f t="shared" si="231"/>
        <v>0.15858208955223874</v>
      </c>
      <c r="BD46" s="52">
        <f t="shared" si="231"/>
        <v>0.14216972878390211</v>
      </c>
      <c r="BE46" s="52">
        <f t="shared" si="231"/>
        <v>0.19216020451640392</v>
      </c>
      <c r="BF46" s="112">
        <f t="shared" si="231"/>
        <v>0.1482052411363135</v>
      </c>
      <c r="BG46" s="52">
        <f t="shared" si="231"/>
        <v>0.12465483234714014</v>
      </c>
      <c r="BH46" s="52">
        <f t="shared" si="231"/>
        <v>0.13969404186795487</v>
      </c>
      <c r="BI46" s="52">
        <f t="shared" si="231"/>
        <v>0.13596323247797781</v>
      </c>
      <c r="BJ46" s="52">
        <f t="shared" si="231"/>
        <v>0.10972122944960683</v>
      </c>
      <c r="BK46" s="112">
        <f t="shared" si="231"/>
        <v>0.12706175680859233</v>
      </c>
      <c r="BL46" s="52">
        <f t="shared" si="231"/>
        <v>0.1392493861802877</v>
      </c>
      <c r="BM46" s="52">
        <f t="shared" si="231"/>
        <v>0.15012363122571526</v>
      </c>
      <c r="BN46" s="52">
        <f t="shared" si="231"/>
        <v>0.11159811193526625</v>
      </c>
      <c r="BO46" s="52">
        <f t="shared" ref="BO46" si="232">+BO45/BJ45-1</f>
        <v>-0.16876006441223834</v>
      </c>
      <c r="BP46" s="112">
        <f t="shared" ref="BP46:CH46" si="233">+BP45/BK45-1</f>
        <v>5.3518250659406075E-2</v>
      </c>
      <c r="BQ46" s="52">
        <f t="shared" si="233"/>
        <v>0.12376847290640391</v>
      </c>
      <c r="BR46" s="52">
        <f t="shared" si="233"/>
        <v>0.32371007371007376</v>
      </c>
      <c r="BS46" s="52">
        <f t="shared" si="233"/>
        <v>0.19896875947831361</v>
      </c>
      <c r="BT46" s="52">
        <f t="shared" si="233"/>
        <v>0.72685005811700898</v>
      </c>
      <c r="BU46" s="112">
        <f t="shared" si="233"/>
        <v>0.32208043934743991</v>
      </c>
      <c r="BV46" s="52">
        <f t="shared" si="233"/>
        <v>0.28493150684931501</v>
      </c>
      <c r="BW46" s="52">
        <f t="shared" si="233"/>
        <v>8.8399071925754136E-2</v>
      </c>
      <c r="BX46" s="52">
        <f t="shared" si="233"/>
        <v>0.15203642802934469</v>
      </c>
      <c r="BY46" s="52">
        <f t="shared" si="233"/>
        <v>7.4938299304464939E-2</v>
      </c>
      <c r="BZ46" s="112">
        <f t="shared" si="233"/>
        <v>0.14392180818570566</v>
      </c>
      <c r="CA46" s="52">
        <f t="shared" si="233"/>
        <v>7.6972281449893432E-2</v>
      </c>
      <c r="CB46" s="52">
        <f t="shared" si="233"/>
        <v>0.15519079087614585</v>
      </c>
      <c r="CC46" s="52">
        <f t="shared" si="233"/>
        <v>0.17061923583662719</v>
      </c>
      <c r="CD46" s="52">
        <f t="shared" si="233"/>
        <v>0.14944687956585256</v>
      </c>
      <c r="CE46" s="112">
        <f t="shared" si="233"/>
        <v>0.13788315710776455</v>
      </c>
      <c r="CF46" s="52">
        <f t="shared" si="233"/>
        <v>6.0582062957830196E-2</v>
      </c>
      <c r="CG46" s="52">
        <f>+CG45/CB45-1</f>
        <v>5.9605093190625569E-2</v>
      </c>
      <c r="CH46" s="52">
        <f t="shared" si="233"/>
        <v>3.7516413430875861E-3</v>
      </c>
      <c r="CI46" s="52">
        <f t="shared" ref="CI46" si="234">+CI45/CD45-1</f>
        <v>-7.9535137098238562E-2</v>
      </c>
      <c r="CJ46" s="112">
        <f t="shared" ref="CJ46:CK46" si="235">+CJ45/CE45-1</f>
        <v>9.9023840810963382E-3</v>
      </c>
      <c r="CK46" s="52">
        <f t="shared" si="235"/>
        <v>-0.12507000186671646</v>
      </c>
      <c r="CL46" s="52">
        <f>+CL45/CG45-1</f>
        <v>-0.1262626262626263</v>
      </c>
      <c r="CM46" s="52">
        <f>+CM45/CH45-1</f>
        <v>-0.11736124088955335</v>
      </c>
      <c r="CN46" s="52">
        <f>+CN45/CI45-1</f>
        <v>-0.14065890708226469</v>
      </c>
      <c r="CO46" s="112">
        <f t="shared" ref="CO46:CP46" si="236">+CO45/CJ45-1</f>
        <v>-0.12714345462149723</v>
      </c>
      <c r="CP46" s="52">
        <f t="shared" si="236"/>
        <v>-3.6910603797738473E-2</v>
      </c>
      <c r="CQ46" s="52">
        <f>+CQ45/CL45-1</f>
        <v>-7.9928243970500246E-2</v>
      </c>
      <c r="CR46" s="52">
        <f>+CR45/CM45-1</f>
        <v>-3.8958289222951525E-2</v>
      </c>
      <c r="CS46" s="52">
        <f>+CS45/CN45-1</f>
        <v>-7.0018365472910959E-2</v>
      </c>
      <c r="CT46" s="112">
        <f>CT45/CO45-1</f>
        <v>-5.6593728371399643E-2</v>
      </c>
      <c r="CU46" s="52">
        <f t="shared" ref="CU46" si="237">+CU45/CP45-1</f>
        <v>-8.2410279131590602E-2</v>
      </c>
      <c r="CV46" s="111"/>
      <c r="CW46" s="111"/>
      <c r="CX46" s="111"/>
      <c r="CY46" s="229"/>
      <c r="CZ46" s="111"/>
      <c r="DA46" s="111"/>
      <c r="DB46" s="111"/>
      <c r="DC46" s="111"/>
      <c r="DD46" s="229"/>
      <c r="DE46" s="111"/>
      <c r="DF46" s="111"/>
      <c r="DG46" s="111"/>
      <c r="DH46" s="111"/>
      <c r="DI46" s="229"/>
    </row>
    <row r="47" spans="1:113" s="530" customFormat="1" ht="12" hidden="1" customHeight="1" outlineLevel="1">
      <c r="A47" s="552" t="str">
        <f t="shared" si="0"/>
        <v xml:space="preserve"> </v>
      </c>
      <c r="B47" s="553" t="s">
        <v>173</v>
      </c>
      <c r="C47" s="492"/>
      <c r="D47" s="522"/>
      <c r="E47" s="492"/>
      <c r="F47" s="522"/>
      <c r="G47" s="492"/>
      <c r="H47" s="522"/>
      <c r="I47" s="492"/>
      <c r="J47" s="522"/>
      <c r="K47" s="492"/>
      <c r="L47" s="522"/>
      <c r="M47" s="492"/>
      <c r="N47" s="522"/>
      <c r="O47" s="492"/>
      <c r="P47" s="522"/>
      <c r="Q47" s="492"/>
      <c r="R47" s="378" t="s">
        <v>126</v>
      </c>
      <c r="S47" s="522" t="s">
        <v>126</v>
      </c>
      <c r="T47" s="522" t="s">
        <v>126</v>
      </c>
      <c r="U47" s="522" t="s">
        <v>126</v>
      </c>
      <c r="V47" s="492" t="s">
        <v>126</v>
      </c>
      <c r="W47" s="378" t="s">
        <v>126</v>
      </c>
      <c r="X47" s="522" t="s">
        <v>126</v>
      </c>
      <c r="Y47" s="522" t="s">
        <v>126</v>
      </c>
      <c r="Z47" s="522" t="s">
        <v>126</v>
      </c>
      <c r="AA47" s="492" t="s">
        <v>126</v>
      </c>
      <c r="AB47" s="492"/>
      <c r="AC47" s="378" t="s">
        <v>126</v>
      </c>
      <c r="AD47" s="522" t="s">
        <v>126</v>
      </c>
      <c r="AE47" s="522" t="s">
        <v>126</v>
      </c>
      <c r="AF47" s="522" t="s">
        <v>126</v>
      </c>
      <c r="AG47" s="492" t="s">
        <v>126</v>
      </c>
      <c r="AH47" s="378" t="s">
        <v>126</v>
      </c>
      <c r="AI47" s="522" t="s">
        <v>126</v>
      </c>
      <c r="AJ47" s="522" t="s">
        <v>126</v>
      </c>
      <c r="AK47" s="522" t="s">
        <v>126</v>
      </c>
      <c r="AL47" s="492" t="s">
        <v>126</v>
      </c>
      <c r="AM47" s="378" t="s">
        <v>126</v>
      </c>
      <c r="AN47" s="522" t="s">
        <v>126</v>
      </c>
      <c r="AO47" s="522" t="s">
        <v>126</v>
      </c>
      <c r="AP47" s="522" t="s">
        <v>126</v>
      </c>
      <c r="AQ47" s="112">
        <v>0.28999999999999998</v>
      </c>
      <c r="AR47" s="52">
        <v>0.21</v>
      </c>
      <c r="AS47" s="52">
        <v>0.26</v>
      </c>
      <c r="AT47" s="52">
        <v>0.28999999999999998</v>
      </c>
      <c r="AU47" s="52">
        <v>0.25</v>
      </c>
      <c r="AV47" s="112">
        <v>0.25</v>
      </c>
      <c r="AW47" s="52">
        <v>0.22</v>
      </c>
      <c r="AX47" s="52">
        <v>0.25</v>
      </c>
      <c r="AY47" s="52">
        <v>0.13</v>
      </c>
      <c r="AZ47" s="52">
        <v>0.12343206393982141</v>
      </c>
      <c r="BA47" s="112">
        <v>0.18</v>
      </c>
      <c r="BB47" s="52">
        <v>0.11</v>
      </c>
      <c r="BC47" s="52">
        <v>0.15</v>
      </c>
      <c r="BD47" s="522">
        <v>0.1</v>
      </c>
      <c r="BE47" s="52">
        <f>(1+BE46)/(1+BE48)-1</f>
        <v>0.12221015444023653</v>
      </c>
      <c r="BF47" s="492">
        <v>0.12</v>
      </c>
      <c r="BG47" s="378">
        <v>0.12</v>
      </c>
      <c r="BH47" s="522">
        <v>0.18</v>
      </c>
      <c r="BI47" s="522">
        <v>0.17</v>
      </c>
      <c r="BJ47" s="52">
        <f>(1+BJ46)/(1+BJ48)-1</f>
        <v>0.17074139216757533</v>
      </c>
      <c r="BK47" s="492">
        <v>0.16</v>
      </c>
      <c r="BL47" s="522">
        <v>0.17</v>
      </c>
      <c r="BM47" s="554">
        <v>0.17</v>
      </c>
      <c r="BN47" s="554">
        <v>0.13</v>
      </c>
      <c r="BO47" s="52">
        <f>(1+BO46)/(1+BO48)-1</f>
        <v>-0.13625237040752614</v>
      </c>
      <c r="BP47" s="492">
        <v>0.08</v>
      </c>
      <c r="BQ47" s="522">
        <v>0.13</v>
      </c>
      <c r="BR47" s="522">
        <v>0.3</v>
      </c>
      <c r="BS47" s="522">
        <v>0.16</v>
      </c>
      <c r="BT47" s="52">
        <f>(1+BT46)/(1+BT48)-1</f>
        <v>0.68884869796942017</v>
      </c>
      <c r="BU47" s="113">
        <v>0.3</v>
      </c>
      <c r="BV47" s="522">
        <v>0.25</v>
      </c>
      <c r="BW47" s="522">
        <v>0.08</v>
      </c>
      <c r="BX47" s="522">
        <v>0.17</v>
      </c>
      <c r="BY47" s="52">
        <f>(1+BY46)/(1+BY48)-1</f>
        <v>0.11531379734344238</v>
      </c>
      <c r="BZ47" s="113">
        <v>0.15</v>
      </c>
      <c r="CA47" s="522">
        <v>0.14000000000000001</v>
      </c>
      <c r="CB47" s="554">
        <v>0.25</v>
      </c>
      <c r="CC47" s="554">
        <v>0.22</v>
      </c>
      <c r="CD47" s="52">
        <v>0.18</v>
      </c>
      <c r="CE47" s="492">
        <v>0.2</v>
      </c>
      <c r="CF47" s="554">
        <v>0.06</v>
      </c>
      <c r="CG47" s="554">
        <v>0.04</v>
      </c>
      <c r="CH47" s="554">
        <v>0</v>
      </c>
      <c r="CI47" s="522">
        <v>-7.0000000000000007E-2</v>
      </c>
      <c r="CJ47" s="492">
        <v>0.01</v>
      </c>
      <c r="CK47" s="522">
        <v>-0.12</v>
      </c>
      <c r="CL47" s="522">
        <v>-0.14000000000000001</v>
      </c>
      <c r="CM47" s="522">
        <v>-0.1</v>
      </c>
      <c r="CN47" s="522">
        <v>-0.14000000000000001</v>
      </c>
      <c r="CO47" s="492">
        <v>-0.12</v>
      </c>
      <c r="CP47" s="522">
        <v>-0.05</v>
      </c>
      <c r="CQ47" s="522">
        <v>-0.09</v>
      </c>
      <c r="CR47" s="522">
        <v>-7.0000000000000007E-2</v>
      </c>
      <c r="CS47" s="522">
        <v>-0.09</v>
      </c>
      <c r="CT47" s="492">
        <v>-0.08</v>
      </c>
      <c r="CU47" s="522">
        <v>-0.09</v>
      </c>
      <c r="CV47" s="522"/>
      <c r="CW47" s="522"/>
      <c r="CX47" s="522"/>
      <c r="CY47" s="492"/>
      <c r="CZ47" s="522"/>
      <c r="DA47" s="522"/>
      <c r="DB47" s="522"/>
      <c r="DC47" s="522"/>
      <c r="DD47" s="492"/>
      <c r="DE47" s="522"/>
      <c r="DF47" s="522"/>
      <c r="DG47" s="522"/>
      <c r="DH47" s="522"/>
      <c r="DI47" s="492"/>
    </row>
    <row r="48" spans="1:113" s="3" customFormat="1" ht="12" hidden="1" customHeight="1" outlineLevel="1">
      <c r="A48" s="490" t="str">
        <f t="shared" si="0"/>
        <v xml:space="preserve"> </v>
      </c>
      <c r="B48" s="491" t="s">
        <v>141</v>
      </c>
      <c r="C48" s="492"/>
      <c r="D48" s="522"/>
      <c r="E48" s="492"/>
      <c r="F48" s="522"/>
      <c r="G48" s="492"/>
      <c r="H48" s="522"/>
      <c r="I48" s="492"/>
      <c r="J48" s="522"/>
      <c r="K48" s="492"/>
      <c r="L48" s="522"/>
      <c r="M48" s="492"/>
      <c r="N48" s="522"/>
      <c r="O48" s="492"/>
      <c r="P48" s="522"/>
      <c r="Q48" s="492"/>
      <c r="R48" s="378" t="s">
        <v>126</v>
      </c>
      <c r="S48" s="522" t="s">
        <v>126</v>
      </c>
      <c r="T48" s="522" t="s">
        <v>126</v>
      </c>
      <c r="U48" s="522" t="s">
        <v>126</v>
      </c>
      <c r="V48" s="492" t="s">
        <v>126</v>
      </c>
      <c r="W48" s="378" t="s">
        <v>126</v>
      </c>
      <c r="X48" s="522" t="s">
        <v>126</v>
      </c>
      <c r="Y48" s="522" t="s">
        <v>126</v>
      </c>
      <c r="Z48" s="522" t="s">
        <v>126</v>
      </c>
      <c r="AA48" s="492" t="s">
        <v>126</v>
      </c>
      <c r="AB48" s="492"/>
      <c r="AC48" s="378" t="s">
        <v>126</v>
      </c>
      <c r="AD48" s="522" t="s">
        <v>126</v>
      </c>
      <c r="AE48" s="522" t="s">
        <v>126</v>
      </c>
      <c r="AF48" s="522" t="s">
        <v>126</v>
      </c>
      <c r="AG48" s="492" t="s">
        <v>126</v>
      </c>
      <c r="AH48" s="217" t="s">
        <v>126</v>
      </c>
      <c r="AI48" s="52" t="s">
        <v>126</v>
      </c>
      <c r="AJ48" s="52" t="s">
        <v>126</v>
      </c>
      <c r="AK48" s="52" t="s">
        <v>126</v>
      </c>
      <c r="AL48" s="112" t="s">
        <v>126</v>
      </c>
      <c r="AM48" s="217" t="s">
        <v>126</v>
      </c>
      <c r="AN48" s="52" t="s">
        <v>126</v>
      </c>
      <c r="AO48" s="52" t="s">
        <v>126</v>
      </c>
      <c r="AP48" s="52" t="s">
        <v>126</v>
      </c>
      <c r="AQ48" s="112">
        <f t="shared" ref="AQ48:BR48" si="238">(1+AQ46)/(1+AQ47)-1</f>
        <v>-3.0423141230254802E-2</v>
      </c>
      <c r="AR48" s="52">
        <f t="shared" si="238"/>
        <v>-6.2422657148541894E-2</v>
      </c>
      <c r="AS48" s="52">
        <f t="shared" si="238"/>
        <v>-6.6387816387816434E-2</v>
      </c>
      <c r="AT48" s="52">
        <f t="shared" si="238"/>
        <v>-5.3103537166952153E-2</v>
      </c>
      <c r="AU48" s="52">
        <f t="shared" si="238"/>
        <v>-3.7011884550084972E-2</v>
      </c>
      <c r="AV48" s="112">
        <f t="shared" si="238"/>
        <v>-5.2517334941211913E-2</v>
      </c>
      <c r="AW48" s="52">
        <f t="shared" si="238"/>
        <v>-2.207853918474012E-2</v>
      </c>
      <c r="AX48" s="52">
        <f t="shared" si="238"/>
        <v>-1.4819069500287219E-2</v>
      </c>
      <c r="AY48" s="52">
        <f t="shared" si="238"/>
        <v>-1.652462345283312E-2</v>
      </c>
      <c r="AZ48" s="52">
        <f t="shared" si="238"/>
        <v>-1.7802589619759446E-2</v>
      </c>
      <c r="BA48" s="112">
        <f t="shared" si="238"/>
        <v>-2.0413622312393298E-2</v>
      </c>
      <c r="BB48" s="52">
        <f t="shared" si="238"/>
        <v>-9.2044321979246613E-3</v>
      </c>
      <c r="BC48" s="52">
        <f t="shared" si="238"/>
        <v>7.4626865671640896E-3</v>
      </c>
      <c r="BD48" s="52">
        <f t="shared" si="238"/>
        <v>3.8336117076274601E-2</v>
      </c>
      <c r="BE48" s="52">
        <f>((BF48*SUM(AW45:AZ45))-BB48*AW45-BC48*AX45-BD48*AY45)/AZ45</f>
        <v>6.2332398080160611E-2</v>
      </c>
      <c r="BF48" s="112">
        <f t="shared" si="238"/>
        <v>2.5183251014565533E-2</v>
      </c>
      <c r="BG48" s="52">
        <f t="shared" si="238"/>
        <v>4.1561003099463978E-3</v>
      </c>
      <c r="BH48" s="52">
        <f t="shared" si="238"/>
        <v>-3.4157591637326346E-2</v>
      </c>
      <c r="BI48" s="52">
        <f t="shared" si="238"/>
        <v>-2.9091254292326618E-2</v>
      </c>
      <c r="BJ48" s="52">
        <f>((BK48*SUM(BB45:BE45))-BG48*BB45-BH48*BC45-BI48*BD45)/BE45</f>
        <v>-5.212095781886756E-2</v>
      </c>
      <c r="BK48" s="112">
        <f t="shared" si="238"/>
        <v>-2.8395037233972076E-2</v>
      </c>
      <c r="BL48" s="52">
        <f t="shared" si="238"/>
        <v>-2.6282575914283957E-2</v>
      </c>
      <c r="BM48" s="52">
        <f t="shared" si="238"/>
        <v>-1.6988349379730483E-2</v>
      </c>
      <c r="BN48" s="52">
        <f t="shared" si="238"/>
        <v>-1.6284856694454564E-2</v>
      </c>
      <c r="BO48" s="52">
        <f>((BP48*SUM(BG45:BJ45))-BL48*BG45-BM48*BH45-BN48*BI45)/BJ45</f>
        <v>-3.7635639035038179E-2</v>
      </c>
      <c r="BP48" s="112">
        <f t="shared" si="238"/>
        <v>-2.4520138278327774E-2</v>
      </c>
      <c r="BQ48" s="52">
        <f t="shared" si="238"/>
        <v>-5.5146257465451543E-3</v>
      </c>
      <c r="BR48" s="52">
        <f t="shared" si="238"/>
        <v>1.8238518238518298E-2</v>
      </c>
      <c r="BS48" s="52">
        <f t="shared" ref="BS48" si="239">(1+BS46)/(1+BS47)-1</f>
        <v>3.3593758170959997E-2</v>
      </c>
      <c r="BT48" s="52">
        <f>((BU48*SUM(BL45:BO45))-BQ48*BL45-BR48*BM45-BS48*BN45)/BO45</f>
        <v>2.2501340820690278E-2</v>
      </c>
      <c r="BU48" s="112">
        <f t="shared" ref="BU48:BX48" si="240">(1+BU46)/(1+BU47)-1</f>
        <v>1.6984953344184595E-2</v>
      </c>
      <c r="BV48" s="52">
        <f t="shared" si="240"/>
        <v>2.7945205479452007E-2</v>
      </c>
      <c r="BW48" s="52">
        <f t="shared" si="240"/>
        <v>7.776918449772241E-3</v>
      </c>
      <c r="BX48" s="52">
        <f t="shared" si="240"/>
        <v>-1.5353480316799395E-2</v>
      </c>
      <c r="BY48" s="52">
        <f>((BZ48*SUM(BQ45:BT45))-BV48*BQ45-BW48*BR45-BX48*BS45)/BT45</f>
        <v>-3.6201020856325414E-2</v>
      </c>
      <c r="BZ48" s="112">
        <f t="shared" ref="BZ48:CD48" si="241">(1+BZ46)/(1+BZ47)-1</f>
        <v>-5.2853841863428341E-3</v>
      </c>
      <c r="CA48" s="52">
        <f t="shared" si="241"/>
        <v>-5.5287472412374306E-2</v>
      </c>
      <c r="CB48" s="52">
        <f t="shared" si="241"/>
        <v>-7.5847367299083368E-2</v>
      </c>
      <c r="CC48" s="52">
        <f t="shared" si="241"/>
        <v>-4.0476036199485921E-2</v>
      </c>
      <c r="CD48" s="52">
        <f t="shared" si="241"/>
        <v>-2.5892474944192667E-2</v>
      </c>
      <c r="CE48" s="112">
        <f t="shared" ref="CE48:CI48" si="242">(1+CE46)/(1+CE47)-1</f>
        <v>-5.1764035743529502E-2</v>
      </c>
      <c r="CF48" s="52">
        <f t="shared" si="242"/>
        <v>5.4911599795293142E-4</v>
      </c>
      <c r="CG48" s="52">
        <f t="shared" si="242"/>
        <v>1.885105114483232E-2</v>
      </c>
      <c r="CH48" s="52">
        <f t="shared" si="242"/>
        <v>3.7516413430875861E-3</v>
      </c>
      <c r="CI48" s="52">
        <f t="shared" si="242"/>
        <v>-1.0252835589503739E-2</v>
      </c>
      <c r="CJ48" s="112">
        <f t="shared" ref="CJ48:CL48" si="243">(1+CJ46)/(1+CJ47)-1</f>
        <v>-9.6649424657146987E-5</v>
      </c>
      <c r="CK48" s="52">
        <f t="shared" si="243"/>
        <v>-5.7613657576323085E-3</v>
      </c>
      <c r="CL48" s="52">
        <f t="shared" si="243"/>
        <v>1.5973690392295126E-2</v>
      </c>
      <c r="CM48" s="52">
        <f t="shared" ref="CM48:CQ48" si="244">(1+CM46)/(1+CM47)-1</f>
        <v>-1.9290267655059257E-2</v>
      </c>
      <c r="CN48" s="52">
        <f t="shared" si="244"/>
        <v>-7.6617102588916186E-4</v>
      </c>
      <c r="CO48" s="112">
        <f t="shared" si="244"/>
        <v>-8.1175620698832329E-3</v>
      </c>
      <c r="CP48" s="52">
        <f t="shared" si="244"/>
        <v>1.3778311791854181E-2</v>
      </c>
      <c r="CQ48" s="52">
        <f t="shared" si="244"/>
        <v>1.1067863768680963E-2</v>
      </c>
      <c r="CR48" s="52">
        <f t="shared" ref="CR48:CU48" si="245">(1+CR46)/(1+CR47)-1</f>
        <v>3.3378183631235014E-2</v>
      </c>
      <c r="CS48" s="52">
        <f t="shared" si="245"/>
        <v>2.1957840139658291E-2</v>
      </c>
      <c r="CT48" s="112">
        <f t="shared" si="245"/>
        <v>2.5441599596304654E-2</v>
      </c>
      <c r="CU48" s="52">
        <f t="shared" si="245"/>
        <v>8.3403526026477603E-3</v>
      </c>
      <c r="CV48" s="549"/>
      <c r="CW48" s="549"/>
      <c r="CX48" s="549"/>
      <c r="CY48" s="550"/>
      <c r="CZ48" s="549"/>
      <c r="DA48" s="549"/>
      <c r="DB48" s="549"/>
      <c r="DC48" s="549"/>
      <c r="DD48" s="550"/>
      <c r="DE48" s="549"/>
      <c r="DF48" s="549"/>
      <c r="DG48" s="549"/>
      <c r="DH48" s="549"/>
      <c r="DI48" s="550"/>
    </row>
    <row r="49" spans="1:113" ht="12" hidden="1" customHeight="1" outlineLevel="1">
      <c r="A49" s="219" t="str">
        <f t="shared" si="0"/>
        <v xml:space="preserve"> </v>
      </c>
      <c r="B49" s="555" t="s">
        <v>325</v>
      </c>
      <c r="C49" s="375"/>
      <c r="D49" s="376"/>
      <c r="E49" s="375"/>
      <c r="F49" s="376"/>
      <c r="G49" s="375"/>
      <c r="H49" s="376"/>
      <c r="I49" s="375"/>
      <c r="J49" s="376"/>
      <c r="K49" s="375"/>
      <c r="L49" s="376"/>
      <c r="M49" s="375"/>
      <c r="N49" s="376"/>
      <c r="O49" s="375"/>
      <c r="P49" s="376"/>
      <c r="Q49" s="375"/>
      <c r="R49" s="399"/>
      <c r="S49" s="376"/>
      <c r="T49" s="376"/>
      <c r="U49" s="376"/>
      <c r="V49" s="375"/>
      <c r="W49" s="399"/>
      <c r="X49" s="376"/>
      <c r="Y49" s="376"/>
      <c r="Z49" s="376"/>
      <c r="AA49" s="375"/>
      <c r="AB49" s="375"/>
      <c r="AC49" s="399"/>
      <c r="AD49" s="376"/>
      <c r="AE49" s="376"/>
      <c r="AF49" s="376"/>
      <c r="AG49" s="375"/>
      <c r="AH49" s="58">
        <f t="shared" ref="AH49:BP49" si="246">AH45/AH14</f>
        <v>0.20114409400123687</v>
      </c>
      <c r="AI49" s="49">
        <f t="shared" si="246"/>
        <v>0.19060955518945635</v>
      </c>
      <c r="AJ49" s="49">
        <f t="shared" si="246"/>
        <v>0.20735428745804088</v>
      </c>
      <c r="AK49" s="49">
        <f t="shared" si="246"/>
        <v>0.21182336182336181</v>
      </c>
      <c r="AL49" s="42">
        <f t="shared" si="246"/>
        <v>0.203125</v>
      </c>
      <c r="AM49" s="58">
        <f t="shared" si="246"/>
        <v>0.22948389704891525</v>
      </c>
      <c r="AN49" s="49">
        <f t="shared" si="246"/>
        <v>0.21267423480385111</v>
      </c>
      <c r="AO49" s="49">
        <f t="shared" si="246"/>
        <v>0.24268626603256954</v>
      </c>
      <c r="AP49" s="49">
        <f t="shared" si="246"/>
        <v>0.23936602546735303</v>
      </c>
      <c r="AQ49" s="42">
        <f t="shared" si="246"/>
        <v>0.23114177206369116</v>
      </c>
      <c r="AR49" s="49">
        <f t="shared" si="246"/>
        <v>0.24461889085844518</v>
      </c>
      <c r="AS49" s="49">
        <f t="shared" si="246"/>
        <v>0.23793904605712723</v>
      </c>
      <c r="AT49" s="49">
        <f t="shared" si="246"/>
        <v>0.27183824501123299</v>
      </c>
      <c r="AU49" s="49">
        <f t="shared" si="246"/>
        <v>0.2753398058252427</v>
      </c>
      <c r="AV49" s="42">
        <f t="shared" si="246"/>
        <v>0.25754744812665947</v>
      </c>
      <c r="AW49" s="49">
        <f t="shared" si="246"/>
        <v>0.2724908381605391</v>
      </c>
      <c r="AX49" s="49">
        <f t="shared" si="246"/>
        <v>0.27757638529259449</v>
      </c>
      <c r="AY49" s="49">
        <f t="shared" si="246"/>
        <v>0.28852707307837938</v>
      </c>
      <c r="AZ49" s="49">
        <f t="shared" si="246"/>
        <v>0.28879045158114924</v>
      </c>
      <c r="BA49" s="42">
        <f t="shared" si="246"/>
        <v>0.28176092824124344</v>
      </c>
      <c r="BB49" s="49">
        <f t="shared" si="246"/>
        <v>0.29528246942341291</v>
      </c>
      <c r="BC49" s="49">
        <f t="shared" si="246"/>
        <v>0.30530973451327431</v>
      </c>
      <c r="BD49" s="49">
        <f t="shared" si="246"/>
        <v>0.30735726898175397</v>
      </c>
      <c r="BE49" s="49">
        <f t="shared" si="246"/>
        <v>0.30186643650879275</v>
      </c>
      <c r="BF49" s="42">
        <f t="shared" si="246"/>
        <v>0.30239234449760766</v>
      </c>
      <c r="BG49" s="49">
        <f t="shared" si="246"/>
        <v>0.30275034512052673</v>
      </c>
      <c r="BH49" s="49">
        <f t="shared" si="246"/>
        <v>0.31645428124301361</v>
      </c>
      <c r="BI49" s="49">
        <f t="shared" si="246"/>
        <v>0.32422387407083514</v>
      </c>
      <c r="BJ49" s="49">
        <f t="shared" si="246"/>
        <v>0.319872257134027</v>
      </c>
      <c r="BK49" s="42">
        <f t="shared" si="246"/>
        <v>0.31578805954108224</v>
      </c>
      <c r="BL49" s="49">
        <f t="shared" si="246"/>
        <v>0.32171156893819336</v>
      </c>
      <c r="BM49" s="49">
        <f t="shared" si="246"/>
        <v>0.33075985371800082</v>
      </c>
      <c r="BN49" s="49">
        <f t="shared" si="246"/>
        <v>0.34286605657237934</v>
      </c>
      <c r="BO49" s="49">
        <f t="shared" si="246"/>
        <v>0.42930805056553561</v>
      </c>
      <c r="BP49" s="42">
        <f t="shared" si="246"/>
        <v>0.34812190733243364</v>
      </c>
      <c r="BQ49" s="49">
        <f>BQ45/BQ14</f>
        <v>0.36434418047514472</v>
      </c>
      <c r="BR49" s="49">
        <f>BR45/BR14</f>
        <v>0.40126617633367473</v>
      </c>
      <c r="BS49" s="49">
        <f>BS45/BS14</f>
        <v>0.40448173539343091</v>
      </c>
      <c r="BT49" s="49">
        <f t="shared" ref="BT49:BU49" si="247">BT45/BT14</f>
        <v>0.37896437377774</v>
      </c>
      <c r="BU49" s="42">
        <f t="shared" si="247"/>
        <v>0.38706168869552882</v>
      </c>
      <c r="BV49" s="49">
        <f>BV45/BV14</f>
        <v>0.40292096219931273</v>
      </c>
      <c r="BW49" s="49">
        <f>BW45/BW14</f>
        <v>0.43370931952662722</v>
      </c>
      <c r="BX49" s="49">
        <f>BX45/BX14</f>
        <v>0.44115082824760243</v>
      </c>
      <c r="BY49" s="49">
        <f t="shared" ref="BY49" si="248">BY45/BY14</f>
        <v>0.41099768379514456</v>
      </c>
      <c r="BZ49" s="42">
        <f t="shared" ref="BZ49" si="249">BZ45/BZ14</f>
        <v>0.421415068863084</v>
      </c>
      <c r="CA49" s="49">
        <f>CA45/CA14</f>
        <v>0.41923970783532538</v>
      </c>
      <c r="CB49" s="49">
        <f>CB45/CB14</f>
        <v>0.42588808550770196</v>
      </c>
      <c r="CC49" s="49">
        <f>CC45/CC14</f>
        <v>0.45308516063233045</v>
      </c>
      <c r="CD49" s="49">
        <f t="shared" ref="CD49:CE49" si="250">CD45/CD14</f>
        <v>0.45047034764826177</v>
      </c>
      <c r="CE49" s="42">
        <f t="shared" si="250"/>
        <v>0.43697065397945162</v>
      </c>
      <c r="CF49" s="49">
        <f>CF45/CF14</f>
        <v>0.43365983971504896</v>
      </c>
      <c r="CG49" s="49">
        <f>CG45/CG14</f>
        <v>0.44608452454940956</v>
      </c>
      <c r="CH49" s="49">
        <f>CH45/CH14</f>
        <v>0.44785738198861735</v>
      </c>
      <c r="CI49" s="49">
        <f t="shared" ref="CI49:CJ49" si="251">CI45/CI14</f>
        <v>0.41723598650094657</v>
      </c>
      <c r="CJ49" s="42">
        <f t="shared" si="251"/>
        <v>0.43629617614857469</v>
      </c>
      <c r="CK49" s="49">
        <f>CK45/CK14</f>
        <v>0.42183421834218343</v>
      </c>
      <c r="CL49" s="49">
        <f>CL45/CL14</f>
        <v>0.41983263598326359</v>
      </c>
      <c r="CM49" s="49">
        <f>CM45/CM14</f>
        <v>0.4337006427915519</v>
      </c>
      <c r="CN49" s="49">
        <f>CN45/CN14</f>
        <v>0.40471987364117812</v>
      </c>
      <c r="CO49" s="42">
        <f t="shared" ref="CO49" si="252">CO45/CO14</f>
        <v>0.42006977680368562</v>
      </c>
      <c r="CP49" s="49">
        <f>CP45/CP14</f>
        <v>0.39728920964618908</v>
      </c>
      <c r="CQ49" s="49">
        <f>CQ45/CQ14</f>
        <v>0.38073243154074565</v>
      </c>
      <c r="CR49" s="49">
        <f>CR45/CR14</f>
        <v>0.41218670541227753</v>
      </c>
      <c r="CS49" s="49">
        <f>CS45/CS14</f>
        <v>0.37775083923908992</v>
      </c>
      <c r="CT49" s="42">
        <f t="shared" ref="CT49" si="253">CT45/CT14</f>
        <v>0.39184467736942197</v>
      </c>
      <c r="CU49" s="49">
        <f>CU45/CU14</f>
        <v>0.37819576333089849</v>
      </c>
      <c r="CV49" s="6"/>
      <c r="CW49" s="6"/>
      <c r="CX49" s="6"/>
      <c r="CY49" s="79"/>
      <c r="CZ49" s="6"/>
      <c r="DA49" s="6"/>
      <c r="DB49" s="6"/>
      <c r="DC49" s="6"/>
      <c r="DD49" s="79"/>
      <c r="DE49" s="6"/>
      <c r="DF49" s="6"/>
      <c r="DG49" s="6"/>
      <c r="DH49" s="6"/>
      <c r="DI49" s="79"/>
    </row>
    <row r="50" spans="1:113" ht="12" hidden="1" customHeight="1" outlineLevel="1">
      <c r="A50" s="219"/>
      <c r="B50" s="491"/>
      <c r="C50" s="550"/>
      <c r="D50" s="549"/>
      <c r="E50" s="550"/>
      <c r="F50" s="549"/>
      <c r="G50" s="550"/>
      <c r="H50" s="549"/>
      <c r="I50" s="550"/>
      <c r="J50" s="549"/>
      <c r="K50" s="550"/>
      <c r="L50" s="549"/>
      <c r="M50" s="550"/>
      <c r="N50" s="549"/>
      <c r="O50" s="550"/>
      <c r="P50" s="549"/>
      <c r="Q50" s="550"/>
      <c r="R50" s="6"/>
      <c r="S50" s="6"/>
      <c r="T50" s="6"/>
      <c r="U50" s="6"/>
      <c r="V50" s="79"/>
      <c r="W50" s="6"/>
      <c r="X50" s="6"/>
      <c r="Y50" s="6"/>
      <c r="Z50" s="6"/>
      <c r="AA50" s="79"/>
      <c r="AB50" s="79"/>
      <c r="AC50" s="6"/>
      <c r="AD50" s="6"/>
      <c r="AE50" s="6"/>
      <c r="AF50" s="6"/>
      <c r="AG50" s="79"/>
      <c r="AH50" s="6"/>
      <c r="AI50" s="6"/>
      <c r="AJ50" s="6"/>
      <c r="AK50" s="6"/>
      <c r="AL50" s="79"/>
      <c r="AM50" s="6"/>
      <c r="AN50" s="6"/>
      <c r="AO50" s="6"/>
      <c r="AP50" s="6"/>
      <c r="AQ50" s="79"/>
      <c r="AR50" s="6"/>
      <c r="AS50" s="6"/>
      <c r="AT50" s="6"/>
      <c r="AU50" s="6"/>
      <c r="AV50" s="79"/>
      <c r="AW50" s="6"/>
      <c r="AX50" s="6"/>
      <c r="AY50" s="6"/>
      <c r="AZ50" s="6"/>
      <c r="BA50" s="79"/>
      <c r="BB50" s="6"/>
      <c r="BC50" s="6"/>
      <c r="BD50" s="6"/>
      <c r="BE50" s="6"/>
      <c r="BF50" s="79"/>
      <c r="BG50" s="6"/>
      <c r="BH50" s="6"/>
      <c r="BI50" s="6"/>
      <c r="BJ50" s="6"/>
      <c r="BK50" s="79"/>
      <c r="BL50" s="43"/>
      <c r="BM50" s="6"/>
      <c r="BN50" s="6"/>
      <c r="BO50" s="6"/>
      <c r="BP50" s="79"/>
      <c r="BQ50" s="43"/>
      <c r="BR50" s="6"/>
      <c r="BS50" s="6"/>
      <c r="BT50" s="6"/>
      <c r="BU50" s="79"/>
      <c r="BV50" s="43"/>
      <c r="BW50" s="43"/>
      <c r="BX50" s="43"/>
      <c r="BY50" s="6"/>
      <c r="BZ50" s="79"/>
      <c r="CA50" s="6"/>
      <c r="CB50" s="6"/>
      <c r="CC50" s="6"/>
      <c r="CD50" s="6"/>
      <c r="CE50" s="79"/>
      <c r="CF50" s="6"/>
      <c r="CG50" s="6"/>
      <c r="CH50" s="6"/>
      <c r="CI50" s="6"/>
      <c r="CJ50" s="79"/>
      <c r="CK50" s="6"/>
      <c r="CL50" s="6"/>
      <c r="CM50" s="6"/>
      <c r="CN50" s="6"/>
      <c r="CO50" s="79"/>
      <c r="CP50" s="6"/>
      <c r="CQ50" s="6"/>
      <c r="CR50" s="6"/>
      <c r="CS50" s="6"/>
      <c r="CT50" s="79"/>
      <c r="CU50" s="6"/>
      <c r="CV50" s="6"/>
      <c r="CW50" s="6"/>
      <c r="CX50" s="6"/>
      <c r="CY50" s="79"/>
      <c r="CZ50" s="6"/>
      <c r="DA50" s="6"/>
      <c r="DB50" s="6"/>
      <c r="DC50" s="6"/>
      <c r="DD50" s="79"/>
      <c r="DE50" s="6"/>
      <c r="DF50" s="6"/>
      <c r="DG50" s="6"/>
      <c r="DH50" s="6"/>
      <c r="DI50" s="79"/>
    </row>
    <row r="51" spans="1:113" s="7" customFormat="1" ht="12" hidden="1" customHeight="1" outlineLevel="1">
      <c r="A51" s="219" t="str">
        <f t="shared" si="0"/>
        <v xml:space="preserve"> </v>
      </c>
      <c r="B51" s="551" t="s">
        <v>178</v>
      </c>
      <c r="C51" s="36"/>
      <c r="D51" s="43"/>
      <c r="E51" s="36"/>
      <c r="F51" s="43"/>
      <c r="G51" s="36"/>
      <c r="H51" s="43"/>
      <c r="I51" s="36"/>
      <c r="J51" s="43"/>
      <c r="K51" s="36"/>
      <c r="L51" s="43"/>
      <c r="M51" s="36"/>
      <c r="N51" s="43"/>
      <c r="O51" s="36"/>
      <c r="P51" s="43"/>
      <c r="Q51" s="36"/>
      <c r="R51" s="542" t="s">
        <v>126</v>
      </c>
      <c r="S51" s="543" t="s">
        <v>126</v>
      </c>
      <c r="T51" s="543" t="s">
        <v>126</v>
      </c>
      <c r="U51" s="543" t="s">
        <v>126</v>
      </c>
      <c r="V51" s="544" t="s">
        <v>126</v>
      </c>
      <c r="W51" s="542" t="s">
        <v>126</v>
      </c>
      <c r="X51" s="543" t="s">
        <v>126</v>
      </c>
      <c r="Y51" s="543" t="s">
        <v>126</v>
      </c>
      <c r="Z51" s="543" t="s">
        <v>126</v>
      </c>
      <c r="AA51" s="544" t="s">
        <v>126</v>
      </c>
      <c r="AB51" s="544"/>
      <c r="AC51" s="542" t="s">
        <v>126</v>
      </c>
      <c r="AD51" s="543" t="s">
        <v>126</v>
      </c>
      <c r="AE51" s="543" t="s">
        <v>126</v>
      </c>
      <c r="AF51" s="543" t="s">
        <v>126</v>
      </c>
      <c r="AG51" s="544" t="s">
        <v>126</v>
      </c>
      <c r="AH51" s="43">
        <v>5135</v>
      </c>
      <c r="AI51" s="43">
        <v>4882</v>
      </c>
      <c r="AJ51" s="43">
        <v>5169</v>
      </c>
      <c r="AK51" s="43">
        <v>5497</v>
      </c>
      <c r="AL51" s="36">
        <f>SUM(AH51:AK51)</f>
        <v>20683</v>
      </c>
      <c r="AM51" s="43">
        <v>5689</v>
      </c>
      <c r="AN51" s="43">
        <v>5451</v>
      </c>
      <c r="AO51" s="43">
        <v>5227</v>
      </c>
      <c r="AP51" s="43">
        <f>21952-AO51-AN51-AM51</f>
        <v>5585</v>
      </c>
      <c r="AQ51" s="36">
        <f>SUM(AM51:AP51)</f>
        <v>21952</v>
      </c>
      <c r="AR51" s="43">
        <v>5940</v>
      </c>
      <c r="AS51" s="43">
        <v>5558</v>
      </c>
      <c r="AT51" s="43">
        <v>5493</v>
      </c>
      <c r="AU51" s="43">
        <v>5586</v>
      </c>
      <c r="AV51" s="36">
        <f>SUM(AR51:AU51)</f>
        <v>22577</v>
      </c>
      <c r="AW51" s="43">
        <v>6139</v>
      </c>
      <c r="AX51" s="43">
        <v>5559</v>
      </c>
      <c r="AY51" s="43">
        <v>5618</v>
      </c>
      <c r="AZ51" s="43">
        <v>5762</v>
      </c>
      <c r="BA51" s="36">
        <f>SUM(AW51:AZ51)</f>
        <v>23078</v>
      </c>
      <c r="BB51" s="43">
        <v>6030</v>
      </c>
      <c r="BC51" s="43">
        <v>5629</v>
      </c>
      <c r="BD51" s="43">
        <v>5863</v>
      </c>
      <c r="BE51" s="43">
        <f>BF51-SUM(BB51:BD51)</f>
        <v>6447</v>
      </c>
      <c r="BF51" s="36">
        <v>23969</v>
      </c>
      <c r="BG51" s="43">
        <v>6550</v>
      </c>
      <c r="BH51" s="43">
        <v>6106</v>
      </c>
      <c r="BI51" s="43">
        <v>6174</v>
      </c>
      <c r="BJ51" s="43">
        <f>BK51-SUM(BG51:BI51)</f>
        <v>6593</v>
      </c>
      <c r="BK51" s="36">
        <v>25423</v>
      </c>
      <c r="BL51" s="43">
        <v>6842</v>
      </c>
      <c r="BM51" s="43">
        <v>6578</v>
      </c>
      <c r="BN51" s="43">
        <v>6311</v>
      </c>
      <c r="BO51" s="369">
        <f>23156-BN51-BM51-BL51</f>
        <v>3425</v>
      </c>
      <c r="BP51" s="36">
        <f>SUM(BL51:BO51)</f>
        <v>23156</v>
      </c>
      <c r="BQ51" s="369">
        <v>6364</v>
      </c>
      <c r="BR51" s="369">
        <v>6423</v>
      </c>
      <c r="BS51" s="43">
        <v>5814</v>
      </c>
      <c r="BT51" s="43">
        <f>25898-BS51-BR51-BQ51</f>
        <v>7297</v>
      </c>
      <c r="BU51" s="36">
        <f>SUM(BQ51:BT51)</f>
        <v>25898</v>
      </c>
      <c r="BV51" s="369">
        <v>6943</v>
      </c>
      <c r="BW51" s="369">
        <v>6119</v>
      </c>
      <c r="BX51" s="43">
        <v>5728</v>
      </c>
      <c r="BY51" s="43">
        <f>25608-BX51-BW51-BV51</f>
        <v>6818</v>
      </c>
      <c r="BZ51" s="36">
        <f>SUM(BV51:BY51)</f>
        <v>25608</v>
      </c>
      <c r="CA51" s="369">
        <v>6983</v>
      </c>
      <c r="CB51" s="369">
        <v>7287</v>
      </c>
      <c r="CC51" s="369">
        <v>6423</v>
      </c>
      <c r="CD51" s="43">
        <f>27397-CA51-CB51-CC51</f>
        <v>6704</v>
      </c>
      <c r="CE51" s="36">
        <f>SUM(CA51:CD51)</f>
        <v>27397</v>
      </c>
      <c r="CF51" s="369">
        <v>6983</v>
      </c>
      <c r="CG51" s="369">
        <v>7118</v>
      </c>
      <c r="CH51" s="369">
        <v>6588</v>
      </c>
      <c r="CI51" s="43">
        <f>27758-CH51-CG51-CF51</f>
        <v>7069</v>
      </c>
      <c r="CJ51" s="36">
        <f>SUM(CF51:CI51)</f>
        <v>27758</v>
      </c>
      <c r="CK51" s="369">
        <v>6410</v>
      </c>
      <c r="CL51" s="369">
        <v>6920</v>
      </c>
      <c r="CM51" s="369">
        <v>6155</v>
      </c>
      <c r="CN51" s="43">
        <f>25883-CK51-CL51-CM51</f>
        <v>6398</v>
      </c>
      <c r="CO51" s="36">
        <f>SUM(CK51:CN51)</f>
        <v>25883</v>
      </c>
      <c r="CP51" s="369">
        <v>6839</v>
      </c>
      <c r="CQ51" s="369">
        <v>7499</v>
      </c>
      <c r="CR51" s="369">
        <v>6466</v>
      </c>
      <c r="CS51" s="43">
        <f>27453-CR51-CQ51-CP51</f>
        <v>6649</v>
      </c>
      <c r="CT51" s="36">
        <f>CP51+CQ51+CR51+CS51</f>
        <v>27453</v>
      </c>
      <c r="CU51" s="369">
        <v>6804</v>
      </c>
      <c r="CV51" s="43"/>
      <c r="CW51" s="43"/>
      <c r="CX51" s="43"/>
      <c r="CY51" s="36"/>
      <c r="CZ51" s="43"/>
      <c r="DA51" s="43"/>
      <c r="DB51" s="43"/>
      <c r="DC51" s="43"/>
      <c r="DD51" s="36"/>
      <c r="DE51" s="43"/>
      <c r="DF51" s="43"/>
      <c r="DG51" s="43"/>
      <c r="DH51" s="43"/>
      <c r="DI51" s="36"/>
    </row>
    <row r="52" spans="1:113" s="524" customFormat="1" ht="12" hidden="1" customHeight="1" outlineLevel="1">
      <c r="A52" s="219" t="str">
        <f t="shared" si="0"/>
        <v xml:space="preserve"> </v>
      </c>
      <c r="B52" s="547" t="s">
        <v>171</v>
      </c>
      <c r="C52" s="492"/>
      <c r="D52" s="522"/>
      <c r="E52" s="492"/>
      <c r="F52" s="522"/>
      <c r="G52" s="492"/>
      <c r="H52" s="522"/>
      <c r="I52" s="492"/>
      <c r="J52" s="522"/>
      <c r="K52" s="492"/>
      <c r="L52" s="522"/>
      <c r="M52" s="492"/>
      <c r="N52" s="522"/>
      <c r="O52" s="492"/>
      <c r="P52" s="522"/>
      <c r="Q52" s="492"/>
      <c r="R52" s="378" t="s">
        <v>126</v>
      </c>
      <c r="S52" s="522" t="s">
        <v>126</v>
      </c>
      <c r="T52" s="522" t="s">
        <v>126</v>
      </c>
      <c r="U52" s="522" t="s">
        <v>126</v>
      </c>
      <c r="V52" s="492" t="s">
        <v>126</v>
      </c>
      <c r="W52" s="378" t="s">
        <v>126</v>
      </c>
      <c r="X52" s="522" t="s">
        <v>126</v>
      </c>
      <c r="Y52" s="522" t="s">
        <v>126</v>
      </c>
      <c r="Z52" s="522" t="s">
        <v>126</v>
      </c>
      <c r="AA52" s="492" t="s">
        <v>126</v>
      </c>
      <c r="AB52" s="492"/>
      <c r="AC52" s="378" t="s">
        <v>126</v>
      </c>
      <c r="AD52" s="522" t="s">
        <v>126</v>
      </c>
      <c r="AE52" s="522" t="s">
        <v>126</v>
      </c>
      <c r="AF52" s="522" t="s">
        <v>126</v>
      </c>
      <c r="AG52" s="492" t="s">
        <v>126</v>
      </c>
      <c r="AH52" s="378" t="s">
        <v>126</v>
      </c>
      <c r="AI52" s="522" t="s">
        <v>126</v>
      </c>
      <c r="AJ52" s="522" t="s">
        <v>126</v>
      </c>
      <c r="AK52" s="522" t="s">
        <v>126</v>
      </c>
      <c r="AL52" s="492" t="s">
        <v>126</v>
      </c>
      <c r="AM52" s="52">
        <f t="shared" ref="AM52:BN52" si="254">+AM51/AH51-1</f>
        <v>0.10788704965920148</v>
      </c>
      <c r="AN52" s="52">
        <f t="shared" si="254"/>
        <v>0.11655059401884471</v>
      </c>
      <c r="AO52" s="52">
        <f t="shared" si="254"/>
        <v>1.1220739021087223E-2</v>
      </c>
      <c r="AP52" s="52">
        <f t="shared" si="254"/>
        <v>1.6008732035655893E-2</v>
      </c>
      <c r="AQ52" s="112">
        <f t="shared" si="254"/>
        <v>6.1354735773340385E-2</v>
      </c>
      <c r="AR52" s="52">
        <f t="shared" si="254"/>
        <v>4.412023202671822E-2</v>
      </c>
      <c r="AS52" s="52">
        <f t="shared" si="254"/>
        <v>1.9629425793432409E-2</v>
      </c>
      <c r="AT52" s="52">
        <f t="shared" si="254"/>
        <v>5.0889611631911302E-2</v>
      </c>
      <c r="AU52" s="52">
        <f t="shared" si="254"/>
        <v>1.790510295434089E-4</v>
      </c>
      <c r="AV52" s="112">
        <f t="shared" si="254"/>
        <v>2.8471209912536377E-2</v>
      </c>
      <c r="AW52" s="52">
        <f t="shared" si="254"/>
        <v>3.3501683501683477E-2</v>
      </c>
      <c r="AX52" s="52">
        <f t="shared" si="254"/>
        <v>1.7992083483275856E-4</v>
      </c>
      <c r="AY52" s="52">
        <f t="shared" si="254"/>
        <v>2.2756235208447162E-2</v>
      </c>
      <c r="AZ52" s="52">
        <f t="shared" si="254"/>
        <v>3.1507339778016563E-2</v>
      </c>
      <c r="BA52" s="112">
        <f t="shared" si="254"/>
        <v>2.219072507419062E-2</v>
      </c>
      <c r="BB52" s="52">
        <f t="shared" si="254"/>
        <v>-1.7755334745072515E-2</v>
      </c>
      <c r="BC52" s="52">
        <f t="shared" si="254"/>
        <v>1.2592192840438887E-2</v>
      </c>
      <c r="BD52" s="52">
        <f t="shared" si="254"/>
        <v>4.3609825560697812E-2</v>
      </c>
      <c r="BE52" s="52">
        <f t="shared" si="254"/>
        <v>0.11888233252342939</v>
      </c>
      <c r="BF52" s="112">
        <f t="shared" si="254"/>
        <v>3.860819828408002E-2</v>
      </c>
      <c r="BG52" s="52">
        <f t="shared" si="254"/>
        <v>8.6235489220563899E-2</v>
      </c>
      <c r="BH52" s="52">
        <f t="shared" si="254"/>
        <v>8.4739740628886118E-2</v>
      </c>
      <c r="BI52" s="52">
        <f t="shared" si="254"/>
        <v>5.3044516459150648E-2</v>
      </c>
      <c r="BJ52" s="52">
        <f t="shared" si="254"/>
        <v>2.2646192027299561E-2</v>
      </c>
      <c r="BK52" s="112">
        <f t="shared" si="254"/>
        <v>6.0661688013684323E-2</v>
      </c>
      <c r="BL52" s="52">
        <f t="shared" si="254"/>
        <v>4.4580152671755746E-2</v>
      </c>
      <c r="BM52" s="52">
        <f t="shared" si="254"/>
        <v>7.7301015394693806E-2</v>
      </c>
      <c r="BN52" s="52">
        <f t="shared" si="254"/>
        <v>2.2189828312277227E-2</v>
      </c>
      <c r="BO52" s="52">
        <f t="shared" ref="BO52" si="255">+BO51/BJ51-1</f>
        <v>-0.48050963142727132</v>
      </c>
      <c r="BP52" s="112">
        <f t="shared" ref="BP52:BU52" si="256">+BP51/BK51-1</f>
        <v>-8.917122290839008E-2</v>
      </c>
      <c r="BQ52" s="52">
        <f t="shared" si="256"/>
        <v>-6.9862613270973428E-2</v>
      </c>
      <c r="BR52" s="52">
        <f t="shared" si="256"/>
        <v>-2.3563393128610555E-2</v>
      </c>
      <c r="BS52" s="52">
        <f t="shared" si="256"/>
        <v>-7.8751386468071671E-2</v>
      </c>
      <c r="BT52" s="52">
        <f t="shared" si="256"/>
        <v>1.1305109489051093</v>
      </c>
      <c r="BU52" s="112">
        <f t="shared" si="256"/>
        <v>0.1184142338918639</v>
      </c>
      <c r="BV52" s="52">
        <f t="shared" ref="BV52" si="257">+BV51/BQ51-1</f>
        <v>9.098051539912011E-2</v>
      </c>
      <c r="BW52" s="52">
        <f t="shared" ref="BW52:CC52" si="258">+BW51/BR51-1</f>
        <v>-4.7329908142612509E-2</v>
      </c>
      <c r="BX52" s="52">
        <f t="shared" si="258"/>
        <v>-1.4791881664946716E-2</v>
      </c>
      <c r="BY52" s="52">
        <f t="shared" si="258"/>
        <v>-6.5643415102096703E-2</v>
      </c>
      <c r="BZ52" s="112">
        <f t="shared" si="258"/>
        <v>-1.1197775890030126E-2</v>
      </c>
      <c r="CA52" s="52">
        <f t="shared" si="258"/>
        <v>5.7611983292524815E-3</v>
      </c>
      <c r="CB52" s="52">
        <f t="shared" si="258"/>
        <v>0.19088086288609252</v>
      </c>
      <c r="CC52" s="52">
        <f t="shared" si="258"/>
        <v>0.12133379888268148</v>
      </c>
      <c r="CD52" s="52">
        <f t="shared" ref="CD52" si="259">+CD51/BY51-1</f>
        <v>-1.6720445878556811E-2</v>
      </c>
      <c r="CE52" s="112">
        <f t="shared" ref="CE52:CH52" si="260">+CE51/BZ51-1</f>
        <v>6.9860980943455164E-2</v>
      </c>
      <c r="CF52" s="52">
        <f t="shared" si="260"/>
        <v>0</v>
      </c>
      <c r="CG52" s="52">
        <f t="shared" si="260"/>
        <v>-2.3191985728008735E-2</v>
      </c>
      <c r="CH52" s="52">
        <f t="shared" si="260"/>
        <v>2.5688930406352117E-2</v>
      </c>
      <c r="CI52" s="52">
        <f t="shared" ref="CI52" si="261">+CI51/CD51-1</f>
        <v>5.4445107398568116E-2</v>
      </c>
      <c r="CJ52" s="112">
        <f t="shared" ref="CJ52:CU52" si="262">+CJ51/CE51-1</f>
        <v>1.3176625177939272E-2</v>
      </c>
      <c r="CK52" s="52">
        <f t="shared" si="262"/>
        <v>-8.205642274094227E-2</v>
      </c>
      <c r="CL52" s="52">
        <f t="shared" si="262"/>
        <v>-2.7816802472604651E-2</v>
      </c>
      <c r="CM52" s="52">
        <f t="shared" si="262"/>
        <v>-6.5725561627201001E-2</v>
      </c>
      <c r="CN52" s="52">
        <f t="shared" si="262"/>
        <v>-9.4921488187862502E-2</v>
      </c>
      <c r="CO52" s="112">
        <f t="shared" si="262"/>
        <v>-6.7548094243101042E-2</v>
      </c>
      <c r="CP52" s="52">
        <f t="shared" si="262"/>
        <v>6.6926677067082663E-2</v>
      </c>
      <c r="CQ52" s="52">
        <f t="shared" si="262"/>
        <v>8.3670520231213796E-2</v>
      </c>
      <c r="CR52" s="52">
        <f t="shared" si="262"/>
        <v>5.0528025995125958E-2</v>
      </c>
      <c r="CS52" s="52">
        <f t="shared" si="262"/>
        <v>3.9231009690528396E-2</v>
      </c>
      <c r="CT52" s="112">
        <f>CT51/CO51-1</f>
        <v>6.0657574469729081E-2</v>
      </c>
      <c r="CU52" s="52">
        <f t="shared" si="262"/>
        <v>-5.1177072671443335E-3</v>
      </c>
      <c r="CV52" s="111"/>
      <c r="CW52" s="111"/>
      <c r="CX52" s="111"/>
      <c r="CY52" s="229"/>
      <c r="CZ52" s="111"/>
      <c r="DA52" s="111"/>
      <c r="DB52" s="111"/>
      <c r="DC52" s="111"/>
      <c r="DD52" s="229"/>
      <c r="DE52" s="111"/>
      <c r="DF52" s="111"/>
      <c r="DG52" s="111"/>
      <c r="DH52" s="111"/>
      <c r="DI52" s="229"/>
    </row>
    <row r="53" spans="1:113" s="530" customFormat="1" ht="12" hidden="1" customHeight="1" outlineLevel="1">
      <c r="A53" s="552" t="str">
        <f t="shared" si="0"/>
        <v xml:space="preserve"> </v>
      </c>
      <c r="B53" s="553" t="s">
        <v>173</v>
      </c>
      <c r="C53" s="492"/>
      <c r="D53" s="522"/>
      <c r="E53" s="492"/>
      <c r="F53" s="522"/>
      <c r="G53" s="492"/>
      <c r="H53" s="522"/>
      <c r="I53" s="492"/>
      <c r="J53" s="522"/>
      <c r="K53" s="492"/>
      <c r="L53" s="522"/>
      <c r="M53" s="492"/>
      <c r="N53" s="522"/>
      <c r="O53" s="492"/>
      <c r="P53" s="522"/>
      <c r="Q53" s="492"/>
      <c r="R53" s="378" t="s">
        <v>126</v>
      </c>
      <c r="S53" s="522" t="s">
        <v>126</v>
      </c>
      <c r="T53" s="522" t="s">
        <v>126</v>
      </c>
      <c r="U53" s="522" t="s">
        <v>126</v>
      </c>
      <c r="V53" s="492" t="s">
        <v>126</v>
      </c>
      <c r="W53" s="378" t="s">
        <v>126</v>
      </c>
      <c r="X53" s="522" t="s">
        <v>126</v>
      </c>
      <c r="Y53" s="522" t="s">
        <v>126</v>
      </c>
      <c r="Z53" s="522" t="s">
        <v>126</v>
      </c>
      <c r="AA53" s="492" t="s">
        <v>126</v>
      </c>
      <c r="AB53" s="492"/>
      <c r="AC53" s="378" t="s">
        <v>126</v>
      </c>
      <c r="AD53" s="522" t="s">
        <v>126</v>
      </c>
      <c r="AE53" s="522" t="s">
        <v>126</v>
      </c>
      <c r="AF53" s="522" t="s">
        <v>126</v>
      </c>
      <c r="AG53" s="492" t="s">
        <v>126</v>
      </c>
      <c r="AH53" s="378" t="s">
        <v>126</v>
      </c>
      <c r="AI53" s="522" t="s">
        <v>126</v>
      </c>
      <c r="AJ53" s="522" t="s">
        <v>126</v>
      </c>
      <c r="AK53" s="522" t="s">
        <v>126</v>
      </c>
      <c r="AL53" s="492" t="s">
        <v>126</v>
      </c>
      <c r="AM53" s="378" t="s">
        <v>126</v>
      </c>
      <c r="AN53" s="522" t="s">
        <v>126</v>
      </c>
      <c r="AO53" s="522" t="s">
        <v>126</v>
      </c>
      <c r="AP53" s="522" t="s">
        <v>126</v>
      </c>
      <c r="AQ53" s="112">
        <v>0.1</v>
      </c>
      <c r="AR53" s="52">
        <v>0.13</v>
      </c>
      <c r="AS53" s="52">
        <v>0.09</v>
      </c>
      <c r="AT53" s="52">
        <v>0.11</v>
      </c>
      <c r="AU53" s="52">
        <v>0.09</v>
      </c>
      <c r="AV53" s="112">
        <v>0.09</v>
      </c>
      <c r="AW53" s="52">
        <v>0.06</v>
      </c>
      <c r="AX53" s="52">
        <v>0.02</v>
      </c>
      <c r="AY53" s="52">
        <v>0.05</v>
      </c>
      <c r="AZ53" s="52">
        <v>5.1507339778016567E-2</v>
      </c>
      <c r="BA53" s="112">
        <v>0.05</v>
      </c>
      <c r="BB53" s="52">
        <v>-0.01</v>
      </c>
      <c r="BC53" s="52">
        <v>0</v>
      </c>
      <c r="BD53" s="522">
        <v>0.01</v>
      </c>
      <c r="BE53" s="52">
        <f>(1+BE52)/(1+BE54)-1</f>
        <v>7.9147524737093189E-2</v>
      </c>
      <c r="BF53" s="492">
        <v>0.02</v>
      </c>
      <c r="BG53" s="378">
        <v>0.09</v>
      </c>
      <c r="BH53" s="378">
        <v>0.13</v>
      </c>
      <c r="BI53" s="522">
        <v>0.1</v>
      </c>
      <c r="BJ53" s="52">
        <f>(1+BJ52)/(1+BJ54)-1</f>
        <v>8.3238886556582958E-2</v>
      </c>
      <c r="BK53" s="492">
        <v>0.1</v>
      </c>
      <c r="BL53" s="522">
        <v>0.08</v>
      </c>
      <c r="BM53" s="522">
        <v>0.1</v>
      </c>
      <c r="BN53" s="522">
        <v>0.04</v>
      </c>
      <c r="BO53" s="52">
        <f>(1+BO52)/(1+BO54)-1</f>
        <v>-0.4743280478164611</v>
      </c>
      <c r="BP53" s="492">
        <v>-7.0000000000000007E-2</v>
      </c>
      <c r="BQ53" s="522">
        <v>-0.06</v>
      </c>
      <c r="BR53" s="554">
        <v>-0.04</v>
      </c>
      <c r="BS53" s="522">
        <v>-0.11</v>
      </c>
      <c r="BT53" s="52">
        <f>(1+BT52)/(1+BT54)-1</f>
        <v>1.0553688667235663</v>
      </c>
      <c r="BU53" s="113">
        <v>0.1</v>
      </c>
      <c r="BV53" s="522">
        <v>0.05</v>
      </c>
      <c r="BW53" s="554">
        <v>-0.06</v>
      </c>
      <c r="BX53" s="522">
        <v>0.01</v>
      </c>
      <c r="BY53" s="52">
        <f>(1+BY52)/(1+BY54)-1</f>
        <v>-3.6110391974976452E-2</v>
      </c>
      <c r="BZ53" s="113">
        <v>-0.01</v>
      </c>
      <c r="CA53" s="522">
        <v>0.08</v>
      </c>
      <c r="CB53" s="554">
        <v>0.3</v>
      </c>
      <c r="CC53" s="522">
        <v>0.18</v>
      </c>
      <c r="CD53" s="52">
        <v>0.02</v>
      </c>
      <c r="CE53" s="492">
        <v>0.14000000000000001</v>
      </c>
      <c r="CF53" s="554">
        <v>0.01</v>
      </c>
      <c r="CG53" s="554">
        <v>-0.03</v>
      </c>
      <c r="CH53" s="554">
        <v>0.03</v>
      </c>
      <c r="CI53" s="522">
        <v>0.08</v>
      </c>
      <c r="CJ53" s="492">
        <v>0.02</v>
      </c>
      <c r="CK53" s="522">
        <v>-7.0000000000000007E-2</v>
      </c>
      <c r="CL53" s="522">
        <v>-0.04</v>
      </c>
      <c r="CM53" s="522">
        <v>-0.04</v>
      </c>
      <c r="CN53" s="522">
        <v>-0.09</v>
      </c>
      <c r="CO53" s="492">
        <v>-0.06</v>
      </c>
      <c r="CP53" s="522">
        <v>0.05</v>
      </c>
      <c r="CQ53" s="522">
        <v>0.08</v>
      </c>
      <c r="CR53" s="522">
        <v>0.01</v>
      </c>
      <c r="CS53" s="522">
        <v>0.01</v>
      </c>
      <c r="CT53" s="492">
        <v>0.04</v>
      </c>
      <c r="CU53" s="522">
        <v>-0.01</v>
      </c>
      <c r="CV53" s="522"/>
      <c r="CW53" s="522"/>
      <c r="CX53" s="522"/>
      <c r="CY53" s="492"/>
      <c r="CZ53" s="522"/>
      <c r="DA53" s="522"/>
      <c r="DB53" s="522"/>
      <c r="DC53" s="522"/>
      <c r="DD53" s="492"/>
      <c r="DE53" s="522"/>
      <c r="DF53" s="522"/>
      <c r="DG53" s="522"/>
      <c r="DH53" s="522"/>
      <c r="DI53" s="492"/>
    </row>
    <row r="54" spans="1:113" s="3" customFormat="1" ht="12" hidden="1" customHeight="1" outlineLevel="1">
      <c r="A54" s="490" t="str">
        <f t="shared" si="0"/>
        <v xml:space="preserve"> </v>
      </c>
      <c r="B54" s="491" t="s">
        <v>141</v>
      </c>
      <c r="C54" s="492"/>
      <c r="D54" s="522"/>
      <c r="E54" s="492"/>
      <c r="F54" s="522"/>
      <c r="G54" s="492"/>
      <c r="H54" s="522"/>
      <c r="I54" s="492"/>
      <c r="J54" s="522"/>
      <c r="K54" s="492"/>
      <c r="L54" s="522"/>
      <c r="M54" s="492"/>
      <c r="N54" s="522"/>
      <c r="O54" s="492"/>
      <c r="P54" s="522"/>
      <c r="Q54" s="492"/>
      <c r="R54" s="378" t="s">
        <v>126</v>
      </c>
      <c r="S54" s="522" t="s">
        <v>126</v>
      </c>
      <c r="T54" s="522" t="s">
        <v>126</v>
      </c>
      <c r="U54" s="522" t="s">
        <v>126</v>
      </c>
      <c r="V54" s="492" t="s">
        <v>126</v>
      </c>
      <c r="W54" s="378" t="s">
        <v>126</v>
      </c>
      <c r="X54" s="522" t="s">
        <v>126</v>
      </c>
      <c r="Y54" s="522" t="s">
        <v>126</v>
      </c>
      <c r="Z54" s="522" t="s">
        <v>126</v>
      </c>
      <c r="AA54" s="492" t="s">
        <v>126</v>
      </c>
      <c r="AB54" s="492"/>
      <c r="AC54" s="378" t="s">
        <v>126</v>
      </c>
      <c r="AD54" s="522" t="s">
        <v>126</v>
      </c>
      <c r="AE54" s="522" t="s">
        <v>126</v>
      </c>
      <c r="AF54" s="522" t="s">
        <v>126</v>
      </c>
      <c r="AG54" s="492" t="s">
        <v>126</v>
      </c>
      <c r="AH54" s="217" t="s">
        <v>126</v>
      </c>
      <c r="AI54" s="52" t="s">
        <v>126</v>
      </c>
      <c r="AJ54" s="52" t="s">
        <v>126</v>
      </c>
      <c r="AK54" s="52" t="s">
        <v>126</v>
      </c>
      <c r="AL54" s="112" t="s">
        <v>126</v>
      </c>
      <c r="AM54" s="217" t="s">
        <v>126</v>
      </c>
      <c r="AN54" s="52" t="s">
        <v>126</v>
      </c>
      <c r="AO54" s="52" t="s">
        <v>126</v>
      </c>
      <c r="AP54" s="52" t="s">
        <v>126</v>
      </c>
      <c r="AQ54" s="112">
        <f t="shared" ref="AQ54:BG54" si="263">(1+AQ52)/(1+AQ53)-1</f>
        <v>-3.5132058387872478E-2</v>
      </c>
      <c r="AR54" s="52">
        <f t="shared" si="263"/>
        <v>-7.599979466662099E-2</v>
      </c>
      <c r="AS54" s="52">
        <f t="shared" si="263"/>
        <v>-6.4560159822539154E-2</v>
      </c>
      <c r="AT54" s="52">
        <f t="shared" si="263"/>
        <v>-5.3252602133413318E-2</v>
      </c>
      <c r="AU54" s="52">
        <f t="shared" si="263"/>
        <v>-8.2404540339868548E-2</v>
      </c>
      <c r="AV54" s="112">
        <f t="shared" si="263"/>
        <v>-5.6448431272902444E-2</v>
      </c>
      <c r="AW54" s="52">
        <f t="shared" si="263"/>
        <v>-2.4998411790864705E-2</v>
      </c>
      <c r="AX54" s="52">
        <f t="shared" si="263"/>
        <v>-1.9431450161928709E-2</v>
      </c>
      <c r="AY54" s="52">
        <f t="shared" si="263"/>
        <v>-2.5946442658621782E-2</v>
      </c>
      <c r="AZ54" s="52">
        <f t="shared" si="263"/>
        <v>-1.9020314213139211E-2</v>
      </c>
      <c r="BA54" s="112">
        <f t="shared" si="263"/>
        <v>-2.6485023738866076E-2</v>
      </c>
      <c r="BB54" s="52">
        <f t="shared" si="263"/>
        <v>-7.8336714596691781E-3</v>
      </c>
      <c r="BC54" s="52">
        <f t="shared" si="263"/>
        <v>1.2592192840438887E-2</v>
      </c>
      <c r="BD54" s="52">
        <f t="shared" si="263"/>
        <v>3.3277055010591861E-2</v>
      </c>
      <c r="BE54" s="52">
        <f>((BF54*SUM(AW51:AZ51))-BB54*AW51-BC54*AX51-BD54*AY51)/AZ51</f>
        <v>3.6820552218767844E-2</v>
      </c>
      <c r="BF54" s="112">
        <f t="shared" si="263"/>
        <v>1.8243331651058847E-2</v>
      </c>
      <c r="BG54" s="52">
        <f t="shared" si="263"/>
        <v>-3.4536796141616533E-3</v>
      </c>
      <c r="BH54" s="52">
        <f>(1+BH52)/(1+BH53)-1</f>
        <v>-4.0053326877091844E-2</v>
      </c>
      <c r="BI54" s="52">
        <f>(1+BI52)/(1+BI53)-1</f>
        <v>-4.2686803218954017E-2</v>
      </c>
      <c r="BJ54" s="52">
        <f>((BK54*SUM(BB51:BE51))-BG54*BB51-BH54*BC51-BI54*BD51)/BE51</f>
        <v>-5.5936594671094735E-2</v>
      </c>
      <c r="BK54" s="112">
        <f t="shared" ref="BK54:BX54" si="264">(1+BK52)/(1+BK53)-1</f>
        <v>-3.5762101805741575E-2</v>
      </c>
      <c r="BL54" s="52">
        <f t="shared" si="264"/>
        <v>-3.2796154933559585E-2</v>
      </c>
      <c r="BM54" s="52">
        <f t="shared" si="264"/>
        <v>-2.0635440550278439E-2</v>
      </c>
      <c r="BN54" s="52">
        <f t="shared" si="264"/>
        <v>-1.7125165084348803E-2</v>
      </c>
      <c r="BO54" s="52">
        <f>((BP54*SUM(BG51:BJ51))-BL54*BG51-BM54*BH51-BN54*BI51)/BJ51</f>
        <v>-1.175939401966019E-2</v>
      </c>
      <c r="BP54" s="112">
        <f t="shared" si="264"/>
        <v>-2.061421818106457E-2</v>
      </c>
      <c r="BQ54" s="52">
        <f t="shared" si="264"/>
        <v>-1.0492141777631248E-2</v>
      </c>
      <c r="BR54" s="52">
        <f t="shared" si="264"/>
        <v>1.7121465491030774E-2</v>
      </c>
      <c r="BS54" s="52">
        <f t="shared" si="264"/>
        <v>3.5110801721267793E-2</v>
      </c>
      <c r="BT54" s="52">
        <f>((BU54*SUM(BL51:BO51))-BQ54*BL51-BR54*BM51-BS54*BN51)/BO51</f>
        <v>3.6558927887881225E-2</v>
      </c>
      <c r="BU54" s="112">
        <f t="shared" si="264"/>
        <v>1.6740212628967077E-2</v>
      </c>
      <c r="BV54" s="52">
        <f t="shared" si="264"/>
        <v>3.9029062284876348E-2</v>
      </c>
      <c r="BW54" s="52">
        <f t="shared" si="264"/>
        <v>1.3478821124880414E-2</v>
      </c>
      <c r="BX54" s="52">
        <f t="shared" si="264"/>
        <v>-2.4546417490046268E-2</v>
      </c>
      <c r="BY54" s="52">
        <f>((BZ54*SUM(BQ51:BT51))-BV54*BQ51-BW54*BR51-BX54*BS51)/BT51</f>
        <v>-3.0639424765282378E-2</v>
      </c>
      <c r="BZ54" s="112">
        <f t="shared" ref="BZ54:CU54" si="265">(1+BZ52)/(1+BZ53)-1</f>
        <v>-1.2098746363941038E-3</v>
      </c>
      <c r="CA54" s="52">
        <f t="shared" si="265"/>
        <v>-6.8739631176618188E-2</v>
      </c>
      <c r="CB54" s="52">
        <f t="shared" si="265"/>
        <v>-8.3937797779928824E-2</v>
      </c>
      <c r="CC54" s="52">
        <f t="shared" si="265"/>
        <v>-4.9717119590947823E-2</v>
      </c>
      <c r="CD54" s="52">
        <f t="shared" si="265"/>
        <v>-3.6000437135840002E-2</v>
      </c>
      <c r="CE54" s="112">
        <f t="shared" si="265"/>
        <v>-6.152545531275877E-2</v>
      </c>
      <c r="CF54" s="52">
        <f t="shared" si="265"/>
        <v>-9.9009900990099098E-3</v>
      </c>
      <c r="CG54" s="52">
        <f t="shared" si="265"/>
        <v>7.0185714144239686E-3</v>
      </c>
      <c r="CH54" s="52">
        <f t="shared" si="265"/>
        <v>-4.1855044598523294E-3</v>
      </c>
      <c r="CI54" s="52">
        <f t="shared" si="265"/>
        <v>-2.3661937593918436E-2</v>
      </c>
      <c r="CJ54" s="112">
        <f t="shared" si="265"/>
        <v>-6.6895831588831278E-3</v>
      </c>
      <c r="CK54" s="52">
        <f t="shared" si="265"/>
        <v>-1.2963895420368021E-2</v>
      </c>
      <c r="CL54" s="52">
        <f t="shared" si="265"/>
        <v>1.2690830757703608E-2</v>
      </c>
      <c r="CM54" s="52">
        <f t="shared" si="265"/>
        <v>-2.6797460028334386E-2</v>
      </c>
      <c r="CN54" s="52">
        <f t="shared" si="265"/>
        <v>-5.4082287778709492E-3</v>
      </c>
      <c r="CO54" s="112">
        <f t="shared" si="265"/>
        <v>-8.0298874926606478E-3</v>
      </c>
      <c r="CP54" s="52">
        <f t="shared" si="265"/>
        <v>1.6120644825792896E-2</v>
      </c>
      <c r="CQ54" s="52">
        <f t="shared" si="265"/>
        <v>3.3986298437163054E-3</v>
      </c>
      <c r="CR54" s="52">
        <f t="shared" si="265"/>
        <v>4.0126758411015873E-2</v>
      </c>
      <c r="CS54" s="52">
        <f t="shared" si="265"/>
        <v>2.8941593752998429E-2</v>
      </c>
      <c r="CT54" s="112">
        <f t="shared" si="265"/>
        <v>1.9863052374739398E-2</v>
      </c>
      <c r="CU54" s="52">
        <f t="shared" si="265"/>
        <v>4.9316088210662468E-3</v>
      </c>
      <c r="CV54" s="549"/>
      <c r="CW54" s="549"/>
      <c r="CX54" s="549"/>
      <c r="CY54" s="550"/>
      <c r="CZ54" s="549"/>
      <c r="DA54" s="626"/>
      <c r="DB54" s="549"/>
      <c r="DC54" s="549"/>
      <c r="DD54" s="550"/>
      <c r="DE54" s="549"/>
      <c r="DF54" s="549"/>
      <c r="DG54" s="549"/>
      <c r="DH54" s="549"/>
      <c r="DI54" s="550"/>
    </row>
    <row r="55" spans="1:113" ht="12" hidden="1" customHeight="1" outlineLevel="1">
      <c r="A55" s="219"/>
      <c r="B55" s="17"/>
      <c r="C55" s="79"/>
      <c r="D55" s="6"/>
      <c r="E55" s="79"/>
      <c r="F55" s="6"/>
      <c r="G55" s="79"/>
      <c r="H55" s="6"/>
      <c r="I55" s="79"/>
      <c r="J55" s="6"/>
      <c r="K55" s="79"/>
      <c r="L55" s="6"/>
      <c r="M55" s="79"/>
      <c r="N55" s="6"/>
      <c r="O55" s="79"/>
      <c r="P55" s="6"/>
      <c r="Q55" s="79"/>
      <c r="R55" s="6"/>
      <c r="S55" s="6"/>
      <c r="T55" s="6"/>
      <c r="U55" s="6"/>
      <c r="V55" s="79"/>
      <c r="W55" s="6"/>
      <c r="X55" s="6"/>
      <c r="Y55" s="6"/>
      <c r="Z55" s="6"/>
      <c r="AA55" s="79"/>
      <c r="AB55" s="79"/>
      <c r="AC55" s="6"/>
      <c r="AD55" s="6"/>
      <c r="AE55" s="6"/>
      <c r="AF55" s="6"/>
      <c r="AG55" s="79"/>
      <c r="AH55" s="6"/>
      <c r="AI55" s="6"/>
      <c r="AJ55" s="6"/>
      <c r="AK55" s="6"/>
      <c r="AL55" s="79"/>
      <c r="AM55" s="6"/>
      <c r="AN55" s="6"/>
      <c r="AO55" s="6"/>
      <c r="AP55" s="6"/>
      <c r="AQ55" s="79"/>
      <c r="AR55" s="6"/>
      <c r="AS55" s="6"/>
      <c r="AT55" s="6"/>
      <c r="AU55" s="6"/>
      <c r="AV55" s="79"/>
      <c r="AW55" s="6"/>
      <c r="AX55" s="6"/>
      <c r="AY55" s="6"/>
      <c r="AZ55" s="6"/>
      <c r="BA55" s="79"/>
      <c r="BB55" s="6"/>
      <c r="BC55" s="6"/>
      <c r="BD55" s="6"/>
      <c r="BE55" s="6"/>
      <c r="BF55" s="79"/>
      <c r="BG55" s="6"/>
      <c r="BH55" s="6"/>
      <c r="BI55" s="6"/>
      <c r="BJ55" s="6"/>
      <c r="BK55" s="79"/>
      <c r="BL55" s="6"/>
      <c r="BM55" s="6"/>
      <c r="BN55" s="6"/>
      <c r="BO55" s="6"/>
      <c r="BP55" s="79"/>
      <c r="BQ55" s="6"/>
      <c r="BR55" s="6"/>
      <c r="BS55" s="6"/>
      <c r="BT55" s="6"/>
      <c r="BU55" s="79"/>
      <c r="BV55" s="6"/>
      <c r="BW55" s="6"/>
      <c r="BX55" s="6"/>
      <c r="BY55" s="6"/>
      <c r="BZ55" s="79"/>
      <c r="CA55" s="6"/>
      <c r="CB55" s="6"/>
      <c r="CC55" s="6"/>
      <c r="CD55" s="6"/>
      <c r="CE55" s="79"/>
      <c r="CF55" s="6"/>
      <c r="CG55" s="6"/>
      <c r="CH55" s="6"/>
      <c r="CI55" s="6"/>
      <c r="CJ55" s="79"/>
      <c r="CK55" s="6"/>
      <c r="CL55" s="6"/>
      <c r="CM55" s="6"/>
      <c r="CN55" s="6"/>
      <c r="CO55" s="79"/>
      <c r="CP55" s="6"/>
      <c r="CQ55" s="6"/>
      <c r="CR55" s="6"/>
      <c r="CS55" s="6"/>
      <c r="CT55" s="79"/>
      <c r="CU55" s="6"/>
      <c r="CV55" s="6"/>
      <c r="CW55" s="6"/>
      <c r="CX55" s="6"/>
      <c r="CY55" s="79"/>
      <c r="CZ55" s="6"/>
      <c r="DA55" s="6"/>
      <c r="DB55" s="6"/>
      <c r="DC55" s="6"/>
      <c r="DD55" s="79"/>
      <c r="DE55" s="6"/>
      <c r="DF55" s="6"/>
      <c r="DG55" s="6"/>
      <c r="DH55" s="6"/>
      <c r="DI55" s="79"/>
    </row>
    <row r="56" spans="1:113" s="531" customFormat="1" ht="12" hidden="1" customHeight="1" outlineLevel="1">
      <c r="A56" s="219" t="str">
        <f t="shared" si="0"/>
        <v xml:space="preserve"> </v>
      </c>
      <c r="B56" s="556" t="s">
        <v>164</v>
      </c>
      <c r="C56" s="81"/>
      <c r="D56" s="82"/>
      <c r="E56" s="81"/>
      <c r="F56" s="82"/>
      <c r="G56" s="81"/>
      <c r="H56" s="82"/>
      <c r="I56" s="81"/>
      <c r="J56" s="82"/>
      <c r="K56" s="81"/>
      <c r="L56" s="82"/>
      <c r="M56" s="81"/>
      <c r="N56" s="82"/>
      <c r="O56" s="81"/>
      <c r="P56" s="82"/>
      <c r="Q56" s="81"/>
      <c r="R56" s="557" t="s">
        <v>126</v>
      </c>
      <c r="S56" s="111" t="s">
        <v>126</v>
      </c>
      <c r="T56" s="111" t="s">
        <v>126</v>
      </c>
      <c r="U56" s="111" t="s">
        <v>126</v>
      </c>
      <c r="V56" s="229" t="s">
        <v>126</v>
      </c>
      <c r="W56" s="557" t="s">
        <v>126</v>
      </c>
      <c r="X56" s="111" t="s">
        <v>126</v>
      </c>
      <c r="Y56" s="111" t="s">
        <v>126</v>
      </c>
      <c r="Z56" s="111" t="s">
        <v>126</v>
      </c>
      <c r="AA56" s="229" t="s">
        <v>126</v>
      </c>
      <c r="AB56" s="229"/>
      <c r="AC56" s="557" t="s">
        <v>126</v>
      </c>
      <c r="AD56" s="111" t="s">
        <v>126</v>
      </c>
      <c r="AE56" s="111" t="s">
        <v>126</v>
      </c>
      <c r="AF56" s="111" t="s">
        <v>126</v>
      </c>
      <c r="AG56" s="229" t="s">
        <v>126</v>
      </c>
      <c r="AH56" s="557" t="s">
        <v>126</v>
      </c>
      <c r="AI56" s="111" t="s">
        <v>126</v>
      </c>
      <c r="AJ56" s="111" t="s">
        <v>126</v>
      </c>
      <c r="AK56" s="111" t="s">
        <v>126</v>
      </c>
      <c r="AL56" s="229" t="s">
        <v>126</v>
      </c>
      <c r="AM56" s="557" t="s">
        <v>126</v>
      </c>
      <c r="AN56" s="111" t="s">
        <v>126</v>
      </c>
      <c r="AO56" s="111" t="s">
        <v>126</v>
      </c>
      <c r="AP56" s="86">
        <f>(AK206*AP216+AK344*AP348+282*0.16)/AK45</f>
        <v>5.7753866845998654E-2</v>
      </c>
      <c r="AQ56" s="229" t="s">
        <v>126</v>
      </c>
      <c r="AR56" s="82">
        <v>7.0000000000000007E-2</v>
      </c>
      <c r="AS56" s="82">
        <v>0.13</v>
      </c>
      <c r="AT56" s="82">
        <v>0.1</v>
      </c>
      <c r="AU56" s="86">
        <f>(AP206*AU216+AP344*AU348+326*0.12+52*0.28+62*0.02+161*0.01)/AP45</f>
        <v>8.0990379173740815E-2</v>
      </c>
      <c r="AV56" s="81">
        <v>0.1</v>
      </c>
      <c r="AW56" s="82">
        <v>0.08</v>
      </c>
      <c r="AX56" s="82">
        <v>0.1</v>
      </c>
      <c r="AY56" s="82">
        <v>0.06</v>
      </c>
      <c r="AZ56" s="86">
        <f>(AU206*AZ216+AU344*AZ348+408*0.13+68*0.01+84*0.1+163*0.13)/AU45</f>
        <v>4.4207804419370007E-2</v>
      </c>
      <c r="BA56" s="81">
        <v>7.0000000000000007E-2</v>
      </c>
      <c r="BB56" s="82">
        <v>0.05</v>
      </c>
      <c r="BC56" s="82">
        <v>0.06</v>
      </c>
      <c r="BD56" s="82">
        <v>0.03</v>
      </c>
      <c r="BE56" s="82">
        <v>0.05</v>
      </c>
      <c r="BF56" s="81">
        <v>0.04</v>
      </c>
      <c r="BG56" s="82">
        <v>0.03</v>
      </c>
      <c r="BH56" s="82">
        <v>7.0000000000000007E-2</v>
      </c>
      <c r="BI56" s="82">
        <v>7.0000000000000007E-2</v>
      </c>
      <c r="BJ56" s="57" t="s">
        <v>126</v>
      </c>
      <c r="BK56" s="81">
        <v>0.06</v>
      </c>
      <c r="BL56" s="82">
        <v>0.06</v>
      </c>
      <c r="BM56" s="82">
        <v>0.06</v>
      </c>
      <c r="BN56" s="82">
        <v>0.01</v>
      </c>
      <c r="BO56" s="57" t="s">
        <v>126</v>
      </c>
      <c r="BP56" s="81">
        <v>-0.12</v>
      </c>
      <c r="BQ56" s="82">
        <v>-0.2</v>
      </c>
      <c r="BR56" s="82">
        <v>-0.04</v>
      </c>
      <c r="BS56" s="82">
        <v>-0.12</v>
      </c>
      <c r="BT56" s="57" t="s">
        <v>126</v>
      </c>
      <c r="BU56" s="81">
        <v>0.04</v>
      </c>
      <c r="BV56" s="82">
        <v>0.22</v>
      </c>
      <c r="BW56" s="82">
        <v>0.03</v>
      </c>
      <c r="BX56" s="82">
        <v>0.12</v>
      </c>
      <c r="BY56" s="57" t="s">
        <v>126</v>
      </c>
      <c r="BZ56" s="81">
        <v>0.1</v>
      </c>
      <c r="CA56" s="82">
        <v>0.04</v>
      </c>
      <c r="CB56" s="84">
        <v>0.11</v>
      </c>
      <c r="CC56" s="82">
        <v>0.2</v>
      </c>
      <c r="CD56" s="57">
        <v>0.24</v>
      </c>
      <c r="CE56" s="81">
        <v>0.14000000000000001</v>
      </c>
      <c r="CF56" s="84">
        <v>0.08</v>
      </c>
      <c r="CG56" s="84">
        <v>0.05</v>
      </c>
      <c r="CH56" s="82">
        <v>0.03</v>
      </c>
      <c r="CI56" s="558">
        <v>-0.02</v>
      </c>
      <c r="CJ56" s="81">
        <v>0.03</v>
      </c>
      <c r="CK56" s="82">
        <v>0</v>
      </c>
      <c r="CL56" s="82">
        <v>-0.02</v>
      </c>
      <c r="CM56" s="82">
        <v>-0.03</v>
      </c>
      <c r="CN56" s="86">
        <v>0.02</v>
      </c>
      <c r="CO56" s="81">
        <v>-0.01</v>
      </c>
      <c r="CP56" s="82">
        <v>-0.01</v>
      </c>
      <c r="CQ56" s="84">
        <v>-0.03</v>
      </c>
      <c r="CR56" s="84">
        <v>-0.05</v>
      </c>
      <c r="CS56" s="82"/>
      <c r="CT56" s="81">
        <v>-0.04</v>
      </c>
      <c r="CU56" s="82"/>
      <c r="CV56" s="82"/>
      <c r="CW56" s="82"/>
      <c r="CX56" s="82"/>
      <c r="CY56" s="81"/>
      <c r="CZ56" s="82"/>
      <c r="DA56" s="82"/>
      <c r="DB56" s="82"/>
      <c r="DC56" s="82"/>
      <c r="DD56" s="81"/>
      <c r="DE56" s="82"/>
      <c r="DF56" s="82"/>
      <c r="DG56" s="82"/>
      <c r="DH56" s="82"/>
      <c r="DI56" s="81"/>
    </row>
    <row r="57" spans="1:113" s="531" customFormat="1" ht="12" hidden="1" customHeight="1" outlineLevel="1">
      <c r="A57" s="219" t="str">
        <f t="shared" si="0"/>
        <v xml:space="preserve"> </v>
      </c>
      <c r="B57" s="556" t="s">
        <v>193</v>
      </c>
      <c r="C57" s="81"/>
      <c r="D57" s="82"/>
      <c r="E57" s="81"/>
      <c r="F57" s="82"/>
      <c r="G57" s="81"/>
      <c r="H57" s="82"/>
      <c r="I57" s="81"/>
      <c r="J57" s="82"/>
      <c r="K57" s="81"/>
      <c r="L57" s="82"/>
      <c r="M57" s="81"/>
      <c r="N57" s="82"/>
      <c r="O57" s="81"/>
      <c r="P57" s="82"/>
      <c r="Q57" s="81"/>
      <c r="R57" s="557" t="s">
        <v>126</v>
      </c>
      <c r="S57" s="111" t="s">
        <v>126</v>
      </c>
      <c r="T57" s="111" t="s">
        <v>126</v>
      </c>
      <c r="U57" s="111" t="s">
        <v>126</v>
      </c>
      <c r="V57" s="229" t="s">
        <v>126</v>
      </c>
      <c r="W57" s="557" t="s">
        <v>126</v>
      </c>
      <c r="X57" s="111" t="s">
        <v>126</v>
      </c>
      <c r="Y57" s="111" t="s">
        <v>126</v>
      </c>
      <c r="Z57" s="111" t="s">
        <v>126</v>
      </c>
      <c r="AA57" s="229" t="s">
        <v>126</v>
      </c>
      <c r="AB57" s="229"/>
      <c r="AC57" s="557" t="s">
        <v>126</v>
      </c>
      <c r="AD57" s="111" t="s">
        <v>126</v>
      </c>
      <c r="AE57" s="111" t="s">
        <v>126</v>
      </c>
      <c r="AF57" s="111" t="s">
        <v>126</v>
      </c>
      <c r="AG57" s="229" t="s">
        <v>126</v>
      </c>
      <c r="AH57" s="557" t="s">
        <v>126</v>
      </c>
      <c r="AI57" s="111" t="s">
        <v>126</v>
      </c>
      <c r="AJ57" s="111" t="s">
        <v>126</v>
      </c>
      <c r="AK57" s="111" t="s">
        <v>126</v>
      </c>
      <c r="AL57" s="229" t="s">
        <v>126</v>
      </c>
      <c r="AM57" s="557" t="s">
        <v>126</v>
      </c>
      <c r="AN57" s="111" t="s">
        <v>126</v>
      </c>
      <c r="AO57" s="111" t="s">
        <v>126</v>
      </c>
      <c r="AP57" s="111" t="s">
        <v>126</v>
      </c>
      <c r="AQ57" s="229" t="s">
        <v>126</v>
      </c>
      <c r="AR57" s="82">
        <v>0.46</v>
      </c>
      <c r="AS57" s="82">
        <v>0.49</v>
      </c>
      <c r="AT57" s="82">
        <v>0.56000000000000005</v>
      </c>
      <c r="AU57" s="82">
        <v>0.57609053227186102</v>
      </c>
      <c r="AV57" s="81">
        <v>0.51</v>
      </c>
      <c r="AW57" s="82">
        <v>0.49</v>
      </c>
      <c r="AX57" s="82">
        <v>0.49</v>
      </c>
      <c r="AY57" s="82">
        <v>0.18</v>
      </c>
      <c r="AZ57" s="82">
        <f>+AZ58/AU58-1</f>
        <v>0.17570444583594225</v>
      </c>
      <c r="BA57" s="81">
        <v>0.3</v>
      </c>
      <c r="BB57" s="82">
        <f>+BB58/AW58-1</f>
        <v>0.17879417879417869</v>
      </c>
      <c r="BC57" s="82">
        <v>0.2</v>
      </c>
      <c r="BD57" s="82">
        <v>0.18</v>
      </c>
      <c r="BE57" s="82">
        <v>0.34</v>
      </c>
      <c r="BF57" s="81">
        <v>0.25</v>
      </c>
      <c r="BG57" s="82">
        <v>0.34</v>
      </c>
      <c r="BH57" s="82">
        <v>0.41</v>
      </c>
      <c r="BI57" s="82">
        <v>0.36</v>
      </c>
      <c r="BJ57" s="86">
        <f>(BJ58/BE58)/(1+BJ48)-1</f>
        <v>0.43528929358319468</v>
      </c>
      <c r="BK57" s="83">
        <v>0.35</v>
      </c>
      <c r="BL57" s="82">
        <v>0.42</v>
      </c>
      <c r="BM57" s="84">
        <v>0.38</v>
      </c>
      <c r="BN57" s="84">
        <v>0.36</v>
      </c>
      <c r="BO57" s="84">
        <v>0.79</v>
      </c>
      <c r="BP57" s="81">
        <v>0.49</v>
      </c>
      <c r="BQ57" s="82">
        <v>0.83</v>
      </c>
      <c r="BR57" s="82">
        <v>0.8</v>
      </c>
      <c r="BS57" s="82">
        <v>0.54</v>
      </c>
      <c r="BT57" s="82">
        <v>0.41</v>
      </c>
      <c r="BU57" s="81">
        <v>0.6</v>
      </c>
      <c r="BV57" s="82">
        <v>0.25</v>
      </c>
      <c r="BW57" s="82">
        <v>0.11</v>
      </c>
      <c r="BX57" s="82">
        <v>0.22</v>
      </c>
      <c r="BY57" s="82">
        <v>0.18</v>
      </c>
      <c r="BZ57" s="81">
        <v>0.18</v>
      </c>
      <c r="CA57" s="82">
        <v>0.23</v>
      </c>
      <c r="CB57" s="84">
        <v>0.34</v>
      </c>
      <c r="CC57" s="82">
        <v>0.24</v>
      </c>
      <c r="CD57" s="82">
        <v>0.14000000000000001</v>
      </c>
      <c r="CE57" s="81">
        <v>0.24</v>
      </c>
      <c r="CF57" s="82">
        <v>0.02</v>
      </c>
      <c r="CG57" s="82">
        <v>0.01</v>
      </c>
      <c r="CH57" s="82">
        <v>-0.04</v>
      </c>
      <c r="CI57" s="82">
        <v>-0.1</v>
      </c>
      <c r="CJ57" s="81">
        <v>-0.03</v>
      </c>
      <c r="CK57" s="82">
        <v>-0.2</v>
      </c>
      <c r="CL57" s="82">
        <v>-0.21</v>
      </c>
      <c r="CM57" s="82">
        <v>-0.15</v>
      </c>
      <c r="CN57" s="82">
        <v>-0.26</v>
      </c>
      <c r="CO57" s="81">
        <v>-0.2</v>
      </c>
      <c r="CP57" s="82">
        <v>-0.12</v>
      </c>
      <c r="CQ57" s="82">
        <v>-0.14000000000000001</v>
      </c>
      <c r="CR57" s="82">
        <v>-0.09</v>
      </c>
      <c r="CS57" s="82"/>
      <c r="CT57" s="85"/>
      <c r="CU57" s="82"/>
      <c r="CV57" s="82"/>
      <c r="CW57" s="82"/>
      <c r="CX57" s="82"/>
      <c r="CY57" s="81"/>
      <c r="CZ57" s="82"/>
      <c r="DA57" s="82"/>
      <c r="DB57" s="82"/>
      <c r="DC57" s="82"/>
      <c r="DD57" s="81"/>
      <c r="DE57" s="82"/>
      <c r="DF57" s="82"/>
      <c r="DG57" s="82"/>
      <c r="DH57" s="82"/>
      <c r="DI57" s="81"/>
    </row>
    <row r="58" spans="1:113" s="7" customFormat="1" ht="12" hidden="1" customHeight="1" outlineLevel="1">
      <c r="A58" s="219" t="str">
        <f t="shared" si="0"/>
        <v xml:space="preserve"> </v>
      </c>
      <c r="B58" s="20" t="s">
        <v>194</v>
      </c>
      <c r="C58" s="36"/>
      <c r="D58" s="43"/>
      <c r="E58" s="36"/>
      <c r="F58" s="43"/>
      <c r="G58" s="36"/>
      <c r="H58" s="43"/>
      <c r="I58" s="36"/>
      <c r="J58" s="43"/>
      <c r="K58" s="36"/>
      <c r="L58" s="43"/>
      <c r="M58" s="36"/>
      <c r="N58" s="43"/>
      <c r="O58" s="36"/>
      <c r="P58" s="43"/>
      <c r="Q58" s="36"/>
      <c r="R58" s="542" t="s">
        <v>126</v>
      </c>
      <c r="S58" s="543" t="s">
        <v>126</v>
      </c>
      <c r="T58" s="543" t="s">
        <v>126</v>
      </c>
      <c r="U58" s="543" t="s">
        <v>126</v>
      </c>
      <c r="V58" s="544" t="s">
        <v>126</v>
      </c>
      <c r="W58" s="542" t="s">
        <v>126</v>
      </c>
      <c r="X58" s="543" t="s">
        <v>126</v>
      </c>
      <c r="Y58" s="543" t="s">
        <v>126</v>
      </c>
      <c r="Z58" s="543" t="s">
        <v>126</v>
      </c>
      <c r="AA58" s="544" t="s">
        <v>126</v>
      </c>
      <c r="AB58" s="544"/>
      <c r="AC58" s="542" t="s">
        <v>126</v>
      </c>
      <c r="AD58" s="543" t="s">
        <v>126</v>
      </c>
      <c r="AE58" s="543" t="s">
        <v>126</v>
      </c>
      <c r="AF58" s="543" t="s">
        <v>126</v>
      </c>
      <c r="AG58" s="544" t="s">
        <v>126</v>
      </c>
      <c r="AH58" s="236" t="s">
        <v>126</v>
      </c>
      <c r="AI58" s="237" t="s">
        <v>126</v>
      </c>
      <c r="AJ58" s="237" t="s">
        <v>126</v>
      </c>
      <c r="AK58" s="237" t="s">
        <v>126</v>
      </c>
      <c r="AL58" s="238" t="s">
        <v>126</v>
      </c>
      <c r="AM58" s="43">
        <v>238.42000000000002</v>
      </c>
      <c r="AN58" s="43">
        <v>281.2</v>
      </c>
      <c r="AO58" s="43">
        <v>370.7</v>
      </c>
      <c r="AP58" s="43">
        <v>303.97999999999985</v>
      </c>
      <c r="AQ58" s="36">
        <f>SUM(AM58:AP58)</f>
        <v>1194.2999999999997</v>
      </c>
      <c r="AR58" s="43">
        <v>328.44</v>
      </c>
      <c r="AS58" s="43">
        <v>365.61</v>
      </c>
      <c r="AT58" s="43">
        <v>555.39</v>
      </c>
      <c r="AU58" s="43">
        <v>479.10000000000008</v>
      </c>
      <c r="AV58" s="36">
        <f>SUM(AR58:AU58)</f>
        <v>1728.5400000000002</v>
      </c>
      <c r="AW58" s="43">
        <v>481</v>
      </c>
      <c r="AX58" s="43">
        <v>536</v>
      </c>
      <c r="AY58" s="43">
        <v>640.08000000000004</v>
      </c>
      <c r="AZ58" s="43">
        <v>563.28</v>
      </c>
      <c r="BA58" s="36">
        <f>SUM(AW58:AZ58)</f>
        <v>2220.3599999999997</v>
      </c>
      <c r="BB58" s="43">
        <v>567</v>
      </c>
      <c r="BC58" s="43">
        <v>710</v>
      </c>
      <c r="BD58" s="43">
        <v>774</v>
      </c>
      <c r="BE58" s="43">
        <f>BF58-SUM(BB58:BD58)</f>
        <v>749</v>
      </c>
      <c r="BF58" s="36">
        <v>2800</v>
      </c>
      <c r="BG58" s="43">
        <v>770</v>
      </c>
      <c r="BH58" s="43">
        <v>977</v>
      </c>
      <c r="BI58" s="43">
        <v>1034</v>
      </c>
      <c r="BJ58" s="369">
        <f>BK58-SUM(BG58:BI58)</f>
        <v>1019</v>
      </c>
      <c r="BK58" s="15">
        <v>3800</v>
      </c>
      <c r="BL58" s="43">
        <v>1100</v>
      </c>
      <c r="BM58" s="43">
        <v>1300</v>
      </c>
      <c r="BN58" s="43">
        <v>1400</v>
      </c>
      <c r="BO58" s="374">
        <f>BJ58*1.75</f>
        <v>1783.25</v>
      </c>
      <c r="BP58" s="36">
        <v>5500</v>
      </c>
      <c r="BQ58" s="369">
        <v>1900</v>
      </c>
      <c r="BR58" s="369">
        <v>2400</v>
      </c>
      <c r="BS58" s="369">
        <v>2200</v>
      </c>
      <c r="BT58" s="374">
        <f>BU58-BQ58-BR58-BS58</f>
        <v>2600</v>
      </c>
      <c r="BU58" s="36">
        <v>9100</v>
      </c>
      <c r="BV58" s="369">
        <v>2500</v>
      </c>
      <c r="BW58" s="369">
        <v>2700</v>
      </c>
      <c r="BX58" s="369">
        <v>2700</v>
      </c>
      <c r="BY58" s="374">
        <f>BZ58-BV58-BW58-BX58</f>
        <v>2800</v>
      </c>
      <c r="BZ58" s="36">
        <v>10700</v>
      </c>
      <c r="CA58" s="369">
        <v>2900</v>
      </c>
      <c r="CB58" s="369">
        <v>3400</v>
      </c>
      <c r="CC58" s="43">
        <v>3100</v>
      </c>
      <c r="CD58" s="374">
        <f>CE58-CA58-CB58-CC58</f>
        <v>3200</v>
      </c>
      <c r="CE58" s="36">
        <v>12600</v>
      </c>
      <c r="CF58" s="369">
        <v>2900</v>
      </c>
      <c r="CG58" s="369">
        <v>3500</v>
      </c>
      <c r="CH58" s="43">
        <v>3000</v>
      </c>
      <c r="CI58" s="374">
        <f>CJ58-CF58-CG58-CH58</f>
        <v>2700</v>
      </c>
      <c r="CJ58" s="36">
        <v>12100</v>
      </c>
      <c r="CK58" s="369">
        <v>2300</v>
      </c>
      <c r="CL58" s="369">
        <v>2800</v>
      </c>
      <c r="CM58" s="369">
        <v>2500</v>
      </c>
      <c r="CN58" s="374">
        <f>CO58-CK58-CL58-CM58</f>
        <v>2000</v>
      </c>
      <c r="CO58" s="36">
        <v>9600</v>
      </c>
      <c r="CP58" s="369">
        <v>2000</v>
      </c>
      <c r="CQ58" s="369">
        <v>2400</v>
      </c>
      <c r="CR58" s="369">
        <v>2300</v>
      </c>
      <c r="CS58" s="374">
        <f>CT58-CP58-CQ58-CR58</f>
        <v>1900</v>
      </c>
      <c r="CT58" s="36">
        <v>8600</v>
      </c>
      <c r="CU58" s="43"/>
      <c r="CV58" s="43"/>
      <c r="CW58" s="43"/>
      <c r="CX58" s="43"/>
      <c r="CY58" s="36"/>
      <c r="CZ58" s="43"/>
      <c r="DA58" s="43"/>
      <c r="DB58" s="43"/>
      <c r="DC58" s="43"/>
      <c r="DD58" s="36"/>
      <c r="DE58" s="43"/>
      <c r="DF58" s="43"/>
      <c r="DG58" s="43"/>
      <c r="DH58" s="43"/>
      <c r="DI58" s="36"/>
    </row>
    <row r="59" spans="1:113" s="395" customFormat="1" ht="12" hidden="1" customHeight="1" outlineLevel="1">
      <c r="A59" s="490"/>
      <c r="B59" s="559" t="s">
        <v>357</v>
      </c>
      <c r="C59" s="36"/>
      <c r="D59" s="43"/>
      <c r="E59" s="36"/>
      <c r="F59" s="43"/>
      <c r="G59" s="36"/>
      <c r="H59" s="43"/>
      <c r="I59" s="36"/>
      <c r="J59" s="43"/>
      <c r="K59" s="36"/>
      <c r="L59" s="43"/>
      <c r="M59" s="36"/>
      <c r="N59" s="43"/>
      <c r="O59" s="36"/>
      <c r="P59" s="43"/>
      <c r="Q59" s="36"/>
      <c r="R59" s="542" t="s">
        <v>126</v>
      </c>
      <c r="S59" s="543" t="s">
        <v>126</v>
      </c>
      <c r="T59" s="543" t="s">
        <v>126</v>
      </c>
      <c r="U59" s="543" t="s">
        <v>126</v>
      </c>
      <c r="V59" s="544" t="s">
        <v>126</v>
      </c>
      <c r="W59" s="542" t="s">
        <v>126</v>
      </c>
      <c r="X59" s="543" t="s">
        <v>126</v>
      </c>
      <c r="Y59" s="543" t="s">
        <v>126</v>
      </c>
      <c r="Z59" s="543" t="s">
        <v>126</v>
      </c>
      <c r="AA59" s="544" t="s">
        <v>126</v>
      </c>
      <c r="AB59" s="544"/>
      <c r="AC59" s="542" t="s">
        <v>126</v>
      </c>
      <c r="AD59" s="543" t="s">
        <v>126</v>
      </c>
      <c r="AE59" s="543" t="s">
        <v>126</v>
      </c>
      <c r="AF59" s="543" t="s">
        <v>126</v>
      </c>
      <c r="AG59" s="544" t="s">
        <v>126</v>
      </c>
      <c r="AH59" s="236" t="s">
        <v>126</v>
      </c>
      <c r="AI59" s="237" t="s">
        <v>126</v>
      </c>
      <c r="AJ59" s="237" t="s">
        <v>126</v>
      </c>
      <c r="AK59" s="237" t="s">
        <v>126</v>
      </c>
      <c r="AL59" s="238" t="s">
        <v>126</v>
      </c>
      <c r="AM59" s="52">
        <f t="shared" ref="AM59:BR59" si="266">AM58/(AM51+AM45)</f>
        <v>3.2253787878787882E-2</v>
      </c>
      <c r="AN59" s="52">
        <f t="shared" si="266"/>
        <v>4.0571346126100132E-2</v>
      </c>
      <c r="AO59" s="52">
        <f t="shared" si="266"/>
        <v>5.3639126030965129E-2</v>
      </c>
      <c r="AP59" s="52">
        <f t="shared" si="266"/>
        <v>4.134657236126222E-2</v>
      </c>
      <c r="AQ59" s="112">
        <f t="shared" si="266"/>
        <v>4.177919261176799E-2</v>
      </c>
      <c r="AR59" s="52">
        <f t="shared" si="266"/>
        <v>4.1722560975609758E-2</v>
      </c>
      <c r="AS59" s="52">
        <f t="shared" si="266"/>
        <v>5.0090423345663791E-2</v>
      </c>
      <c r="AT59" s="52">
        <f t="shared" si="266"/>
        <v>7.3561589403973504E-2</v>
      </c>
      <c r="AU59" s="52">
        <f t="shared" si="266"/>
        <v>6.2115908206923386E-2</v>
      </c>
      <c r="AV59" s="112">
        <f t="shared" si="266"/>
        <v>5.6796346191759224E-2</v>
      </c>
      <c r="AW59" s="52">
        <f t="shared" si="266"/>
        <v>5.6963524396020843E-2</v>
      </c>
      <c r="AX59" s="52">
        <f t="shared" si="266"/>
        <v>6.9583279241853827E-2</v>
      </c>
      <c r="AY59" s="52">
        <f t="shared" si="266"/>
        <v>8.0981781376518222E-2</v>
      </c>
      <c r="AZ59" s="52">
        <f t="shared" si="266"/>
        <v>6.9463559008509063E-2</v>
      </c>
      <c r="BA59" s="112">
        <f t="shared" si="266"/>
        <v>6.9041044776119387E-2</v>
      </c>
      <c r="BB59" s="52">
        <f t="shared" si="266"/>
        <v>6.6199649737302982E-2</v>
      </c>
      <c r="BC59" s="52">
        <f t="shared" si="266"/>
        <v>8.7513866633797607E-2</v>
      </c>
      <c r="BD59" s="52">
        <f t="shared" si="266"/>
        <v>9.1338210998347893E-2</v>
      </c>
      <c r="BE59" s="52">
        <f t="shared" si="266"/>
        <v>8.1016765819361819E-2</v>
      </c>
      <c r="BF59" s="112">
        <f t="shared" si="266"/>
        <v>8.1402447887897203E-2</v>
      </c>
      <c r="BG59" s="52">
        <f t="shared" si="266"/>
        <v>8.1906180193596426E-2</v>
      </c>
      <c r="BH59" s="52">
        <f t="shared" si="266"/>
        <v>0.10932080116370146</v>
      </c>
      <c r="BI59" s="52">
        <f t="shared" si="266"/>
        <v>0.11312910284463895</v>
      </c>
      <c r="BJ59" s="52">
        <f t="shared" si="266"/>
        <v>0.10507321097133429</v>
      </c>
      <c r="BK59" s="112">
        <f t="shared" si="266"/>
        <v>0.1022164837529589</v>
      </c>
      <c r="BL59" s="52">
        <f t="shared" si="266"/>
        <v>0.10901883052527254</v>
      </c>
      <c r="BM59" s="52">
        <f t="shared" si="266"/>
        <v>0.13219442749644092</v>
      </c>
      <c r="BN59" s="52">
        <f t="shared" si="266"/>
        <v>0.14571190674437967</v>
      </c>
      <c r="BO59" s="52">
        <f t="shared" si="266"/>
        <v>0.29691142191142189</v>
      </c>
      <c r="BP59" s="112">
        <f t="shared" si="266"/>
        <v>0.15476391468287468</v>
      </c>
      <c r="BQ59" s="52">
        <f t="shared" si="266"/>
        <v>0.1897343718793689</v>
      </c>
      <c r="BR59" s="52">
        <f t="shared" si="266"/>
        <v>0.22360942886425045</v>
      </c>
      <c r="BS59" s="52">
        <f t="shared" ref="BS59:CT59" si="267">BS58/(BS51+BS45)</f>
        <v>0.22524828504146616</v>
      </c>
      <c r="BT59" s="52">
        <f t="shared" si="267"/>
        <v>0.22120129317679088</v>
      </c>
      <c r="BU59" s="112">
        <f t="shared" si="267"/>
        <v>0.21529289296867607</v>
      </c>
      <c r="BV59" s="52">
        <f t="shared" si="267"/>
        <v>0.21490587122840196</v>
      </c>
      <c r="BW59" s="52">
        <f t="shared" si="267"/>
        <v>0.24976873265494912</v>
      </c>
      <c r="BX59" s="52">
        <f t="shared" si="267"/>
        <v>0.26259482590935618</v>
      </c>
      <c r="BY59" s="52">
        <f t="shared" si="267"/>
        <v>0.24119217848221208</v>
      </c>
      <c r="BZ59" s="112">
        <f t="shared" si="267"/>
        <v>0.24134975413903551</v>
      </c>
      <c r="CA59" s="52">
        <f t="shared" si="267"/>
        <v>0.24098387900947316</v>
      </c>
      <c r="CB59" s="52">
        <f t="shared" si="267"/>
        <v>0.26759011490634343</v>
      </c>
      <c r="CC59" s="52">
        <f t="shared" si="267"/>
        <v>0.26374000340309683</v>
      </c>
      <c r="CD59" s="52">
        <f t="shared" si="267"/>
        <v>0.26205879944312505</v>
      </c>
      <c r="CE59" s="112">
        <f t="shared" si="267"/>
        <v>0.25870033877425314</v>
      </c>
      <c r="CF59" s="52">
        <f t="shared" si="267"/>
        <v>0.23500810372771475</v>
      </c>
      <c r="CG59" s="52">
        <f t="shared" si="267"/>
        <v>0.27216174183514774</v>
      </c>
      <c r="CH59" s="52">
        <f t="shared" si="267"/>
        <v>0.25127732640924699</v>
      </c>
      <c r="CI59" s="52">
        <f t="shared" si="267"/>
        <v>0.22244191794364804</v>
      </c>
      <c r="CJ59" s="112">
        <f t="shared" si="267"/>
        <v>0.24555066258092009</v>
      </c>
      <c r="CK59" s="52">
        <f t="shared" si="267"/>
        <v>0.20726322429485447</v>
      </c>
      <c r="CL59" s="52">
        <f t="shared" si="267"/>
        <v>0.2345647985255927</v>
      </c>
      <c r="CM59" s="52">
        <f t="shared" si="267"/>
        <v>0.22982165839308696</v>
      </c>
      <c r="CN59" s="52">
        <f t="shared" si="267"/>
        <v>0.1859773107680863</v>
      </c>
      <c r="CO59" s="112">
        <f t="shared" si="267"/>
        <v>0.21492858102359735</v>
      </c>
      <c r="CP59" s="52">
        <f t="shared" si="267"/>
        <v>0.17616489033735577</v>
      </c>
      <c r="CQ59" s="52">
        <f t="shared" si="267"/>
        <v>0.1981015270326042</v>
      </c>
      <c r="CR59" s="52">
        <f t="shared" si="267"/>
        <v>0.20899591094956838</v>
      </c>
      <c r="CS59" s="52">
        <f t="shared" si="267"/>
        <v>0.17757009345794392</v>
      </c>
      <c r="CT59" s="112">
        <f t="shared" si="267"/>
        <v>0.19037920881942755</v>
      </c>
      <c r="CU59" s="52"/>
      <c r="CV59" s="543"/>
      <c r="CW59" s="543"/>
      <c r="CX59" s="543"/>
      <c r="CY59" s="544"/>
      <c r="CZ59" s="543"/>
      <c r="DA59" s="543"/>
      <c r="DB59" s="543"/>
      <c r="DC59" s="543"/>
      <c r="DD59" s="544"/>
      <c r="DE59" s="543"/>
      <c r="DF59" s="543"/>
      <c r="DG59" s="543"/>
      <c r="DH59" s="543"/>
      <c r="DI59" s="544"/>
    </row>
    <row r="60" spans="1:113" s="7" customFormat="1" ht="12" hidden="1" customHeight="1" outlineLevel="1">
      <c r="A60" s="219"/>
      <c r="B60" s="20"/>
      <c r="C60" s="36"/>
      <c r="D60" s="43"/>
      <c r="E60" s="36"/>
      <c r="F60" s="43"/>
      <c r="G60" s="36"/>
      <c r="H60" s="43"/>
      <c r="I60" s="36"/>
      <c r="J60" s="43"/>
      <c r="K60" s="36"/>
      <c r="L60" s="43"/>
      <c r="M60" s="36"/>
      <c r="N60" s="43"/>
      <c r="O60" s="36"/>
      <c r="P60" s="43"/>
      <c r="Q60" s="36"/>
      <c r="R60" s="542"/>
      <c r="S60" s="543"/>
      <c r="T60" s="543"/>
      <c r="U60" s="543"/>
      <c r="V60" s="544"/>
      <c r="W60" s="542"/>
      <c r="X60" s="543"/>
      <c r="Y60" s="543"/>
      <c r="Z60" s="543"/>
      <c r="AA60" s="544"/>
      <c r="AB60" s="544"/>
      <c r="AC60" s="542"/>
      <c r="AD60" s="543"/>
      <c r="AE60" s="543"/>
      <c r="AF60" s="543"/>
      <c r="AG60" s="544"/>
      <c r="AH60" s="236"/>
      <c r="AI60" s="237"/>
      <c r="AJ60" s="237"/>
      <c r="AK60" s="237"/>
      <c r="AL60" s="238"/>
      <c r="AM60" s="43"/>
      <c r="AN60" s="43"/>
      <c r="AO60" s="43"/>
      <c r="AP60" s="43"/>
      <c r="AQ60" s="36"/>
      <c r="AR60" s="43"/>
      <c r="AS60" s="43"/>
      <c r="AT60" s="43"/>
      <c r="AU60" s="43"/>
      <c r="AV60" s="36"/>
      <c r="AW60" s="43"/>
      <c r="AX60" s="43"/>
      <c r="AY60" s="43"/>
      <c r="AZ60" s="43"/>
      <c r="BA60" s="36"/>
      <c r="BB60" s="43"/>
      <c r="BC60" s="43"/>
      <c r="BD60" s="43"/>
      <c r="BE60" s="43"/>
      <c r="BF60" s="36"/>
      <c r="BG60" s="43"/>
      <c r="BH60" s="43"/>
      <c r="BI60" s="43"/>
      <c r="BJ60" s="369"/>
      <c r="BK60" s="42"/>
      <c r="BL60" s="49"/>
      <c r="BM60" s="49"/>
      <c r="BN60" s="49"/>
      <c r="BO60" s="49"/>
      <c r="BP60" s="42"/>
      <c r="BQ60" s="49"/>
      <c r="BR60" s="49"/>
      <c r="BS60" s="49"/>
      <c r="BT60" s="49"/>
      <c r="BU60" s="42"/>
      <c r="BV60" s="49"/>
      <c r="BW60" s="49"/>
      <c r="BX60" s="49"/>
      <c r="BY60" s="49"/>
      <c r="BZ60" s="42"/>
      <c r="CA60" s="49"/>
      <c r="CB60" s="49"/>
      <c r="CC60" s="49"/>
      <c r="CD60" s="49"/>
      <c r="CE60" s="42"/>
      <c r="CF60" s="49"/>
      <c r="CG60" s="43"/>
      <c r="CH60" s="43"/>
      <c r="CI60" s="43"/>
      <c r="CJ60" s="42"/>
      <c r="CK60" s="43"/>
      <c r="CL60" s="377"/>
      <c r="CM60" s="43"/>
      <c r="CN60" s="43"/>
      <c r="CO60" s="36"/>
      <c r="CP60" s="43"/>
      <c r="CQ60" s="43"/>
      <c r="CR60" s="43"/>
      <c r="CS60" s="43"/>
      <c r="CT60" s="36"/>
      <c r="CU60" s="43"/>
      <c r="CV60" s="43"/>
      <c r="CW60" s="43"/>
      <c r="CX60" s="43"/>
      <c r="CY60" s="36"/>
      <c r="CZ60" s="43"/>
      <c r="DA60" s="43"/>
      <c r="DB60" s="43"/>
      <c r="DC60" s="43"/>
      <c r="DD60" s="36"/>
      <c r="DE60" s="43"/>
      <c r="DF60" s="43"/>
      <c r="DG60" s="43"/>
      <c r="DH60" s="43"/>
      <c r="DI60" s="36"/>
    </row>
    <row r="61" spans="1:113" s="7" customFormat="1" ht="12" hidden="1" customHeight="1" outlineLevel="1">
      <c r="A61" s="219"/>
      <c r="B61" s="20" t="s">
        <v>331</v>
      </c>
      <c r="C61" s="36"/>
      <c r="D61" s="43"/>
      <c r="E61" s="36"/>
      <c r="F61" s="43"/>
      <c r="G61" s="36"/>
      <c r="H61" s="43"/>
      <c r="I61" s="36"/>
      <c r="J61" s="43"/>
      <c r="K61" s="36"/>
      <c r="L61" s="43"/>
      <c r="M61" s="36"/>
      <c r="N61" s="43"/>
      <c r="O61" s="36"/>
      <c r="P61" s="43"/>
      <c r="Q61" s="36"/>
      <c r="R61" s="542"/>
      <c r="S61" s="543"/>
      <c r="T61" s="543"/>
      <c r="U61" s="543"/>
      <c r="V61" s="544"/>
      <c r="W61" s="542"/>
      <c r="X61" s="543"/>
      <c r="Y61" s="543"/>
      <c r="Z61" s="543"/>
      <c r="AA61" s="544"/>
      <c r="AB61" s="544"/>
      <c r="AC61" s="542"/>
      <c r="AD61" s="543"/>
      <c r="AE61" s="543"/>
      <c r="AF61" s="543"/>
      <c r="AG61" s="544"/>
      <c r="AH61" s="236"/>
      <c r="AI61" s="237"/>
      <c r="AJ61" s="237"/>
      <c r="AK61" s="237"/>
      <c r="AL61" s="238"/>
      <c r="AM61" s="43"/>
      <c r="AN61" s="43"/>
      <c r="AO61" s="43"/>
      <c r="AP61" s="43"/>
      <c r="AQ61" s="36"/>
      <c r="AR61" s="43"/>
      <c r="AS61" s="43"/>
      <c r="AT61" s="43"/>
      <c r="AU61" s="43"/>
      <c r="AV61" s="36"/>
      <c r="AW61" s="43"/>
      <c r="AX61" s="43"/>
      <c r="AY61" s="43"/>
      <c r="AZ61" s="43"/>
      <c r="BA61" s="36"/>
      <c r="BB61" s="43"/>
      <c r="BC61" s="43"/>
      <c r="BD61" s="43"/>
      <c r="BE61" s="43"/>
      <c r="BF61" s="36"/>
      <c r="BG61" s="43"/>
      <c r="BH61" s="43"/>
      <c r="BI61" s="43"/>
      <c r="BJ61" s="369"/>
      <c r="BK61" s="15"/>
      <c r="BL61" s="43"/>
      <c r="BM61" s="43"/>
      <c r="BN61" s="43"/>
      <c r="BO61" s="374"/>
      <c r="BP61" s="36"/>
      <c r="BQ61" s="369"/>
      <c r="BR61" s="369"/>
      <c r="BS61" s="369"/>
      <c r="BT61" s="374"/>
      <c r="BU61" s="36"/>
      <c r="BV61" s="369"/>
      <c r="BW61" s="369"/>
      <c r="BX61" s="369"/>
      <c r="BY61" s="43"/>
      <c r="BZ61" s="36"/>
      <c r="CA61" s="369"/>
      <c r="CB61" s="369"/>
      <c r="CC61" s="43"/>
      <c r="CD61" s="43"/>
      <c r="CE61" s="42">
        <v>0.22</v>
      </c>
      <c r="CF61" s="43"/>
      <c r="CG61" s="43"/>
      <c r="CH61" s="43"/>
      <c r="CI61" s="43"/>
      <c r="CJ61" s="42">
        <v>0.21</v>
      </c>
      <c r="CK61" s="43"/>
      <c r="CL61" s="43"/>
      <c r="CM61" s="43"/>
      <c r="CN61" s="43"/>
      <c r="CO61" s="42">
        <v>0.25</v>
      </c>
      <c r="CP61" s="43"/>
      <c r="CQ61" s="43"/>
      <c r="CR61" s="43"/>
      <c r="CS61" s="43"/>
      <c r="CT61" s="42">
        <v>0.28999999999999998</v>
      </c>
      <c r="CU61" s="43"/>
      <c r="CV61" s="43"/>
      <c r="CW61" s="43"/>
      <c r="CX61" s="43"/>
      <c r="CY61" s="36"/>
      <c r="CZ61" s="43"/>
      <c r="DA61" s="43"/>
      <c r="DB61" s="43"/>
      <c r="DC61" s="43"/>
      <c r="DD61" s="36"/>
      <c r="DE61" s="43"/>
      <c r="DF61" s="43"/>
      <c r="DG61" s="43"/>
      <c r="DH61" s="43"/>
      <c r="DI61" s="36"/>
    </row>
    <row r="62" spans="1:113" s="7" customFormat="1" ht="12" hidden="1" customHeight="1" outlineLevel="1">
      <c r="A62" s="219"/>
      <c r="B62" s="20" t="s">
        <v>333</v>
      </c>
      <c r="C62" s="36"/>
      <c r="D62" s="43"/>
      <c r="E62" s="36"/>
      <c r="F62" s="43"/>
      <c r="G62" s="36"/>
      <c r="H62" s="43"/>
      <c r="I62" s="36"/>
      <c r="J62" s="43"/>
      <c r="K62" s="36"/>
      <c r="L62" s="43"/>
      <c r="M62" s="36"/>
      <c r="N62" s="43"/>
      <c r="O62" s="36"/>
      <c r="P62" s="43"/>
      <c r="Q62" s="36"/>
      <c r="R62" s="542"/>
      <c r="S62" s="543"/>
      <c r="T62" s="543"/>
      <c r="U62" s="543"/>
      <c r="V62" s="544"/>
      <c r="W62" s="542"/>
      <c r="X62" s="543"/>
      <c r="Y62" s="543"/>
      <c r="Z62" s="543"/>
      <c r="AA62" s="544"/>
      <c r="AB62" s="544"/>
      <c r="AC62" s="542"/>
      <c r="AD62" s="543"/>
      <c r="AE62" s="543"/>
      <c r="AF62" s="543"/>
      <c r="AG62" s="544"/>
      <c r="AH62" s="236"/>
      <c r="AI62" s="237"/>
      <c r="AJ62" s="237"/>
      <c r="AK62" s="237"/>
      <c r="AL62" s="238"/>
      <c r="AM62" s="43"/>
      <c r="AN62" s="43"/>
      <c r="AO62" s="43"/>
      <c r="AP62" s="43"/>
      <c r="AQ62" s="36"/>
      <c r="AR62" s="43"/>
      <c r="AS62" s="43"/>
      <c r="AT62" s="43"/>
      <c r="AU62" s="43"/>
      <c r="AV62" s="36"/>
      <c r="AW62" s="43"/>
      <c r="AX62" s="43"/>
      <c r="AY62" s="43"/>
      <c r="AZ62" s="43"/>
      <c r="BA62" s="36"/>
      <c r="BB62" s="43"/>
      <c r="BC62" s="43"/>
      <c r="BD62" s="43"/>
      <c r="BE62" s="43"/>
      <c r="BF62" s="36"/>
      <c r="BG62" s="43"/>
      <c r="BH62" s="43"/>
      <c r="BI62" s="43"/>
      <c r="BJ62" s="369"/>
      <c r="BK62" s="15"/>
      <c r="BL62" s="43"/>
      <c r="BM62" s="43"/>
      <c r="BN62" s="43"/>
      <c r="BO62" s="374"/>
      <c r="BP62" s="36"/>
      <c r="BQ62" s="369"/>
      <c r="BR62" s="369"/>
      <c r="BS62" s="369"/>
      <c r="BT62" s="374"/>
      <c r="BU62" s="36"/>
      <c r="BV62" s="369"/>
      <c r="BW62" s="369"/>
      <c r="BX62" s="369"/>
      <c r="BY62" s="43"/>
      <c r="BZ62" s="36"/>
      <c r="CA62" s="369"/>
      <c r="CB62" s="369"/>
      <c r="CC62" s="43"/>
      <c r="CD62" s="43"/>
      <c r="CE62" s="42">
        <v>0.14000000000000001</v>
      </c>
      <c r="CF62" s="43"/>
      <c r="CG62" s="43"/>
      <c r="CH62" s="43"/>
      <c r="CI62" s="43"/>
      <c r="CJ62" s="42">
        <v>0.15</v>
      </c>
      <c r="CK62" s="43"/>
      <c r="CL62" s="43"/>
      <c r="CM62" s="43"/>
      <c r="CN62" s="43"/>
      <c r="CO62" s="42">
        <v>0.16</v>
      </c>
      <c r="CP62" s="43"/>
      <c r="CQ62" s="43"/>
      <c r="CR62" s="43"/>
      <c r="CS62" s="43"/>
      <c r="CT62" s="42">
        <v>0.16</v>
      </c>
      <c r="CU62" s="43"/>
      <c r="CV62" s="43"/>
      <c r="CW62" s="43"/>
      <c r="CX62" s="43"/>
      <c r="CY62" s="36"/>
      <c r="CZ62" s="43"/>
      <c r="DA62" s="43"/>
      <c r="DB62" s="43"/>
      <c r="DC62" s="43"/>
      <c r="DD62" s="36"/>
      <c r="DE62" s="43"/>
      <c r="DF62" s="43"/>
      <c r="DG62" s="43"/>
      <c r="DH62" s="43"/>
      <c r="DI62" s="36"/>
    </row>
    <row r="63" spans="1:113" s="7" customFormat="1" ht="12" hidden="1" customHeight="1" outlineLevel="1">
      <c r="A63" s="219"/>
      <c r="B63" s="20" t="s">
        <v>332</v>
      </c>
      <c r="C63" s="36"/>
      <c r="D63" s="43"/>
      <c r="E63" s="36"/>
      <c r="F63" s="36"/>
      <c r="G63" s="36"/>
      <c r="H63" s="36"/>
      <c r="I63" s="36"/>
      <c r="J63" s="43"/>
      <c r="K63" s="36"/>
      <c r="L63" s="43"/>
      <c r="M63" s="36"/>
      <c r="N63" s="43"/>
      <c r="O63" s="36"/>
      <c r="P63" s="43"/>
      <c r="Q63" s="36"/>
      <c r="R63" s="542"/>
      <c r="S63" s="543"/>
      <c r="T63" s="543"/>
      <c r="U63" s="543"/>
      <c r="V63" s="544"/>
      <c r="W63" s="542"/>
      <c r="X63" s="543"/>
      <c r="Y63" s="543"/>
      <c r="Z63" s="543"/>
      <c r="AA63" s="544"/>
      <c r="AB63" s="544"/>
      <c r="AC63" s="542"/>
      <c r="AD63" s="543"/>
      <c r="AE63" s="543"/>
      <c r="AF63" s="543"/>
      <c r="AG63" s="544"/>
      <c r="AH63" s="236"/>
      <c r="AI63" s="237"/>
      <c r="AJ63" s="237"/>
      <c r="AK63" s="237"/>
      <c r="AL63" s="238"/>
      <c r="AM63" s="43"/>
      <c r="AN63" s="43"/>
      <c r="AO63" s="43"/>
      <c r="AP63" s="43"/>
      <c r="AQ63" s="36"/>
      <c r="AR63" s="43"/>
      <c r="AS63" s="43"/>
      <c r="AT63" s="43"/>
      <c r="AU63" s="43"/>
      <c r="AV63" s="36"/>
      <c r="AW63" s="43"/>
      <c r="AX63" s="43"/>
      <c r="AY63" s="43"/>
      <c r="AZ63" s="43"/>
      <c r="BA63" s="36"/>
      <c r="BB63" s="43"/>
      <c r="BC63" s="43"/>
      <c r="BD63" s="43"/>
      <c r="BE63" s="43"/>
      <c r="BF63" s="36"/>
      <c r="BG63" s="43"/>
      <c r="BH63" s="43"/>
      <c r="BI63" s="43"/>
      <c r="BJ63" s="369"/>
      <c r="BK63" s="15"/>
      <c r="BL63" s="43"/>
      <c r="BM63" s="43"/>
      <c r="BN63" s="43"/>
      <c r="BO63" s="374"/>
      <c r="BP63" s="36"/>
      <c r="BQ63" s="369"/>
      <c r="BR63" s="369"/>
      <c r="BS63" s="369"/>
      <c r="BT63" s="374"/>
      <c r="BU63" s="36"/>
      <c r="BV63" s="369"/>
      <c r="BW63" s="369"/>
      <c r="BX63" s="369"/>
      <c r="BY63" s="43"/>
      <c r="BZ63" s="36"/>
      <c r="CA63" s="369"/>
      <c r="CB63" s="369"/>
      <c r="CC63" s="43"/>
      <c r="CD63" s="43"/>
      <c r="CE63" s="347">
        <v>8</v>
      </c>
      <c r="CF63" s="43"/>
      <c r="CG63" s="43"/>
      <c r="CH63" s="43"/>
      <c r="CI63" s="43"/>
      <c r="CJ63" s="347">
        <v>8</v>
      </c>
      <c r="CK63" s="43"/>
      <c r="CL63" s="43"/>
      <c r="CM63" s="43"/>
      <c r="CN63" s="43"/>
      <c r="CO63" s="347">
        <v>8</v>
      </c>
      <c r="CP63" s="43"/>
      <c r="CQ63" s="43"/>
      <c r="CR63" s="43"/>
      <c r="CS63" s="43"/>
      <c r="CT63" s="347">
        <v>8</v>
      </c>
      <c r="CU63" s="43"/>
      <c r="CV63" s="43"/>
      <c r="CW63" s="43"/>
      <c r="CX63" s="43"/>
      <c r="CY63" s="36"/>
      <c r="CZ63" s="43"/>
      <c r="DA63" s="43"/>
      <c r="DB63" s="43"/>
      <c r="DC63" s="43"/>
      <c r="DD63" s="36"/>
      <c r="DE63" s="43"/>
      <c r="DF63" s="43"/>
      <c r="DG63" s="43"/>
      <c r="DH63" s="43"/>
      <c r="DI63" s="36"/>
    </row>
    <row r="64" spans="1:113" s="7" customFormat="1" ht="12" hidden="1" customHeight="1" outlineLevel="1">
      <c r="A64" s="219"/>
      <c r="B64" s="20" t="s">
        <v>334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43"/>
      <c r="O64" s="36"/>
      <c r="P64" s="43"/>
      <c r="Q64" s="36"/>
      <c r="R64" s="542"/>
      <c r="S64" s="543"/>
      <c r="T64" s="543"/>
      <c r="U64" s="543"/>
      <c r="V64" s="544"/>
      <c r="W64" s="542"/>
      <c r="X64" s="543"/>
      <c r="Y64" s="543"/>
      <c r="Z64" s="543"/>
      <c r="AA64" s="544"/>
      <c r="AB64" s="544"/>
      <c r="AC64" s="542"/>
      <c r="AD64" s="543"/>
      <c r="AE64" s="543"/>
      <c r="AF64" s="543"/>
      <c r="AG64" s="544"/>
      <c r="AH64" s="236"/>
      <c r="AI64" s="237"/>
      <c r="AJ64" s="237"/>
      <c r="AK64" s="237"/>
      <c r="AL64" s="238"/>
      <c r="AM64" s="43"/>
      <c r="AN64" s="43"/>
      <c r="AO64" s="43"/>
      <c r="AP64" s="43"/>
      <c r="AQ64" s="36"/>
      <c r="AR64" s="43"/>
      <c r="AS64" s="43"/>
      <c r="AT64" s="43"/>
      <c r="AU64" s="43"/>
      <c r="AV64" s="36"/>
      <c r="AW64" s="43"/>
      <c r="AX64" s="43"/>
      <c r="AY64" s="43"/>
      <c r="AZ64" s="43"/>
      <c r="BA64" s="36"/>
      <c r="BB64" s="43"/>
      <c r="BC64" s="43"/>
      <c r="BD64" s="43"/>
      <c r="BE64" s="43"/>
      <c r="BF64" s="36"/>
      <c r="BG64" s="43"/>
      <c r="BH64" s="43"/>
      <c r="BI64" s="43"/>
      <c r="BJ64" s="369"/>
      <c r="BK64" s="15"/>
      <c r="BL64" s="43"/>
      <c r="BM64" s="43"/>
      <c r="BN64" s="43"/>
      <c r="BO64" s="374"/>
      <c r="BP64" s="36"/>
      <c r="BQ64" s="369"/>
      <c r="BR64" s="369"/>
      <c r="BS64" s="369"/>
      <c r="BT64" s="374"/>
      <c r="BU64" s="36"/>
      <c r="BV64" s="369"/>
      <c r="BW64" s="369"/>
      <c r="BX64" s="369"/>
      <c r="BY64" s="43"/>
      <c r="BZ64" s="36"/>
      <c r="CA64" s="369"/>
      <c r="CB64" s="369"/>
      <c r="CC64" s="43"/>
      <c r="CD64" s="43"/>
      <c r="CE64" s="347">
        <v>67</v>
      </c>
      <c r="CF64" s="43"/>
      <c r="CG64" s="43"/>
      <c r="CH64" s="43"/>
      <c r="CI64" s="43"/>
      <c r="CJ64" s="347">
        <v>68</v>
      </c>
      <c r="CK64" s="43"/>
      <c r="CL64" s="43"/>
      <c r="CM64" s="43"/>
      <c r="CN64" s="43"/>
      <c r="CO64" s="347">
        <v>72</v>
      </c>
      <c r="CP64" s="43"/>
      <c r="CQ64" s="43"/>
      <c r="CR64" s="43"/>
      <c r="CS64" s="43"/>
      <c r="CT64" s="347">
        <v>65</v>
      </c>
      <c r="CU64" s="43"/>
      <c r="CV64" s="43"/>
      <c r="CW64" s="43"/>
      <c r="CX64" s="43"/>
      <c r="CY64" s="36"/>
      <c r="CZ64" s="43"/>
      <c r="DA64" s="43"/>
      <c r="DB64" s="43"/>
      <c r="DC64" s="43"/>
      <c r="DD64" s="36"/>
      <c r="DE64" s="43"/>
      <c r="DF64" s="43"/>
      <c r="DG64" s="43"/>
      <c r="DH64" s="43"/>
      <c r="DI64" s="36"/>
    </row>
    <row r="65" spans="1:113" ht="12" hidden="1" customHeight="1" outlineLevel="1">
      <c r="A65" s="219"/>
      <c r="B65" s="17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6"/>
      <c r="Q65" s="79"/>
      <c r="R65" s="6"/>
      <c r="S65" s="6"/>
      <c r="T65" s="6"/>
      <c r="U65" s="6"/>
      <c r="V65" s="79"/>
      <c r="W65" s="6"/>
      <c r="X65" s="6"/>
      <c r="Y65" s="6"/>
      <c r="Z65" s="6"/>
      <c r="AA65" s="79"/>
      <c r="AB65" s="79"/>
      <c r="AC65" s="6"/>
      <c r="AD65" s="6"/>
      <c r="AE65" s="6"/>
      <c r="AF65" s="6"/>
      <c r="AG65" s="79"/>
      <c r="AH65" s="6"/>
      <c r="AI65" s="6"/>
      <c r="AJ65" s="6"/>
      <c r="AK65" s="6"/>
      <c r="AL65" s="79"/>
      <c r="AM65" s="6"/>
      <c r="AN65" s="6"/>
      <c r="AO65" s="6"/>
      <c r="AP65" s="6"/>
      <c r="AQ65" s="79"/>
      <c r="AR65" s="6"/>
      <c r="AS65" s="6"/>
      <c r="AT65" s="6"/>
      <c r="AU65" s="6"/>
      <c r="AV65" s="79"/>
      <c r="AW65" s="6"/>
      <c r="AX65" s="6"/>
      <c r="AY65" s="6"/>
      <c r="AZ65" s="6"/>
      <c r="BA65" s="79"/>
      <c r="BB65" s="6"/>
      <c r="BC65" s="6"/>
      <c r="BD65" s="6"/>
      <c r="BE65" s="6"/>
      <c r="BF65" s="79"/>
      <c r="BG65" s="6"/>
      <c r="BH65" s="6"/>
      <c r="BI65" s="82"/>
      <c r="BJ65" s="6"/>
      <c r="BK65" s="79"/>
      <c r="BL65" s="6"/>
      <c r="BM65" s="6"/>
      <c r="BN65" s="6"/>
      <c r="BO65" s="6"/>
      <c r="BP65" s="79"/>
      <c r="BQ65" s="6"/>
      <c r="BR65" s="6"/>
      <c r="BS65" s="6"/>
      <c r="BT65" s="6"/>
      <c r="BU65" s="79"/>
      <c r="BV65" s="6"/>
      <c r="BW65" s="6"/>
      <c r="BX65" s="6"/>
      <c r="BY65" s="6"/>
      <c r="BZ65" s="79"/>
      <c r="CA65" s="6"/>
      <c r="CB65" s="6"/>
      <c r="CC65" s="6"/>
      <c r="CD65" s="6"/>
      <c r="CE65" s="79"/>
      <c r="CF65" s="6"/>
      <c r="CG65" s="6"/>
      <c r="CH65" s="6"/>
      <c r="CI65" s="6"/>
      <c r="CJ65" s="79"/>
      <c r="CK65" s="6"/>
      <c r="CL65" s="6"/>
      <c r="CM65" s="6"/>
      <c r="CN65" s="6"/>
      <c r="CO65" s="79"/>
      <c r="CP65" s="6"/>
      <c r="CQ65" s="6"/>
      <c r="CR65" s="6"/>
      <c r="CS65" s="6"/>
      <c r="CT65" s="79"/>
      <c r="CU65" s="6"/>
      <c r="CV65" s="6"/>
      <c r="CW65" s="6"/>
      <c r="CX65" s="6"/>
      <c r="CY65" s="79"/>
      <c r="CZ65" s="6"/>
      <c r="DA65" s="6"/>
      <c r="DB65" s="6"/>
      <c r="DC65" s="6"/>
      <c r="DD65" s="79"/>
      <c r="DE65" s="6"/>
      <c r="DF65" s="6"/>
      <c r="DG65" s="6"/>
      <c r="DH65" s="6"/>
      <c r="DI65" s="79"/>
    </row>
    <row r="66" spans="1:113" ht="12" hidden="1" customHeight="1" outlineLevel="2">
      <c r="A66" s="219"/>
      <c r="B66" s="321" t="s">
        <v>335</v>
      </c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3"/>
      <c r="Q66" s="322"/>
      <c r="R66" s="323"/>
      <c r="S66" s="323"/>
      <c r="T66" s="323"/>
      <c r="U66" s="323"/>
      <c r="V66" s="322"/>
      <c r="W66" s="323"/>
      <c r="X66" s="323"/>
      <c r="Y66" s="323"/>
      <c r="Z66" s="323"/>
      <c r="AA66" s="322"/>
      <c r="AB66" s="322"/>
      <c r="AC66" s="323"/>
      <c r="AD66" s="323"/>
      <c r="AE66" s="323"/>
      <c r="AF66" s="323"/>
      <c r="AG66" s="322"/>
      <c r="AH66" s="323"/>
      <c r="AI66" s="323"/>
      <c r="AJ66" s="323"/>
      <c r="AK66" s="323"/>
      <c r="AL66" s="322"/>
      <c r="AM66" s="323"/>
      <c r="AN66" s="323"/>
      <c r="AO66" s="323"/>
      <c r="AP66" s="323"/>
      <c r="AQ66" s="322"/>
      <c r="AR66" s="323"/>
      <c r="AS66" s="323"/>
      <c r="AT66" s="323"/>
      <c r="AU66" s="323"/>
      <c r="AV66" s="322"/>
      <c r="AW66" s="323"/>
      <c r="AX66" s="323"/>
      <c r="AY66" s="323"/>
      <c r="AZ66" s="323"/>
      <c r="BA66" s="322"/>
      <c r="BB66" s="323"/>
      <c r="BC66" s="323"/>
      <c r="BD66" s="323"/>
      <c r="BE66" s="323"/>
      <c r="BF66" s="322"/>
      <c r="BG66" s="323"/>
      <c r="BH66" s="323"/>
      <c r="BI66" s="324"/>
      <c r="BJ66" s="323"/>
      <c r="BK66" s="322"/>
      <c r="BL66" s="323"/>
      <c r="BM66" s="323"/>
      <c r="BN66" s="323"/>
      <c r="BO66" s="323"/>
      <c r="BP66" s="322"/>
      <c r="BQ66" s="323"/>
      <c r="BR66" s="323"/>
      <c r="BS66" s="323"/>
      <c r="BT66" s="323"/>
      <c r="BU66" s="322"/>
      <c r="BV66" s="323"/>
      <c r="BW66" s="323"/>
      <c r="BX66" s="323"/>
      <c r="BY66" s="323"/>
      <c r="BZ66" s="322"/>
      <c r="CA66" s="323"/>
      <c r="CB66" s="323"/>
      <c r="CC66" s="323"/>
      <c r="CD66" s="323"/>
      <c r="CE66" s="322"/>
      <c r="CF66" s="323"/>
      <c r="CG66" s="323"/>
      <c r="CH66" s="323"/>
      <c r="CI66" s="323"/>
      <c r="CJ66" s="322"/>
      <c r="CK66" s="323"/>
      <c r="CL66" s="323"/>
      <c r="CM66" s="323"/>
      <c r="CN66" s="323"/>
      <c r="CO66" s="322"/>
      <c r="CP66" s="323"/>
      <c r="CQ66" s="323"/>
      <c r="CR66" s="323"/>
      <c r="CS66" s="323"/>
      <c r="CT66" s="322"/>
      <c r="CU66" s="323"/>
      <c r="CV66" s="323"/>
      <c r="CW66" s="323"/>
      <c r="CX66" s="323"/>
      <c r="CY66" s="322"/>
      <c r="CZ66" s="323"/>
      <c r="DA66" s="323"/>
      <c r="DB66" s="323"/>
      <c r="DC66" s="323"/>
      <c r="DD66" s="322"/>
      <c r="DE66" s="323"/>
      <c r="DF66" s="323"/>
      <c r="DG66" s="323"/>
      <c r="DH66" s="323"/>
      <c r="DI66" s="322"/>
    </row>
    <row r="67" spans="1:113" ht="12" hidden="1" customHeight="1" outlineLevel="2">
      <c r="A67" s="219"/>
      <c r="B67" s="321" t="s">
        <v>107</v>
      </c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2"/>
      <c r="N67" s="322"/>
      <c r="O67" s="322"/>
      <c r="P67" s="323"/>
      <c r="Q67" s="322"/>
      <c r="R67" s="323"/>
      <c r="S67" s="323"/>
      <c r="T67" s="323"/>
      <c r="U67" s="323"/>
      <c r="V67" s="322"/>
      <c r="W67" s="323"/>
      <c r="X67" s="323"/>
      <c r="Y67" s="323"/>
      <c r="Z67" s="323"/>
      <c r="AA67" s="322"/>
      <c r="AB67" s="322"/>
      <c r="AC67" s="323"/>
      <c r="AD67" s="323"/>
      <c r="AE67" s="323"/>
      <c r="AF67" s="323"/>
      <c r="AG67" s="322"/>
      <c r="AH67" s="323"/>
      <c r="AI67" s="323"/>
      <c r="AJ67" s="323"/>
      <c r="AK67" s="323"/>
      <c r="AL67" s="322"/>
      <c r="AM67" s="323"/>
      <c r="AN67" s="323"/>
      <c r="AO67" s="323"/>
      <c r="AP67" s="323"/>
      <c r="AQ67" s="322"/>
      <c r="AR67" s="323"/>
      <c r="AS67" s="323"/>
      <c r="AT67" s="323"/>
      <c r="AU67" s="323"/>
      <c r="AV67" s="322"/>
      <c r="AW67" s="323"/>
      <c r="AX67" s="323"/>
      <c r="AY67" s="323"/>
      <c r="AZ67" s="323"/>
      <c r="BA67" s="322"/>
      <c r="BB67" s="323"/>
      <c r="BC67" s="323"/>
      <c r="BD67" s="323"/>
      <c r="BE67" s="323"/>
      <c r="BF67" s="322"/>
      <c r="BG67" s="323"/>
      <c r="BH67" s="323"/>
      <c r="BI67" s="324"/>
      <c r="BJ67" s="323"/>
      <c r="BK67" s="322"/>
      <c r="BL67" s="323"/>
      <c r="BM67" s="323"/>
      <c r="BN67" s="323"/>
      <c r="BO67" s="323"/>
      <c r="BP67" s="325">
        <v>16430</v>
      </c>
      <c r="BQ67" s="323"/>
      <c r="BR67" s="323"/>
      <c r="BS67" s="323"/>
      <c r="BT67" s="323"/>
      <c r="BU67" s="325">
        <v>18391</v>
      </c>
      <c r="BV67" s="323"/>
      <c r="BW67" s="323"/>
      <c r="BX67" s="323"/>
      <c r="BY67" s="323"/>
      <c r="BZ67" s="325">
        <v>18797</v>
      </c>
      <c r="CA67" s="323"/>
      <c r="CB67" s="323"/>
      <c r="CC67" s="323"/>
      <c r="CD67" s="323"/>
      <c r="CE67" s="325">
        <v>20733</v>
      </c>
      <c r="CF67" s="323"/>
      <c r="CG67" s="323"/>
      <c r="CH67" s="323"/>
      <c r="CI67" s="323"/>
      <c r="CJ67" s="325">
        <v>20868</v>
      </c>
      <c r="CK67" s="323"/>
      <c r="CL67" s="323"/>
      <c r="CM67" s="323"/>
      <c r="CN67" s="323"/>
      <c r="CO67" s="322"/>
      <c r="CP67" s="323"/>
      <c r="CQ67" s="323"/>
      <c r="CR67" s="323"/>
      <c r="CS67" s="323"/>
      <c r="CT67" s="322"/>
      <c r="CU67" s="323"/>
      <c r="CV67" s="323"/>
      <c r="CW67" s="323"/>
      <c r="CX67" s="323"/>
      <c r="CY67" s="322"/>
      <c r="CZ67" s="323"/>
      <c r="DA67" s="323"/>
      <c r="DB67" s="323"/>
      <c r="DC67" s="323"/>
      <c r="DD67" s="322"/>
      <c r="DE67" s="323"/>
      <c r="DF67" s="323"/>
      <c r="DG67" s="323"/>
      <c r="DH67" s="323"/>
      <c r="DI67" s="322"/>
    </row>
    <row r="68" spans="1:113" ht="12" hidden="1" customHeight="1" outlineLevel="2">
      <c r="A68" s="219"/>
      <c r="B68" s="326" t="s">
        <v>171</v>
      </c>
      <c r="C68" s="322"/>
      <c r="D68" s="322"/>
      <c r="E68" s="322"/>
      <c r="F68" s="322"/>
      <c r="G68" s="322"/>
      <c r="H68" s="322"/>
      <c r="I68" s="322"/>
      <c r="J68" s="322"/>
      <c r="K68" s="322"/>
      <c r="L68" s="322"/>
      <c r="M68" s="322"/>
      <c r="N68" s="322"/>
      <c r="O68" s="322"/>
      <c r="P68" s="323"/>
      <c r="Q68" s="322"/>
      <c r="R68" s="323"/>
      <c r="S68" s="323"/>
      <c r="T68" s="323"/>
      <c r="U68" s="323"/>
      <c r="V68" s="322"/>
      <c r="W68" s="323"/>
      <c r="X68" s="323"/>
      <c r="Y68" s="323"/>
      <c r="Z68" s="323"/>
      <c r="AA68" s="322"/>
      <c r="AB68" s="322"/>
      <c r="AC68" s="323"/>
      <c r="AD68" s="323"/>
      <c r="AE68" s="323"/>
      <c r="AF68" s="323"/>
      <c r="AG68" s="322"/>
      <c r="AH68" s="323"/>
      <c r="AI68" s="323"/>
      <c r="AJ68" s="323"/>
      <c r="AK68" s="323"/>
      <c r="AL68" s="322"/>
      <c r="AM68" s="323"/>
      <c r="AN68" s="323"/>
      <c r="AO68" s="323"/>
      <c r="AP68" s="323"/>
      <c r="AQ68" s="322"/>
      <c r="AR68" s="323"/>
      <c r="AS68" s="323"/>
      <c r="AT68" s="323"/>
      <c r="AU68" s="323"/>
      <c r="AV68" s="322"/>
      <c r="AW68" s="323"/>
      <c r="AX68" s="323"/>
      <c r="AY68" s="323"/>
      <c r="AZ68" s="323"/>
      <c r="BA68" s="322"/>
      <c r="BB68" s="323"/>
      <c r="BC68" s="323"/>
      <c r="BD68" s="323"/>
      <c r="BE68" s="323"/>
      <c r="BF68" s="322"/>
      <c r="BG68" s="323"/>
      <c r="BH68" s="323"/>
      <c r="BI68" s="324"/>
      <c r="BJ68" s="323"/>
      <c r="BK68" s="322"/>
      <c r="BL68" s="323"/>
      <c r="BM68" s="323"/>
      <c r="BN68" s="323"/>
      <c r="BO68" s="323"/>
      <c r="BP68" s="327" t="s">
        <v>126</v>
      </c>
      <c r="BQ68" s="323"/>
      <c r="BR68" s="323"/>
      <c r="BS68" s="323"/>
      <c r="BT68" s="323"/>
      <c r="BU68" s="328">
        <f t="shared" ref="BU68" si="268">+BU67/BP67-1</f>
        <v>0.11935483870967745</v>
      </c>
      <c r="BV68" s="323"/>
      <c r="BW68" s="323"/>
      <c r="BX68" s="323"/>
      <c r="BY68" s="323"/>
      <c r="BZ68" s="328">
        <f t="shared" ref="BZ68" si="269">+BZ67/BU67-1</f>
        <v>2.2076015442335839E-2</v>
      </c>
      <c r="CA68" s="323"/>
      <c r="CB68" s="323"/>
      <c r="CC68" s="323"/>
      <c r="CD68" s="323"/>
      <c r="CE68" s="328">
        <f t="shared" ref="CE68" si="270">+CE67/BZ67-1</f>
        <v>0.10299515880193644</v>
      </c>
      <c r="CF68" s="323"/>
      <c r="CG68" s="323"/>
      <c r="CH68" s="323"/>
      <c r="CI68" s="323"/>
      <c r="CJ68" s="328">
        <f t="shared" ref="CJ68" si="271">+CJ67/CE67-1</f>
        <v>6.5113587035161569E-3</v>
      </c>
      <c r="CK68" s="323"/>
      <c r="CL68" s="323"/>
      <c r="CM68" s="323"/>
      <c r="CN68" s="323"/>
      <c r="CO68" s="328"/>
      <c r="CP68" s="323"/>
      <c r="CQ68" s="323"/>
      <c r="CR68" s="323"/>
      <c r="CS68" s="323"/>
      <c r="CT68" s="328"/>
      <c r="CU68" s="323"/>
      <c r="CV68" s="323"/>
      <c r="CW68" s="323"/>
      <c r="CX68" s="323"/>
      <c r="CY68" s="322"/>
      <c r="CZ68" s="323"/>
      <c r="DA68" s="323"/>
      <c r="DB68" s="323"/>
      <c r="DC68" s="323"/>
      <c r="DD68" s="322"/>
      <c r="DE68" s="323"/>
      <c r="DF68" s="323"/>
      <c r="DG68" s="323"/>
      <c r="DH68" s="323"/>
      <c r="DI68" s="322"/>
    </row>
    <row r="69" spans="1:113" ht="12" hidden="1" customHeight="1" outlineLevel="2">
      <c r="A69" s="219"/>
      <c r="B69" s="329" t="s">
        <v>173</v>
      </c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  <c r="P69" s="323"/>
      <c r="Q69" s="322"/>
      <c r="R69" s="323"/>
      <c r="S69" s="323"/>
      <c r="T69" s="323"/>
      <c r="U69" s="323"/>
      <c r="V69" s="322"/>
      <c r="W69" s="323"/>
      <c r="X69" s="323"/>
      <c r="Y69" s="323"/>
      <c r="Z69" s="323"/>
      <c r="AA69" s="322"/>
      <c r="AB69" s="322"/>
      <c r="AC69" s="323"/>
      <c r="AD69" s="323"/>
      <c r="AE69" s="323"/>
      <c r="AF69" s="323"/>
      <c r="AG69" s="322"/>
      <c r="AH69" s="323"/>
      <c r="AI69" s="323"/>
      <c r="AJ69" s="323"/>
      <c r="AK69" s="323"/>
      <c r="AL69" s="322"/>
      <c r="AM69" s="323"/>
      <c r="AN69" s="323"/>
      <c r="AO69" s="323"/>
      <c r="AP69" s="323"/>
      <c r="AQ69" s="322"/>
      <c r="AR69" s="323"/>
      <c r="AS69" s="323"/>
      <c r="AT69" s="323"/>
      <c r="AU69" s="323"/>
      <c r="AV69" s="322"/>
      <c r="AW69" s="323"/>
      <c r="AX69" s="323"/>
      <c r="AY69" s="323"/>
      <c r="AZ69" s="323"/>
      <c r="BA69" s="322"/>
      <c r="BB69" s="323"/>
      <c r="BC69" s="323"/>
      <c r="BD69" s="323"/>
      <c r="BE69" s="323"/>
      <c r="BF69" s="322"/>
      <c r="BG69" s="323"/>
      <c r="BH69" s="323"/>
      <c r="BI69" s="324"/>
      <c r="BJ69" s="323"/>
      <c r="BK69" s="322"/>
      <c r="BL69" s="323"/>
      <c r="BM69" s="323"/>
      <c r="BN69" s="323"/>
      <c r="BO69" s="323"/>
      <c r="BP69" s="327" t="s">
        <v>126</v>
      </c>
      <c r="BQ69" s="323"/>
      <c r="BR69" s="323"/>
      <c r="BS69" s="323"/>
      <c r="BT69" s="323"/>
      <c r="BU69" s="330">
        <v>0.1</v>
      </c>
      <c r="BV69" s="323"/>
      <c r="BW69" s="323"/>
      <c r="BX69" s="323"/>
      <c r="BY69" s="323"/>
      <c r="BZ69" s="330">
        <v>0.03</v>
      </c>
      <c r="CA69" s="323"/>
      <c r="CB69" s="323"/>
      <c r="CC69" s="323"/>
      <c r="CD69" s="323"/>
      <c r="CE69" s="330">
        <v>0.17</v>
      </c>
      <c r="CF69" s="323"/>
      <c r="CG69" s="323"/>
      <c r="CH69" s="323"/>
      <c r="CI69" s="323"/>
      <c r="CJ69" s="330">
        <v>0.01</v>
      </c>
      <c r="CK69" s="323"/>
      <c r="CL69" s="323"/>
      <c r="CM69" s="323"/>
      <c r="CN69" s="323"/>
      <c r="CO69" s="322"/>
      <c r="CP69" s="323"/>
      <c r="CQ69" s="323"/>
      <c r="CR69" s="323"/>
      <c r="CS69" s="323"/>
      <c r="CT69" s="322"/>
      <c r="CU69" s="323"/>
      <c r="CV69" s="323"/>
      <c r="CW69" s="323"/>
      <c r="CX69" s="323"/>
      <c r="CY69" s="322"/>
      <c r="CZ69" s="323"/>
      <c r="DA69" s="323"/>
      <c r="DB69" s="323"/>
      <c r="DC69" s="323"/>
      <c r="DD69" s="322"/>
      <c r="DE69" s="323"/>
      <c r="DF69" s="323"/>
      <c r="DG69" s="323"/>
      <c r="DH69" s="323"/>
      <c r="DI69" s="322"/>
    </row>
    <row r="70" spans="1:113" s="3" customFormat="1" ht="12" hidden="1" customHeight="1" outlineLevel="2">
      <c r="A70" s="490"/>
      <c r="B70" s="329" t="s">
        <v>141</v>
      </c>
      <c r="C70" s="331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2"/>
      <c r="Q70" s="331"/>
      <c r="R70" s="332"/>
      <c r="S70" s="332"/>
      <c r="T70" s="332"/>
      <c r="U70" s="332"/>
      <c r="V70" s="331"/>
      <c r="W70" s="332"/>
      <c r="X70" s="332"/>
      <c r="Y70" s="332"/>
      <c r="Z70" s="332"/>
      <c r="AA70" s="331"/>
      <c r="AB70" s="331"/>
      <c r="AC70" s="332"/>
      <c r="AD70" s="332"/>
      <c r="AE70" s="332"/>
      <c r="AF70" s="332"/>
      <c r="AG70" s="331"/>
      <c r="AH70" s="332"/>
      <c r="AI70" s="332"/>
      <c r="AJ70" s="332"/>
      <c r="AK70" s="332"/>
      <c r="AL70" s="331"/>
      <c r="AM70" s="332"/>
      <c r="AN70" s="332"/>
      <c r="AO70" s="332"/>
      <c r="AP70" s="332"/>
      <c r="AQ70" s="331"/>
      <c r="AR70" s="332"/>
      <c r="AS70" s="332"/>
      <c r="AT70" s="332"/>
      <c r="AU70" s="332"/>
      <c r="AV70" s="331"/>
      <c r="AW70" s="332"/>
      <c r="AX70" s="332"/>
      <c r="AY70" s="332"/>
      <c r="AZ70" s="332"/>
      <c r="BA70" s="331"/>
      <c r="BB70" s="332"/>
      <c r="BC70" s="332"/>
      <c r="BD70" s="332"/>
      <c r="BE70" s="332"/>
      <c r="BF70" s="331"/>
      <c r="BG70" s="332"/>
      <c r="BH70" s="332"/>
      <c r="BI70" s="333"/>
      <c r="BJ70" s="332"/>
      <c r="BK70" s="331"/>
      <c r="BL70" s="332"/>
      <c r="BM70" s="332"/>
      <c r="BN70" s="332"/>
      <c r="BO70" s="332"/>
      <c r="BP70" s="327" t="s">
        <v>126</v>
      </c>
      <c r="BQ70" s="332"/>
      <c r="BR70" s="332"/>
      <c r="BS70" s="332"/>
      <c r="BT70" s="332"/>
      <c r="BU70" s="328">
        <f t="shared" ref="BU70" si="272">(1+BU68)/(1+BU69)-1</f>
        <v>1.7595307917888547E-2</v>
      </c>
      <c r="BV70" s="332"/>
      <c r="BW70" s="332"/>
      <c r="BX70" s="332"/>
      <c r="BY70" s="332"/>
      <c r="BZ70" s="328">
        <f t="shared" ref="BZ70" si="273">(1+BZ68)/(1+BZ69)-1</f>
        <v>-7.6931888909360646E-3</v>
      </c>
      <c r="CA70" s="332"/>
      <c r="CB70" s="332"/>
      <c r="CC70" s="332"/>
      <c r="CD70" s="332"/>
      <c r="CE70" s="328">
        <f t="shared" ref="CE70" si="274">(1+CE68)/(1+CE69)-1</f>
        <v>-5.7269095041079909E-2</v>
      </c>
      <c r="CF70" s="332"/>
      <c r="CG70" s="332"/>
      <c r="CH70" s="332"/>
      <c r="CI70" s="332"/>
      <c r="CJ70" s="328">
        <f t="shared" ref="CJ70" si="275">(1+CJ68)/(1+CJ69)-1</f>
        <v>-3.4541002935484233E-3</v>
      </c>
      <c r="CK70" s="332"/>
      <c r="CL70" s="332"/>
      <c r="CM70" s="332"/>
      <c r="CN70" s="332"/>
      <c r="CO70" s="328"/>
      <c r="CP70" s="332"/>
      <c r="CQ70" s="332"/>
      <c r="CR70" s="332"/>
      <c r="CS70" s="332"/>
      <c r="CT70" s="328"/>
      <c r="CU70" s="332"/>
      <c r="CV70" s="332"/>
      <c r="CW70" s="332"/>
      <c r="CX70" s="332"/>
      <c r="CY70" s="331"/>
      <c r="CZ70" s="332"/>
      <c r="DA70" s="332"/>
      <c r="DB70" s="332"/>
      <c r="DC70" s="332"/>
      <c r="DD70" s="331"/>
      <c r="DE70" s="332"/>
      <c r="DF70" s="332"/>
      <c r="DG70" s="332"/>
      <c r="DH70" s="332"/>
      <c r="DI70" s="331"/>
    </row>
    <row r="71" spans="1:113" ht="12" hidden="1" customHeight="1" outlineLevel="2">
      <c r="A71" s="219"/>
      <c r="B71" s="329" t="s">
        <v>337</v>
      </c>
      <c r="C71" s="322"/>
      <c r="D71" s="322"/>
      <c r="E71" s="322"/>
      <c r="F71" s="322"/>
      <c r="G71" s="322"/>
      <c r="H71" s="322"/>
      <c r="I71" s="322"/>
      <c r="J71" s="322"/>
      <c r="K71" s="322"/>
      <c r="L71" s="322"/>
      <c r="M71" s="322"/>
      <c r="N71" s="322"/>
      <c r="O71" s="322"/>
      <c r="P71" s="323"/>
      <c r="Q71" s="322"/>
      <c r="R71" s="323"/>
      <c r="S71" s="323"/>
      <c r="T71" s="323"/>
      <c r="U71" s="323"/>
      <c r="V71" s="322"/>
      <c r="W71" s="323"/>
      <c r="X71" s="323"/>
      <c r="Y71" s="323"/>
      <c r="Z71" s="323"/>
      <c r="AA71" s="322"/>
      <c r="AB71" s="322"/>
      <c r="AC71" s="323"/>
      <c r="AD71" s="323"/>
      <c r="AE71" s="323"/>
      <c r="AF71" s="323"/>
      <c r="AG71" s="322"/>
      <c r="AH71" s="323"/>
      <c r="AI71" s="323"/>
      <c r="AJ71" s="323"/>
      <c r="AK71" s="323"/>
      <c r="AL71" s="322"/>
      <c r="AM71" s="323"/>
      <c r="AN71" s="323"/>
      <c r="AO71" s="323"/>
      <c r="AP71" s="323"/>
      <c r="AQ71" s="322"/>
      <c r="AR71" s="323"/>
      <c r="AS71" s="323"/>
      <c r="AT71" s="323"/>
      <c r="AU71" s="323"/>
      <c r="AV71" s="322"/>
      <c r="AW71" s="323"/>
      <c r="AX71" s="323"/>
      <c r="AY71" s="323"/>
      <c r="AZ71" s="323"/>
      <c r="BA71" s="322"/>
      <c r="BB71" s="323"/>
      <c r="BC71" s="323"/>
      <c r="BD71" s="323"/>
      <c r="BE71" s="323"/>
      <c r="BF71" s="322"/>
      <c r="BG71" s="323"/>
      <c r="BH71" s="323"/>
      <c r="BI71" s="324"/>
      <c r="BJ71" s="323"/>
      <c r="BK71" s="322"/>
      <c r="BL71" s="323"/>
      <c r="BM71" s="323"/>
      <c r="BN71" s="323"/>
      <c r="BO71" s="323"/>
      <c r="BP71" s="328">
        <f>BP67/BP$91</f>
        <v>0.53678776790381599</v>
      </c>
      <c r="BQ71" s="323"/>
      <c r="BR71" s="323"/>
      <c r="BS71" s="323"/>
      <c r="BT71" s="323"/>
      <c r="BU71" s="328">
        <f>BU67/BU$91</f>
        <v>0.51414593234554096</v>
      </c>
      <c r="BV71" s="323"/>
      <c r="BW71" s="323"/>
      <c r="BX71" s="323"/>
      <c r="BY71" s="323"/>
      <c r="BZ71" s="328">
        <f>BZ67/BZ$91</f>
        <v>0.519957954136815</v>
      </c>
      <c r="CA71" s="323"/>
      <c r="CB71" s="323"/>
      <c r="CC71" s="323"/>
      <c r="CD71" s="323"/>
      <c r="CE71" s="328">
        <f>CE67/CE$91</f>
        <v>0.51668452662795628</v>
      </c>
      <c r="CF71" s="323"/>
      <c r="CG71" s="323"/>
      <c r="CH71" s="323"/>
      <c r="CI71" s="323"/>
      <c r="CJ71" s="328">
        <f>CJ67/CJ$91</f>
        <v>0.51188461255427187</v>
      </c>
      <c r="CK71" s="323"/>
      <c r="CL71" s="323"/>
      <c r="CM71" s="323"/>
      <c r="CN71" s="323"/>
      <c r="CO71" s="328"/>
      <c r="CP71" s="323"/>
      <c r="CQ71" s="323"/>
      <c r="CR71" s="323"/>
      <c r="CS71" s="323"/>
      <c r="CT71" s="328"/>
      <c r="CU71" s="323"/>
      <c r="CV71" s="323"/>
      <c r="CW71" s="323"/>
      <c r="CX71" s="323"/>
      <c r="CY71" s="322"/>
      <c r="CZ71" s="323"/>
      <c r="DA71" s="323"/>
      <c r="DB71" s="323"/>
      <c r="DC71" s="323"/>
      <c r="DD71" s="322"/>
      <c r="DE71" s="323"/>
      <c r="DF71" s="323"/>
      <c r="DG71" s="323"/>
      <c r="DH71" s="323"/>
      <c r="DI71" s="322"/>
    </row>
    <row r="72" spans="1:113" ht="12" hidden="1" customHeight="1" outlineLevel="2">
      <c r="A72" s="219"/>
      <c r="B72" s="321" t="s">
        <v>108</v>
      </c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3"/>
      <c r="Q72" s="322"/>
      <c r="R72" s="323"/>
      <c r="S72" s="323"/>
      <c r="T72" s="323"/>
      <c r="U72" s="323"/>
      <c r="V72" s="322"/>
      <c r="W72" s="323"/>
      <c r="X72" s="323"/>
      <c r="Y72" s="323"/>
      <c r="Z72" s="323"/>
      <c r="AA72" s="322"/>
      <c r="AB72" s="322"/>
      <c r="AC72" s="323"/>
      <c r="AD72" s="323"/>
      <c r="AE72" s="323"/>
      <c r="AF72" s="323"/>
      <c r="AG72" s="322"/>
      <c r="AH72" s="323"/>
      <c r="AI72" s="323"/>
      <c r="AJ72" s="323"/>
      <c r="AK72" s="323"/>
      <c r="AL72" s="322"/>
      <c r="AM72" s="323"/>
      <c r="AN72" s="323"/>
      <c r="AO72" s="323"/>
      <c r="AP72" s="323"/>
      <c r="AQ72" s="322"/>
      <c r="AR72" s="323"/>
      <c r="AS72" s="323"/>
      <c r="AT72" s="323"/>
      <c r="AU72" s="323"/>
      <c r="AV72" s="322"/>
      <c r="AW72" s="323"/>
      <c r="AX72" s="323"/>
      <c r="AY72" s="323"/>
      <c r="AZ72" s="323"/>
      <c r="BA72" s="322"/>
      <c r="BB72" s="323"/>
      <c r="BC72" s="323"/>
      <c r="BD72" s="323"/>
      <c r="BE72" s="323"/>
      <c r="BF72" s="322"/>
      <c r="BG72" s="323"/>
      <c r="BH72" s="323"/>
      <c r="BI72" s="324"/>
      <c r="BJ72" s="323"/>
      <c r="BK72" s="322"/>
      <c r="BL72" s="323"/>
      <c r="BM72" s="323"/>
      <c r="BN72" s="323"/>
      <c r="BO72" s="323"/>
      <c r="BP72" s="325">
        <v>6954</v>
      </c>
      <c r="BQ72" s="323"/>
      <c r="BR72" s="323"/>
      <c r="BS72" s="323"/>
      <c r="BT72" s="323"/>
      <c r="BU72" s="325">
        <v>8225</v>
      </c>
      <c r="BV72" s="323"/>
      <c r="BW72" s="323"/>
      <c r="BX72" s="323"/>
      <c r="BY72" s="323"/>
      <c r="BZ72" s="325">
        <v>8273</v>
      </c>
      <c r="CA72" s="323"/>
      <c r="CB72" s="323"/>
      <c r="CC72" s="323"/>
      <c r="CD72" s="323"/>
      <c r="CE72" s="325">
        <v>8606</v>
      </c>
      <c r="CF72" s="323"/>
      <c r="CG72" s="323"/>
      <c r="CH72" s="323"/>
      <c r="CI72" s="323"/>
      <c r="CJ72" s="325">
        <v>8586</v>
      </c>
      <c r="CK72" s="323"/>
      <c r="CL72" s="323"/>
      <c r="CM72" s="323"/>
      <c r="CN72" s="323"/>
      <c r="CO72" s="322"/>
      <c r="CP72" s="323"/>
      <c r="CQ72" s="323"/>
      <c r="CR72" s="323"/>
      <c r="CS72" s="323"/>
      <c r="CT72" s="322"/>
      <c r="CU72" s="323"/>
      <c r="CV72" s="323"/>
      <c r="CW72" s="323"/>
      <c r="CX72" s="323"/>
      <c r="CY72" s="322"/>
      <c r="CZ72" s="323"/>
      <c r="DA72" s="323"/>
      <c r="DB72" s="323"/>
      <c r="DC72" s="323"/>
      <c r="DD72" s="322"/>
      <c r="DE72" s="323"/>
      <c r="DF72" s="323"/>
      <c r="DG72" s="323"/>
      <c r="DH72" s="323"/>
      <c r="DI72" s="322"/>
    </row>
    <row r="73" spans="1:113" ht="12" hidden="1" customHeight="1" outlineLevel="2">
      <c r="A73" s="219"/>
      <c r="B73" s="326" t="s">
        <v>171</v>
      </c>
      <c r="C73" s="322"/>
      <c r="D73" s="322"/>
      <c r="E73" s="322"/>
      <c r="F73" s="322"/>
      <c r="G73" s="322"/>
      <c r="H73" s="322"/>
      <c r="I73" s="322"/>
      <c r="J73" s="322"/>
      <c r="K73" s="322"/>
      <c r="L73" s="322"/>
      <c r="M73" s="322"/>
      <c r="N73" s="322"/>
      <c r="O73" s="322"/>
      <c r="P73" s="323"/>
      <c r="Q73" s="322"/>
      <c r="R73" s="323"/>
      <c r="S73" s="323"/>
      <c r="T73" s="323"/>
      <c r="U73" s="323"/>
      <c r="V73" s="322"/>
      <c r="W73" s="323"/>
      <c r="X73" s="323"/>
      <c r="Y73" s="323"/>
      <c r="Z73" s="323"/>
      <c r="AA73" s="322"/>
      <c r="AB73" s="322"/>
      <c r="AC73" s="323"/>
      <c r="AD73" s="323"/>
      <c r="AE73" s="323"/>
      <c r="AF73" s="323"/>
      <c r="AG73" s="322"/>
      <c r="AH73" s="323"/>
      <c r="AI73" s="323"/>
      <c r="AJ73" s="323"/>
      <c r="AK73" s="323"/>
      <c r="AL73" s="322"/>
      <c r="AM73" s="323"/>
      <c r="AN73" s="323"/>
      <c r="AO73" s="323"/>
      <c r="AP73" s="323"/>
      <c r="AQ73" s="322"/>
      <c r="AR73" s="323"/>
      <c r="AS73" s="323"/>
      <c r="AT73" s="323"/>
      <c r="AU73" s="323"/>
      <c r="AV73" s="322"/>
      <c r="AW73" s="323"/>
      <c r="AX73" s="323"/>
      <c r="AY73" s="323"/>
      <c r="AZ73" s="323"/>
      <c r="BA73" s="322"/>
      <c r="BB73" s="323"/>
      <c r="BC73" s="323"/>
      <c r="BD73" s="323"/>
      <c r="BE73" s="323"/>
      <c r="BF73" s="322"/>
      <c r="BG73" s="323"/>
      <c r="BH73" s="323"/>
      <c r="BI73" s="324"/>
      <c r="BJ73" s="323"/>
      <c r="BK73" s="322"/>
      <c r="BL73" s="323"/>
      <c r="BM73" s="323"/>
      <c r="BN73" s="323"/>
      <c r="BO73" s="323"/>
      <c r="BP73" s="327" t="s">
        <v>126</v>
      </c>
      <c r="BQ73" s="323"/>
      <c r="BR73" s="323"/>
      <c r="BS73" s="323"/>
      <c r="BT73" s="323"/>
      <c r="BU73" s="328">
        <f t="shared" ref="BU73" si="276">+BU72/BP72-1</f>
        <v>0.18277250503307441</v>
      </c>
      <c r="BV73" s="323"/>
      <c r="BW73" s="323"/>
      <c r="BX73" s="323"/>
      <c r="BY73" s="323"/>
      <c r="BZ73" s="328">
        <f t="shared" ref="BZ73" si="277">+BZ72/BU72-1</f>
        <v>5.8358662613982037E-3</v>
      </c>
      <c r="CA73" s="323"/>
      <c r="CB73" s="323"/>
      <c r="CC73" s="323"/>
      <c r="CD73" s="323"/>
      <c r="CE73" s="328">
        <f t="shared" ref="CE73" si="278">+CE72/BZ72-1</f>
        <v>4.0251420282847894E-2</v>
      </c>
      <c r="CF73" s="323"/>
      <c r="CG73" s="323"/>
      <c r="CH73" s="323"/>
      <c r="CI73" s="323"/>
      <c r="CJ73" s="328">
        <f t="shared" ref="CJ73" si="279">+CJ72/CE72-1</f>
        <v>-2.3239600278874839E-3</v>
      </c>
      <c r="CK73" s="323"/>
      <c r="CL73" s="323"/>
      <c r="CM73" s="323"/>
      <c r="CN73" s="323"/>
      <c r="CO73" s="328"/>
      <c r="CP73" s="323"/>
      <c r="CQ73" s="323"/>
      <c r="CR73" s="323"/>
      <c r="CS73" s="323"/>
      <c r="CT73" s="328"/>
      <c r="CU73" s="323"/>
      <c r="CV73" s="323"/>
      <c r="CW73" s="323"/>
      <c r="CX73" s="323"/>
      <c r="CY73" s="322"/>
      <c r="CZ73" s="323"/>
      <c r="DA73" s="323"/>
      <c r="DB73" s="323"/>
      <c r="DC73" s="323"/>
      <c r="DD73" s="322"/>
      <c r="DE73" s="323"/>
      <c r="DF73" s="323"/>
      <c r="DG73" s="323"/>
      <c r="DH73" s="323"/>
      <c r="DI73" s="322"/>
    </row>
    <row r="74" spans="1:113" ht="12" hidden="1" customHeight="1" outlineLevel="2">
      <c r="A74" s="219"/>
      <c r="B74" s="329" t="s">
        <v>173</v>
      </c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3"/>
      <c r="Q74" s="322"/>
      <c r="R74" s="323"/>
      <c r="S74" s="323"/>
      <c r="T74" s="323"/>
      <c r="U74" s="323"/>
      <c r="V74" s="322"/>
      <c r="W74" s="323"/>
      <c r="X74" s="323"/>
      <c r="Y74" s="323"/>
      <c r="Z74" s="323"/>
      <c r="AA74" s="322"/>
      <c r="AB74" s="322"/>
      <c r="AC74" s="323"/>
      <c r="AD74" s="323"/>
      <c r="AE74" s="323"/>
      <c r="AF74" s="323"/>
      <c r="AG74" s="322"/>
      <c r="AH74" s="323"/>
      <c r="AI74" s="323"/>
      <c r="AJ74" s="323"/>
      <c r="AK74" s="323"/>
      <c r="AL74" s="322"/>
      <c r="AM74" s="323"/>
      <c r="AN74" s="323"/>
      <c r="AO74" s="323"/>
      <c r="AP74" s="323"/>
      <c r="AQ74" s="322"/>
      <c r="AR74" s="323"/>
      <c r="AS74" s="323"/>
      <c r="AT74" s="323"/>
      <c r="AU74" s="323"/>
      <c r="AV74" s="322"/>
      <c r="AW74" s="323"/>
      <c r="AX74" s="323"/>
      <c r="AY74" s="323"/>
      <c r="AZ74" s="323"/>
      <c r="BA74" s="322"/>
      <c r="BB74" s="323"/>
      <c r="BC74" s="323"/>
      <c r="BD74" s="323"/>
      <c r="BE74" s="323"/>
      <c r="BF74" s="322"/>
      <c r="BG74" s="323"/>
      <c r="BH74" s="323"/>
      <c r="BI74" s="324"/>
      <c r="BJ74" s="323"/>
      <c r="BK74" s="322"/>
      <c r="BL74" s="323"/>
      <c r="BM74" s="323"/>
      <c r="BN74" s="323"/>
      <c r="BO74" s="323"/>
      <c r="BP74" s="327" t="s">
        <v>126</v>
      </c>
      <c r="BQ74" s="323"/>
      <c r="BR74" s="323"/>
      <c r="BS74" s="323"/>
      <c r="BT74" s="323"/>
      <c r="BU74" s="330">
        <v>0.16</v>
      </c>
      <c r="BV74" s="323"/>
      <c r="BW74" s="323"/>
      <c r="BX74" s="323"/>
      <c r="BY74" s="323"/>
      <c r="BZ74" s="330">
        <v>0.01</v>
      </c>
      <c r="CA74" s="323"/>
      <c r="CB74" s="323"/>
      <c r="CC74" s="323"/>
      <c r="CD74" s="323"/>
      <c r="CE74" s="330">
        <v>0.11</v>
      </c>
      <c r="CF74" s="323"/>
      <c r="CG74" s="323"/>
      <c r="CH74" s="323"/>
      <c r="CI74" s="323"/>
      <c r="CJ74" s="330">
        <v>0.01</v>
      </c>
      <c r="CK74" s="323"/>
      <c r="CL74" s="323"/>
      <c r="CM74" s="323"/>
      <c r="CN74" s="323"/>
      <c r="CO74" s="322"/>
      <c r="CP74" s="323"/>
      <c r="CQ74" s="323"/>
      <c r="CR74" s="323"/>
      <c r="CS74" s="323"/>
      <c r="CT74" s="322"/>
      <c r="CU74" s="323"/>
      <c r="CV74" s="323"/>
      <c r="CW74" s="323"/>
      <c r="CX74" s="323"/>
      <c r="CY74" s="322"/>
      <c r="CZ74" s="323"/>
      <c r="DA74" s="323"/>
      <c r="DB74" s="323"/>
      <c r="DC74" s="323"/>
      <c r="DD74" s="322"/>
      <c r="DE74" s="323"/>
      <c r="DF74" s="323"/>
      <c r="DG74" s="323"/>
      <c r="DH74" s="323"/>
      <c r="DI74" s="322"/>
    </row>
    <row r="75" spans="1:113" s="3" customFormat="1" ht="12" hidden="1" customHeight="1" outlineLevel="2">
      <c r="A75" s="490"/>
      <c r="B75" s="329" t="s">
        <v>141</v>
      </c>
      <c r="C75" s="331"/>
      <c r="D75" s="331"/>
      <c r="E75" s="331"/>
      <c r="F75" s="331"/>
      <c r="G75" s="331"/>
      <c r="H75" s="331"/>
      <c r="I75" s="331"/>
      <c r="J75" s="331"/>
      <c r="K75" s="331"/>
      <c r="L75" s="331"/>
      <c r="M75" s="331"/>
      <c r="N75" s="331"/>
      <c r="O75" s="331"/>
      <c r="P75" s="332"/>
      <c r="Q75" s="331"/>
      <c r="R75" s="332"/>
      <c r="S75" s="332"/>
      <c r="T75" s="332"/>
      <c r="U75" s="332"/>
      <c r="V75" s="331"/>
      <c r="W75" s="332"/>
      <c r="X75" s="332"/>
      <c r="Y75" s="332"/>
      <c r="Z75" s="332"/>
      <c r="AA75" s="331"/>
      <c r="AB75" s="331"/>
      <c r="AC75" s="332"/>
      <c r="AD75" s="332"/>
      <c r="AE75" s="332"/>
      <c r="AF75" s="332"/>
      <c r="AG75" s="331"/>
      <c r="AH75" s="332"/>
      <c r="AI75" s="332"/>
      <c r="AJ75" s="332"/>
      <c r="AK75" s="332"/>
      <c r="AL75" s="331"/>
      <c r="AM75" s="332"/>
      <c r="AN75" s="332"/>
      <c r="AO75" s="332"/>
      <c r="AP75" s="332"/>
      <c r="AQ75" s="331"/>
      <c r="AR75" s="332"/>
      <c r="AS75" s="332"/>
      <c r="AT75" s="332"/>
      <c r="AU75" s="332"/>
      <c r="AV75" s="331"/>
      <c r="AW75" s="332"/>
      <c r="AX75" s="332"/>
      <c r="AY75" s="332"/>
      <c r="AZ75" s="332"/>
      <c r="BA75" s="331"/>
      <c r="BB75" s="332"/>
      <c r="BC75" s="332"/>
      <c r="BD75" s="332"/>
      <c r="BE75" s="332"/>
      <c r="BF75" s="331"/>
      <c r="BG75" s="332"/>
      <c r="BH75" s="332"/>
      <c r="BI75" s="333"/>
      <c r="BJ75" s="332"/>
      <c r="BK75" s="331"/>
      <c r="BL75" s="332"/>
      <c r="BM75" s="332"/>
      <c r="BN75" s="332"/>
      <c r="BO75" s="332"/>
      <c r="BP75" s="327" t="s">
        <v>126</v>
      </c>
      <c r="BQ75" s="332"/>
      <c r="BR75" s="332"/>
      <c r="BS75" s="332"/>
      <c r="BT75" s="332"/>
      <c r="BU75" s="328">
        <f t="shared" ref="BU75" si="280">(1+BU73)/(1+BU74)-1</f>
        <v>1.9631469856098649E-2</v>
      </c>
      <c r="BV75" s="332"/>
      <c r="BW75" s="332"/>
      <c r="BX75" s="332"/>
      <c r="BY75" s="332"/>
      <c r="BZ75" s="328">
        <f t="shared" ref="BZ75" si="281">(1+BZ73)/(1+BZ74)-1</f>
        <v>-4.1229046916849699E-3</v>
      </c>
      <c r="CA75" s="332"/>
      <c r="CB75" s="332"/>
      <c r="CC75" s="332"/>
      <c r="CD75" s="332"/>
      <c r="CE75" s="328">
        <f t="shared" ref="CE75" si="282">(1+CE73)/(1+CE74)-1</f>
        <v>-6.2836558303740686E-2</v>
      </c>
      <c r="CF75" s="332"/>
      <c r="CG75" s="332"/>
      <c r="CH75" s="332"/>
      <c r="CI75" s="332"/>
      <c r="CJ75" s="328">
        <f t="shared" ref="CJ75" si="283">(1+CJ73)/(1+CJ74)-1</f>
        <v>-1.2201940621670793E-2</v>
      </c>
      <c r="CK75" s="332"/>
      <c r="CL75" s="332"/>
      <c r="CM75" s="332"/>
      <c r="CN75" s="332"/>
      <c r="CO75" s="328"/>
      <c r="CP75" s="332"/>
      <c r="CQ75" s="332"/>
      <c r="CR75" s="332"/>
      <c r="CS75" s="332"/>
      <c r="CT75" s="328"/>
      <c r="CU75" s="332"/>
      <c r="CV75" s="332"/>
      <c r="CW75" s="332"/>
      <c r="CX75" s="332"/>
      <c r="CY75" s="331"/>
      <c r="CZ75" s="332"/>
      <c r="DA75" s="332"/>
      <c r="DB75" s="332"/>
      <c r="DC75" s="332"/>
      <c r="DD75" s="331"/>
      <c r="DE75" s="332"/>
      <c r="DF75" s="332"/>
      <c r="DG75" s="332"/>
      <c r="DH75" s="332"/>
      <c r="DI75" s="331"/>
    </row>
    <row r="76" spans="1:113" ht="12" hidden="1" customHeight="1" outlineLevel="2">
      <c r="A76" s="219"/>
      <c r="B76" s="329" t="s">
        <v>338</v>
      </c>
      <c r="C76" s="322"/>
      <c r="D76" s="322"/>
      <c r="E76" s="322"/>
      <c r="F76" s="322"/>
      <c r="G76" s="322"/>
      <c r="H76" s="322"/>
      <c r="I76" s="322"/>
      <c r="J76" s="322"/>
      <c r="K76" s="322"/>
      <c r="L76" s="322"/>
      <c r="M76" s="322"/>
      <c r="N76" s="322"/>
      <c r="O76" s="322"/>
      <c r="P76" s="323"/>
      <c r="Q76" s="322"/>
      <c r="R76" s="323"/>
      <c r="S76" s="323"/>
      <c r="T76" s="323"/>
      <c r="U76" s="323"/>
      <c r="V76" s="322"/>
      <c r="W76" s="323"/>
      <c r="X76" s="323"/>
      <c r="Y76" s="323"/>
      <c r="Z76" s="323"/>
      <c r="AA76" s="322"/>
      <c r="AB76" s="322"/>
      <c r="AC76" s="323"/>
      <c r="AD76" s="323"/>
      <c r="AE76" s="323"/>
      <c r="AF76" s="323"/>
      <c r="AG76" s="322"/>
      <c r="AH76" s="323"/>
      <c r="AI76" s="323"/>
      <c r="AJ76" s="323"/>
      <c r="AK76" s="323"/>
      <c r="AL76" s="322"/>
      <c r="AM76" s="323"/>
      <c r="AN76" s="323"/>
      <c r="AO76" s="323"/>
      <c r="AP76" s="323"/>
      <c r="AQ76" s="322"/>
      <c r="AR76" s="323"/>
      <c r="AS76" s="323"/>
      <c r="AT76" s="323"/>
      <c r="AU76" s="323"/>
      <c r="AV76" s="322"/>
      <c r="AW76" s="323"/>
      <c r="AX76" s="323"/>
      <c r="AY76" s="323"/>
      <c r="AZ76" s="323"/>
      <c r="BA76" s="322"/>
      <c r="BB76" s="323"/>
      <c r="BC76" s="323"/>
      <c r="BD76" s="323"/>
      <c r="BE76" s="323"/>
      <c r="BF76" s="322"/>
      <c r="BG76" s="323"/>
      <c r="BH76" s="323"/>
      <c r="BI76" s="324"/>
      <c r="BJ76" s="323"/>
      <c r="BK76" s="322"/>
      <c r="BL76" s="323"/>
      <c r="BM76" s="323"/>
      <c r="BN76" s="323"/>
      <c r="BO76" s="323"/>
      <c r="BP76" s="328">
        <f>BP72/BP$91</f>
        <v>0.22719550444328279</v>
      </c>
      <c r="BQ76" s="323"/>
      <c r="BR76" s="323"/>
      <c r="BS76" s="323"/>
      <c r="BT76" s="323"/>
      <c r="BU76" s="328">
        <f>BU72/BU$91</f>
        <v>0.22994129158512719</v>
      </c>
      <c r="BV76" s="323"/>
      <c r="BW76" s="323"/>
      <c r="BX76" s="323"/>
      <c r="BY76" s="323"/>
      <c r="BZ76" s="328">
        <f>BZ72/BZ$91</f>
        <v>0.22884567508505987</v>
      </c>
      <c r="CA76" s="323"/>
      <c r="CB76" s="323"/>
      <c r="CC76" s="323"/>
      <c r="CD76" s="323"/>
      <c r="CE76" s="328">
        <f>CE72/CE$91</f>
        <v>0.21446906073217534</v>
      </c>
      <c r="CF76" s="323"/>
      <c r="CG76" s="323"/>
      <c r="CH76" s="323"/>
      <c r="CI76" s="323"/>
      <c r="CJ76" s="328">
        <f>CJ72/CJ$91</f>
        <v>0.21061152402678637</v>
      </c>
      <c r="CK76" s="323"/>
      <c r="CL76" s="323"/>
      <c r="CM76" s="323"/>
      <c r="CN76" s="323"/>
      <c r="CO76" s="328"/>
      <c r="CP76" s="323"/>
      <c r="CQ76" s="323"/>
      <c r="CR76" s="323"/>
      <c r="CS76" s="323"/>
      <c r="CT76" s="328"/>
      <c r="CU76" s="323"/>
      <c r="CV76" s="323"/>
      <c r="CW76" s="323"/>
      <c r="CX76" s="323"/>
      <c r="CY76" s="322"/>
      <c r="CZ76" s="323"/>
      <c r="DA76" s="323"/>
      <c r="DB76" s="323"/>
      <c r="DC76" s="323"/>
      <c r="DD76" s="322"/>
      <c r="DE76" s="323"/>
      <c r="DF76" s="323"/>
      <c r="DG76" s="323"/>
      <c r="DH76" s="323"/>
      <c r="DI76" s="322"/>
    </row>
    <row r="77" spans="1:113" ht="12" hidden="1" customHeight="1" outlineLevel="2">
      <c r="A77" s="219"/>
      <c r="B77" s="321" t="s">
        <v>336</v>
      </c>
      <c r="C77" s="322"/>
      <c r="D77" s="322"/>
      <c r="E77" s="322"/>
      <c r="F77" s="322"/>
      <c r="G77" s="322"/>
      <c r="H77" s="322"/>
      <c r="I77" s="322"/>
      <c r="J77" s="322"/>
      <c r="K77" s="322"/>
      <c r="L77" s="322"/>
      <c r="M77" s="322"/>
      <c r="N77" s="322"/>
      <c r="O77" s="322"/>
      <c r="P77" s="323"/>
      <c r="Q77" s="322"/>
      <c r="R77" s="323"/>
      <c r="S77" s="323"/>
      <c r="T77" s="323"/>
      <c r="U77" s="323"/>
      <c r="V77" s="322"/>
      <c r="W77" s="323"/>
      <c r="X77" s="323"/>
      <c r="Y77" s="323"/>
      <c r="Z77" s="323"/>
      <c r="AA77" s="322"/>
      <c r="AB77" s="322"/>
      <c r="AC77" s="323"/>
      <c r="AD77" s="323"/>
      <c r="AE77" s="323"/>
      <c r="AF77" s="323"/>
      <c r="AG77" s="322"/>
      <c r="AH77" s="323"/>
      <c r="AI77" s="323"/>
      <c r="AJ77" s="323"/>
      <c r="AK77" s="323"/>
      <c r="AL77" s="322"/>
      <c r="AM77" s="323"/>
      <c r="AN77" s="323"/>
      <c r="AO77" s="323"/>
      <c r="AP77" s="323"/>
      <c r="AQ77" s="322"/>
      <c r="AR77" s="323"/>
      <c r="AS77" s="323"/>
      <c r="AT77" s="323"/>
      <c r="AU77" s="323"/>
      <c r="AV77" s="322"/>
      <c r="AW77" s="323"/>
      <c r="AX77" s="323"/>
      <c r="AY77" s="323"/>
      <c r="AZ77" s="323"/>
      <c r="BA77" s="322"/>
      <c r="BB77" s="323"/>
      <c r="BC77" s="323"/>
      <c r="BD77" s="323"/>
      <c r="BE77" s="323"/>
      <c r="BF77" s="322"/>
      <c r="BG77" s="323"/>
      <c r="BH77" s="323"/>
      <c r="BI77" s="324"/>
      <c r="BJ77" s="323"/>
      <c r="BK77" s="322"/>
      <c r="BL77" s="323"/>
      <c r="BM77" s="323"/>
      <c r="BN77" s="323"/>
      <c r="BO77" s="323"/>
      <c r="BP77" s="325">
        <v>4199</v>
      </c>
      <c r="BQ77" s="323"/>
      <c r="BR77" s="323"/>
      <c r="BS77" s="323"/>
      <c r="BT77" s="323"/>
      <c r="BU77" s="325">
        <v>4882</v>
      </c>
      <c r="BV77" s="323"/>
      <c r="BW77" s="323"/>
      <c r="BX77" s="323"/>
      <c r="BY77" s="323"/>
      <c r="BZ77" s="325">
        <v>4874</v>
      </c>
      <c r="CA77" s="323"/>
      <c r="CB77" s="323"/>
      <c r="CC77" s="323"/>
      <c r="CD77" s="323"/>
      <c r="CE77" s="325">
        <v>5038</v>
      </c>
      <c r="CF77" s="323"/>
      <c r="CG77" s="323"/>
      <c r="CH77" s="323"/>
      <c r="CI77" s="323"/>
      <c r="CJ77" s="325">
        <v>5111</v>
      </c>
      <c r="CK77" s="323"/>
      <c r="CL77" s="323"/>
      <c r="CM77" s="323"/>
      <c r="CN77" s="323"/>
      <c r="CO77" s="322"/>
      <c r="CP77" s="323"/>
      <c r="CQ77" s="323"/>
      <c r="CR77" s="323"/>
      <c r="CS77" s="323"/>
      <c r="CT77" s="322"/>
      <c r="CU77" s="323"/>
      <c r="CV77" s="323"/>
      <c r="CW77" s="323"/>
      <c r="CX77" s="323"/>
      <c r="CY77" s="322"/>
      <c r="CZ77" s="323"/>
      <c r="DA77" s="323"/>
      <c r="DB77" s="323"/>
      <c r="DC77" s="323"/>
      <c r="DD77" s="322"/>
      <c r="DE77" s="323"/>
      <c r="DF77" s="323"/>
      <c r="DG77" s="323"/>
      <c r="DH77" s="323"/>
      <c r="DI77" s="322"/>
    </row>
    <row r="78" spans="1:113" ht="12" hidden="1" customHeight="1" outlineLevel="2">
      <c r="A78" s="219"/>
      <c r="B78" s="326" t="s">
        <v>171</v>
      </c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322"/>
      <c r="N78" s="322"/>
      <c r="O78" s="322"/>
      <c r="P78" s="323"/>
      <c r="Q78" s="322"/>
      <c r="R78" s="323"/>
      <c r="S78" s="323"/>
      <c r="T78" s="323"/>
      <c r="U78" s="323"/>
      <c r="V78" s="322"/>
      <c r="W78" s="323"/>
      <c r="X78" s="323"/>
      <c r="Y78" s="323"/>
      <c r="Z78" s="323"/>
      <c r="AA78" s="322"/>
      <c r="AB78" s="322"/>
      <c r="AC78" s="323"/>
      <c r="AD78" s="323"/>
      <c r="AE78" s="323"/>
      <c r="AF78" s="323"/>
      <c r="AG78" s="322"/>
      <c r="AH78" s="323"/>
      <c r="AI78" s="323"/>
      <c r="AJ78" s="323"/>
      <c r="AK78" s="323"/>
      <c r="AL78" s="322"/>
      <c r="AM78" s="323"/>
      <c r="AN78" s="323"/>
      <c r="AO78" s="323"/>
      <c r="AP78" s="323"/>
      <c r="AQ78" s="322"/>
      <c r="AR78" s="323"/>
      <c r="AS78" s="323"/>
      <c r="AT78" s="323"/>
      <c r="AU78" s="323"/>
      <c r="AV78" s="322"/>
      <c r="AW78" s="323"/>
      <c r="AX78" s="323"/>
      <c r="AY78" s="323"/>
      <c r="AZ78" s="323"/>
      <c r="BA78" s="322"/>
      <c r="BB78" s="323"/>
      <c r="BC78" s="323"/>
      <c r="BD78" s="323"/>
      <c r="BE78" s="323"/>
      <c r="BF78" s="322"/>
      <c r="BG78" s="323"/>
      <c r="BH78" s="323"/>
      <c r="BI78" s="324"/>
      <c r="BJ78" s="323"/>
      <c r="BK78" s="322"/>
      <c r="BL78" s="323"/>
      <c r="BM78" s="323"/>
      <c r="BN78" s="323"/>
      <c r="BO78" s="323"/>
      <c r="BP78" s="327" t="s">
        <v>126</v>
      </c>
      <c r="BQ78" s="323"/>
      <c r="BR78" s="323"/>
      <c r="BS78" s="323"/>
      <c r="BT78" s="323"/>
      <c r="BU78" s="328">
        <f t="shared" ref="BU78" si="284">+BU77/BP77-1</f>
        <v>0.16265777566087158</v>
      </c>
      <c r="BV78" s="323"/>
      <c r="BW78" s="323"/>
      <c r="BX78" s="323"/>
      <c r="BY78" s="323"/>
      <c r="BZ78" s="328">
        <f t="shared" ref="BZ78" si="285">+BZ77/BU77-1</f>
        <v>-1.6386726751331793E-3</v>
      </c>
      <c r="CA78" s="323"/>
      <c r="CB78" s="323"/>
      <c r="CC78" s="323"/>
      <c r="CD78" s="323"/>
      <c r="CE78" s="328">
        <f t="shared" ref="CE78" si="286">+CE77/BZ77-1</f>
        <v>3.3647927780057429E-2</v>
      </c>
      <c r="CF78" s="323"/>
      <c r="CG78" s="323"/>
      <c r="CH78" s="323"/>
      <c r="CI78" s="323"/>
      <c r="CJ78" s="328">
        <f t="shared" ref="CJ78" si="287">+CJ77/CE77-1</f>
        <v>1.448987693529169E-2</v>
      </c>
      <c r="CK78" s="323"/>
      <c r="CL78" s="323"/>
      <c r="CM78" s="323"/>
      <c r="CN78" s="323"/>
      <c r="CO78" s="328"/>
      <c r="CP78" s="323"/>
      <c r="CQ78" s="323"/>
      <c r="CR78" s="323"/>
      <c r="CS78" s="323"/>
      <c r="CT78" s="328"/>
      <c r="CU78" s="323"/>
      <c r="CV78" s="323"/>
      <c r="CW78" s="323"/>
      <c r="CX78" s="323"/>
      <c r="CY78" s="322"/>
      <c r="CZ78" s="323"/>
      <c r="DA78" s="323"/>
      <c r="DB78" s="323"/>
      <c r="DC78" s="323"/>
      <c r="DD78" s="322"/>
      <c r="DE78" s="323"/>
      <c r="DF78" s="323"/>
      <c r="DG78" s="323"/>
      <c r="DH78" s="323"/>
      <c r="DI78" s="322"/>
    </row>
    <row r="79" spans="1:113" ht="12" hidden="1" customHeight="1" outlineLevel="2">
      <c r="A79" s="219"/>
      <c r="B79" s="329" t="s">
        <v>173</v>
      </c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3"/>
      <c r="Q79" s="322"/>
      <c r="R79" s="323"/>
      <c r="S79" s="323"/>
      <c r="T79" s="323"/>
      <c r="U79" s="323"/>
      <c r="V79" s="322"/>
      <c r="W79" s="323"/>
      <c r="X79" s="323"/>
      <c r="Y79" s="323"/>
      <c r="Z79" s="323"/>
      <c r="AA79" s="322"/>
      <c r="AB79" s="322"/>
      <c r="AC79" s="323"/>
      <c r="AD79" s="323"/>
      <c r="AE79" s="323"/>
      <c r="AF79" s="323"/>
      <c r="AG79" s="322"/>
      <c r="AH79" s="323"/>
      <c r="AI79" s="323"/>
      <c r="AJ79" s="323"/>
      <c r="AK79" s="323"/>
      <c r="AL79" s="322"/>
      <c r="AM79" s="323"/>
      <c r="AN79" s="323"/>
      <c r="AO79" s="323"/>
      <c r="AP79" s="323"/>
      <c r="AQ79" s="322"/>
      <c r="AR79" s="323"/>
      <c r="AS79" s="323"/>
      <c r="AT79" s="323"/>
      <c r="AU79" s="323"/>
      <c r="AV79" s="322"/>
      <c r="AW79" s="323"/>
      <c r="AX79" s="323"/>
      <c r="AY79" s="323"/>
      <c r="AZ79" s="323"/>
      <c r="BA79" s="322"/>
      <c r="BB79" s="323"/>
      <c r="BC79" s="323"/>
      <c r="BD79" s="323"/>
      <c r="BE79" s="323"/>
      <c r="BF79" s="322"/>
      <c r="BG79" s="323"/>
      <c r="BH79" s="323"/>
      <c r="BI79" s="324"/>
      <c r="BJ79" s="323"/>
      <c r="BK79" s="322"/>
      <c r="BL79" s="323"/>
      <c r="BM79" s="323"/>
      <c r="BN79" s="323"/>
      <c r="BO79" s="323"/>
      <c r="BP79" s="327" t="s">
        <v>126</v>
      </c>
      <c r="BQ79" s="323"/>
      <c r="BR79" s="323"/>
      <c r="BS79" s="323"/>
      <c r="BT79" s="323"/>
      <c r="BU79" s="330">
        <v>0.14000000000000001</v>
      </c>
      <c r="BV79" s="323"/>
      <c r="BW79" s="323"/>
      <c r="BX79" s="323"/>
      <c r="BY79" s="323"/>
      <c r="BZ79" s="330">
        <v>0</v>
      </c>
      <c r="CA79" s="323"/>
      <c r="CB79" s="323"/>
      <c r="CC79" s="323"/>
      <c r="CD79" s="323"/>
      <c r="CE79" s="330">
        <v>0.1</v>
      </c>
      <c r="CF79" s="323"/>
      <c r="CG79" s="323"/>
      <c r="CH79" s="323"/>
      <c r="CI79" s="323"/>
      <c r="CJ79" s="330">
        <v>0.01</v>
      </c>
      <c r="CK79" s="323"/>
      <c r="CL79" s="323"/>
      <c r="CM79" s="323"/>
      <c r="CN79" s="323"/>
      <c r="CO79" s="322"/>
      <c r="CP79" s="323"/>
      <c r="CQ79" s="323"/>
      <c r="CR79" s="323"/>
      <c r="CS79" s="323"/>
      <c r="CT79" s="322"/>
      <c r="CU79" s="323"/>
      <c r="CV79" s="323"/>
      <c r="CW79" s="323"/>
      <c r="CX79" s="323"/>
      <c r="CY79" s="322"/>
      <c r="CZ79" s="323"/>
      <c r="DA79" s="323"/>
      <c r="DB79" s="323"/>
      <c r="DC79" s="323"/>
      <c r="DD79" s="322"/>
      <c r="DE79" s="323"/>
      <c r="DF79" s="323"/>
      <c r="DG79" s="323"/>
      <c r="DH79" s="323"/>
      <c r="DI79" s="322"/>
    </row>
    <row r="80" spans="1:113" s="3" customFormat="1" ht="12" hidden="1" customHeight="1" outlineLevel="2">
      <c r="A80" s="490"/>
      <c r="B80" s="329" t="s">
        <v>141</v>
      </c>
      <c r="C80" s="331"/>
      <c r="D80" s="331"/>
      <c r="E80" s="331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332"/>
      <c r="Q80" s="331"/>
      <c r="R80" s="332"/>
      <c r="S80" s="332"/>
      <c r="T80" s="332"/>
      <c r="U80" s="332"/>
      <c r="V80" s="331"/>
      <c r="W80" s="332"/>
      <c r="X80" s="332"/>
      <c r="Y80" s="332"/>
      <c r="Z80" s="332"/>
      <c r="AA80" s="331"/>
      <c r="AB80" s="331"/>
      <c r="AC80" s="332"/>
      <c r="AD80" s="332"/>
      <c r="AE80" s="332"/>
      <c r="AF80" s="332"/>
      <c r="AG80" s="331"/>
      <c r="AH80" s="332"/>
      <c r="AI80" s="332"/>
      <c r="AJ80" s="332"/>
      <c r="AK80" s="332"/>
      <c r="AL80" s="331"/>
      <c r="AM80" s="332"/>
      <c r="AN80" s="332"/>
      <c r="AO80" s="332"/>
      <c r="AP80" s="332"/>
      <c r="AQ80" s="331"/>
      <c r="AR80" s="332"/>
      <c r="AS80" s="332"/>
      <c r="AT80" s="332"/>
      <c r="AU80" s="332"/>
      <c r="AV80" s="331"/>
      <c r="AW80" s="332"/>
      <c r="AX80" s="332"/>
      <c r="AY80" s="332"/>
      <c r="AZ80" s="332"/>
      <c r="BA80" s="331"/>
      <c r="BB80" s="332"/>
      <c r="BC80" s="332"/>
      <c r="BD80" s="332"/>
      <c r="BE80" s="332"/>
      <c r="BF80" s="331"/>
      <c r="BG80" s="332"/>
      <c r="BH80" s="332"/>
      <c r="BI80" s="333"/>
      <c r="BJ80" s="332"/>
      <c r="BK80" s="331"/>
      <c r="BL80" s="332"/>
      <c r="BM80" s="332"/>
      <c r="BN80" s="332"/>
      <c r="BO80" s="332"/>
      <c r="BP80" s="327" t="s">
        <v>126</v>
      </c>
      <c r="BQ80" s="332"/>
      <c r="BR80" s="332"/>
      <c r="BS80" s="332"/>
      <c r="BT80" s="332"/>
      <c r="BU80" s="328">
        <f t="shared" ref="BU80" si="288">(1+BU78)/(1+BU79)-1</f>
        <v>1.9875241807781885E-2</v>
      </c>
      <c r="BV80" s="332"/>
      <c r="BW80" s="332"/>
      <c r="BX80" s="332"/>
      <c r="BY80" s="332"/>
      <c r="BZ80" s="328">
        <f t="shared" ref="BZ80" si="289">(1+BZ78)/(1+BZ79)-1</f>
        <v>-1.6386726751331793E-3</v>
      </c>
      <c r="CA80" s="332"/>
      <c r="CB80" s="332"/>
      <c r="CC80" s="332"/>
      <c r="CD80" s="332"/>
      <c r="CE80" s="328">
        <f t="shared" ref="CE80" si="290">(1+CE78)/(1+CE79)-1</f>
        <v>-6.0320065654493327E-2</v>
      </c>
      <c r="CF80" s="332"/>
      <c r="CG80" s="332"/>
      <c r="CH80" s="332"/>
      <c r="CI80" s="332"/>
      <c r="CJ80" s="328">
        <f t="shared" ref="CJ80" si="291">(1+CJ78)/(1+CJ79)-1</f>
        <v>4.4454227082095787E-3</v>
      </c>
      <c r="CK80" s="332"/>
      <c r="CL80" s="332"/>
      <c r="CM80" s="332"/>
      <c r="CN80" s="332"/>
      <c r="CO80" s="328"/>
      <c r="CP80" s="332"/>
      <c r="CQ80" s="332"/>
      <c r="CR80" s="332"/>
      <c r="CS80" s="332"/>
      <c r="CT80" s="328"/>
      <c r="CU80" s="332"/>
      <c r="CV80" s="332"/>
      <c r="CW80" s="332"/>
      <c r="CX80" s="332"/>
      <c r="CY80" s="331"/>
      <c r="CZ80" s="332"/>
      <c r="DA80" s="332"/>
      <c r="DB80" s="332"/>
      <c r="DC80" s="332"/>
      <c r="DD80" s="331"/>
      <c r="DE80" s="332"/>
      <c r="DF80" s="332"/>
      <c r="DG80" s="332"/>
      <c r="DH80" s="332"/>
      <c r="DI80" s="331"/>
    </row>
    <row r="81" spans="1:113" ht="12" hidden="1" customHeight="1" outlineLevel="2">
      <c r="A81" s="219"/>
      <c r="B81" s="329" t="s">
        <v>339</v>
      </c>
      <c r="C81" s="322"/>
      <c r="D81" s="322"/>
      <c r="E81" s="322"/>
      <c r="F81" s="322"/>
      <c r="G81" s="322"/>
      <c r="H81" s="322"/>
      <c r="I81" s="322"/>
      <c r="J81" s="322"/>
      <c r="K81" s="322"/>
      <c r="L81" s="322"/>
      <c r="M81" s="322"/>
      <c r="N81" s="322"/>
      <c r="O81" s="322"/>
      <c r="P81" s="323"/>
      <c r="Q81" s="322"/>
      <c r="R81" s="323"/>
      <c r="S81" s="323"/>
      <c r="T81" s="323"/>
      <c r="U81" s="323"/>
      <c r="V81" s="322"/>
      <c r="W81" s="323"/>
      <c r="X81" s="323"/>
      <c r="Y81" s="323"/>
      <c r="Z81" s="323"/>
      <c r="AA81" s="322"/>
      <c r="AB81" s="322"/>
      <c r="AC81" s="323"/>
      <c r="AD81" s="323"/>
      <c r="AE81" s="323"/>
      <c r="AF81" s="323"/>
      <c r="AG81" s="322"/>
      <c r="AH81" s="323"/>
      <c r="AI81" s="323"/>
      <c r="AJ81" s="323"/>
      <c r="AK81" s="323"/>
      <c r="AL81" s="322"/>
      <c r="AM81" s="323"/>
      <c r="AN81" s="323"/>
      <c r="AO81" s="323"/>
      <c r="AP81" s="323"/>
      <c r="AQ81" s="322"/>
      <c r="AR81" s="323"/>
      <c r="AS81" s="323"/>
      <c r="AT81" s="323"/>
      <c r="AU81" s="323"/>
      <c r="AV81" s="322"/>
      <c r="AW81" s="323"/>
      <c r="AX81" s="323"/>
      <c r="AY81" s="323"/>
      <c r="AZ81" s="323"/>
      <c r="BA81" s="322"/>
      <c r="BB81" s="323"/>
      <c r="BC81" s="323"/>
      <c r="BD81" s="323"/>
      <c r="BE81" s="323"/>
      <c r="BF81" s="322"/>
      <c r="BG81" s="323"/>
      <c r="BH81" s="323"/>
      <c r="BI81" s="324"/>
      <c r="BJ81" s="323"/>
      <c r="BK81" s="322"/>
      <c r="BL81" s="323"/>
      <c r="BM81" s="323"/>
      <c r="BN81" s="323"/>
      <c r="BO81" s="323"/>
      <c r="BP81" s="328">
        <f>BP77/BP$91</f>
        <v>0.13718635650810246</v>
      </c>
      <c r="BQ81" s="323"/>
      <c r="BR81" s="323"/>
      <c r="BS81" s="323"/>
      <c r="BT81" s="323"/>
      <c r="BU81" s="328">
        <f>BU77/BU$91</f>
        <v>0.13648308638523904</v>
      </c>
      <c r="BV81" s="323"/>
      <c r="BW81" s="323"/>
      <c r="BX81" s="323"/>
      <c r="BY81" s="323"/>
      <c r="BZ81" s="328">
        <f>BZ77/BZ$91</f>
        <v>0.13482337971287101</v>
      </c>
      <c r="CA81" s="323"/>
      <c r="CB81" s="323"/>
      <c r="CC81" s="323"/>
      <c r="CD81" s="323"/>
      <c r="CE81" s="328">
        <f>CE77/CE$91</f>
        <v>0.12555137438632341</v>
      </c>
      <c r="CF81" s="323"/>
      <c r="CG81" s="323"/>
      <c r="CH81" s="323"/>
      <c r="CI81" s="323"/>
      <c r="CJ81" s="328">
        <f>CJ77/CJ$91</f>
        <v>0.12537101086663233</v>
      </c>
      <c r="CK81" s="323"/>
      <c r="CL81" s="323"/>
      <c r="CM81" s="323"/>
      <c r="CN81" s="323"/>
      <c r="CO81" s="328"/>
      <c r="CP81" s="323"/>
      <c r="CQ81" s="323"/>
      <c r="CR81" s="323"/>
      <c r="CS81" s="323"/>
      <c r="CT81" s="328"/>
      <c r="CU81" s="323"/>
      <c r="CV81" s="323"/>
      <c r="CW81" s="323"/>
      <c r="CX81" s="323"/>
      <c r="CY81" s="322"/>
      <c r="CZ81" s="323"/>
      <c r="DA81" s="323"/>
      <c r="DB81" s="323"/>
      <c r="DC81" s="323"/>
      <c r="DD81" s="322"/>
      <c r="DE81" s="323"/>
      <c r="DF81" s="323"/>
      <c r="DG81" s="323"/>
      <c r="DH81" s="323"/>
      <c r="DI81" s="322"/>
    </row>
    <row r="82" spans="1:113" ht="12" hidden="1" customHeight="1" outlineLevel="2">
      <c r="A82" s="219"/>
      <c r="B82" s="321" t="s">
        <v>136</v>
      </c>
      <c r="C82" s="322"/>
      <c r="D82" s="322"/>
      <c r="E82" s="322"/>
      <c r="F82" s="322"/>
      <c r="G82" s="322"/>
      <c r="H82" s="322"/>
      <c r="I82" s="322"/>
      <c r="J82" s="322"/>
      <c r="K82" s="322"/>
      <c r="L82" s="322"/>
      <c r="M82" s="322"/>
      <c r="N82" s="322"/>
      <c r="O82" s="322"/>
      <c r="P82" s="323"/>
      <c r="Q82" s="322"/>
      <c r="R82" s="323"/>
      <c r="S82" s="323"/>
      <c r="T82" s="323"/>
      <c r="U82" s="323"/>
      <c r="V82" s="322"/>
      <c r="W82" s="323"/>
      <c r="X82" s="323"/>
      <c r="Y82" s="323"/>
      <c r="Z82" s="323"/>
      <c r="AA82" s="322"/>
      <c r="AB82" s="322"/>
      <c r="AC82" s="323"/>
      <c r="AD82" s="323"/>
      <c r="AE82" s="323"/>
      <c r="AF82" s="323"/>
      <c r="AG82" s="322"/>
      <c r="AH82" s="323"/>
      <c r="AI82" s="323"/>
      <c r="AJ82" s="323"/>
      <c r="AK82" s="323"/>
      <c r="AL82" s="322"/>
      <c r="AM82" s="323"/>
      <c r="AN82" s="323"/>
      <c r="AO82" s="323"/>
      <c r="AP82" s="323"/>
      <c r="AQ82" s="322"/>
      <c r="AR82" s="323"/>
      <c r="AS82" s="323"/>
      <c r="AT82" s="323"/>
      <c r="AU82" s="323"/>
      <c r="AV82" s="322"/>
      <c r="AW82" s="323"/>
      <c r="AX82" s="323"/>
      <c r="AY82" s="323"/>
      <c r="AZ82" s="323"/>
      <c r="BA82" s="322"/>
      <c r="BB82" s="323"/>
      <c r="BC82" s="323"/>
      <c r="BD82" s="323"/>
      <c r="BE82" s="323"/>
      <c r="BF82" s="322"/>
      <c r="BG82" s="323"/>
      <c r="BH82" s="323"/>
      <c r="BI82" s="324"/>
      <c r="BJ82" s="323"/>
      <c r="BK82" s="322"/>
      <c r="BL82" s="323"/>
      <c r="BM82" s="323"/>
      <c r="BN82" s="323"/>
      <c r="BO82" s="323"/>
      <c r="BP82" s="325">
        <v>3687</v>
      </c>
      <c r="BQ82" s="323"/>
      <c r="BR82" s="323"/>
      <c r="BS82" s="323"/>
      <c r="BT82" s="323"/>
      <c r="BU82" s="325">
        <v>4780</v>
      </c>
      <c r="BV82" s="323"/>
      <c r="BW82" s="323"/>
      <c r="BX82" s="323"/>
      <c r="BY82" s="323"/>
      <c r="BZ82" s="325">
        <v>5122</v>
      </c>
      <c r="CA82" s="323"/>
      <c r="CB82" s="323"/>
      <c r="CC82" s="323"/>
      <c r="CD82" s="323"/>
      <c r="CE82" s="325">
        <v>6589</v>
      </c>
      <c r="CF82" s="323"/>
      <c r="CG82" s="323"/>
      <c r="CH82" s="323"/>
      <c r="CI82" s="323"/>
      <c r="CJ82" s="325">
        <v>6988</v>
      </c>
      <c r="CK82" s="323"/>
      <c r="CL82" s="323"/>
      <c r="CM82" s="323"/>
      <c r="CN82" s="323"/>
      <c r="CO82" s="322"/>
      <c r="CP82" s="323"/>
      <c r="CQ82" s="323"/>
      <c r="CR82" s="323"/>
      <c r="CS82" s="323"/>
      <c r="CT82" s="322"/>
      <c r="CU82" s="323"/>
      <c r="CV82" s="323"/>
      <c r="CW82" s="323"/>
      <c r="CX82" s="323"/>
      <c r="CY82" s="322"/>
      <c r="CZ82" s="323"/>
      <c r="DA82" s="323"/>
      <c r="DB82" s="323"/>
      <c r="DC82" s="323"/>
      <c r="DD82" s="322"/>
      <c r="DE82" s="323"/>
      <c r="DF82" s="323"/>
      <c r="DG82" s="323"/>
      <c r="DH82" s="323"/>
      <c r="DI82" s="322"/>
    </row>
    <row r="83" spans="1:113" ht="12" hidden="1" customHeight="1" outlineLevel="2">
      <c r="A83" s="219"/>
      <c r="B83" s="326" t="s">
        <v>171</v>
      </c>
      <c r="C83" s="322"/>
      <c r="D83" s="322"/>
      <c r="E83" s="322"/>
      <c r="F83" s="322"/>
      <c r="G83" s="322"/>
      <c r="H83" s="322"/>
      <c r="I83" s="322"/>
      <c r="J83" s="322"/>
      <c r="K83" s="322"/>
      <c r="L83" s="322"/>
      <c r="M83" s="322"/>
      <c r="N83" s="322"/>
      <c r="O83" s="322"/>
      <c r="P83" s="323"/>
      <c r="Q83" s="322"/>
      <c r="R83" s="323"/>
      <c r="S83" s="323"/>
      <c r="T83" s="323"/>
      <c r="U83" s="323"/>
      <c r="V83" s="322"/>
      <c r="W83" s="323"/>
      <c r="X83" s="323"/>
      <c r="Y83" s="323"/>
      <c r="Z83" s="323"/>
      <c r="AA83" s="322"/>
      <c r="AB83" s="322"/>
      <c r="AC83" s="323"/>
      <c r="AD83" s="323"/>
      <c r="AE83" s="323"/>
      <c r="AF83" s="323"/>
      <c r="AG83" s="322"/>
      <c r="AH83" s="323"/>
      <c r="AI83" s="323"/>
      <c r="AJ83" s="323"/>
      <c r="AK83" s="323"/>
      <c r="AL83" s="322"/>
      <c r="AM83" s="323"/>
      <c r="AN83" s="323"/>
      <c r="AO83" s="323"/>
      <c r="AP83" s="323"/>
      <c r="AQ83" s="322"/>
      <c r="AR83" s="323"/>
      <c r="AS83" s="323"/>
      <c r="AT83" s="323"/>
      <c r="AU83" s="323"/>
      <c r="AV83" s="322"/>
      <c r="AW83" s="323"/>
      <c r="AX83" s="323"/>
      <c r="AY83" s="323"/>
      <c r="AZ83" s="323"/>
      <c r="BA83" s="322"/>
      <c r="BB83" s="323"/>
      <c r="BC83" s="323"/>
      <c r="BD83" s="323"/>
      <c r="BE83" s="323"/>
      <c r="BF83" s="322"/>
      <c r="BG83" s="323"/>
      <c r="BH83" s="323"/>
      <c r="BI83" s="324"/>
      <c r="BJ83" s="323"/>
      <c r="BK83" s="322"/>
      <c r="BL83" s="323"/>
      <c r="BM83" s="323"/>
      <c r="BN83" s="323"/>
      <c r="BO83" s="323"/>
      <c r="BP83" s="327" t="s">
        <v>126</v>
      </c>
      <c r="BQ83" s="323"/>
      <c r="BR83" s="323"/>
      <c r="BS83" s="323"/>
      <c r="BT83" s="323"/>
      <c r="BU83" s="328">
        <f t="shared" ref="BU83" si="292">+BU82/BP82-1</f>
        <v>0.29644697586113367</v>
      </c>
      <c r="BV83" s="323"/>
      <c r="BW83" s="323"/>
      <c r="BX83" s="323"/>
      <c r="BY83" s="323"/>
      <c r="BZ83" s="328">
        <f t="shared" ref="BZ83" si="293">+BZ82/BU82-1</f>
        <v>7.1548117154811797E-2</v>
      </c>
      <c r="CA83" s="323"/>
      <c r="CB83" s="323"/>
      <c r="CC83" s="323"/>
      <c r="CD83" s="323"/>
      <c r="CE83" s="328">
        <f t="shared" ref="CE83" si="294">+CE82/BZ82-1</f>
        <v>0.28641155798516205</v>
      </c>
      <c r="CF83" s="323"/>
      <c r="CG83" s="323"/>
      <c r="CH83" s="323"/>
      <c r="CI83" s="323"/>
      <c r="CJ83" s="328">
        <f t="shared" ref="CJ83" si="295">+CJ82/CE82-1</f>
        <v>6.0555471239945424E-2</v>
      </c>
      <c r="CK83" s="323"/>
      <c r="CL83" s="323"/>
      <c r="CM83" s="323"/>
      <c r="CN83" s="323"/>
      <c r="CO83" s="328"/>
      <c r="CP83" s="323"/>
      <c r="CQ83" s="323"/>
      <c r="CR83" s="323"/>
      <c r="CS83" s="323"/>
      <c r="CT83" s="328"/>
      <c r="CU83" s="323"/>
      <c r="CV83" s="323"/>
      <c r="CW83" s="323"/>
      <c r="CX83" s="323"/>
      <c r="CY83" s="322"/>
      <c r="CZ83" s="323"/>
      <c r="DA83" s="323"/>
      <c r="DB83" s="323"/>
      <c r="DC83" s="323"/>
      <c r="DD83" s="322"/>
      <c r="DE83" s="323"/>
      <c r="DF83" s="323"/>
      <c r="DG83" s="323"/>
      <c r="DH83" s="323"/>
      <c r="DI83" s="322"/>
    </row>
    <row r="84" spans="1:113" ht="12" hidden="1" customHeight="1" outlineLevel="2">
      <c r="A84" s="219"/>
      <c r="B84" s="329" t="s">
        <v>173</v>
      </c>
      <c r="C84" s="322"/>
      <c r="D84" s="322"/>
      <c r="E84" s="322"/>
      <c r="F84" s="322"/>
      <c r="G84" s="322"/>
      <c r="H84" s="322"/>
      <c r="I84" s="322"/>
      <c r="J84" s="322"/>
      <c r="K84" s="322"/>
      <c r="L84" s="322"/>
      <c r="M84" s="322"/>
      <c r="N84" s="322"/>
      <c r="O84" s="322"/>
      <c r="P84" s="323"/>
      <c r="Q84" s="322"/>
      <c r="R84" s="323"/>
      <c r="S84" s="323"/>
      <c r="T84" s="323"/>
      <c r="U84" s="323"/>
      <c r="V84" s="322"/>
      <c r="W84" s="323"/>
      <c r="X84" s="323"/>
      <c r="Y84" s="323"/>
      <c r="Z84" s="323"/>
      <c r="AA84" s="322"/>
      <c r="AB84" s="322"/>
      <c r="AC84" s="323"/>
      <c r="AD84" s="323"/>
      <c r="AE84" s="323"/>
      <c r="AF84" s="323"/>
      <c r="AG84" s="322"/>
      <c r="AH84" s="323"/>
      <c r="AI84" s="323"/>
      <c r="AJ84" s="323"/>
      <c r="AK84" s="323"/>
      <c r="AL84" s="322"/>
      <c r="AM84" s="323"/>
      <c r="AN84" s="323"/>
      <c r="AO84" s="323"/>
      <c r="AP84" s="323"/>
      <c r="AQ84" s="322"/>
      <c r="AR84" s="323"/>
      <c r="AS84" s="323"/>
      <c r="AT84" s="323"/>
      <c r="AU84" s="323"/>
      <c r="AV84" s="322"/>
      <c r="AW84" s="323"/>
      <c r="AX84" s="323"/>
      <c r="AY84" s="323"/>
      <c r="AZ84" s="323"/>
      <c r="BA84" s="322"/>
      <c r="BB84" s="323"/>
      <c r="BC84" s="323"/>
      <c r="BD84" s="323"/>
      <c r="BE84" s="323"/>
      <c r="BF84" s="322"/>
      <c r="BG84" s="323"/>
      <c r="BH84" s="323"/>
      <c r="BI84" s="324"/>
      <c r="BJ84" s="323"/>
      <c r="BK84" s="322"/>
      <c r="BL84" s="323"/>
      <c r="BM84" s="323"/>
      <c r="BN84" s="323"/>
      <c r="BO84" s="323"/>
      <c r="BP84" s="327" t="s">
        <v>126</v>
      </c>
      <c r="BQ84" s="323"/>
      <c r="BR84" s="323"/>
      <c r="BS84" s="323"/>
      <c r="BT84" s="323"/>
      <c r="BU84" s="330">
        <v>0.27</v>
      </c>
      <c r="BV84" s="323"/>
      <c r="BW84" s="323"/>
      <c r="BX84" s="323"/>
      <c r="BY84" s="323"/>
      <c r="BZ84" s="330">
        <v>7.0000000000000007E-2</v>
      </c>
      <c r="CA84" s="323"/>
      <c r="CB84" s="323"/>
      <c r="CC84" s="323"/>
      <c r="CD84" s="323"/>
      <c r="CE84" s="330">
        <v>0.35</v>
      </c>
      <c r="CF84" s="323"/>
      <c r="CG84" s="323"/>
      <c r="CH84" s="323"/>
      <c r="CI84" s="323"/>
      <c r="CJ84" s="330">
        <v>7.0000000000000007E-2</v>
      </c>
      <c r="CK84" s="323"/>
      <c r="CL84" s="323"/>
      <c r="CM84" s="323"/>
      <c r="CN84" s="323"/>
      <c r="CO84" s="322"/>
      <c r="CP84" s="323"/>
      <c r="CQ84" s="323"/>
      <c r="CR84" s="323"/>
      <c r="CS84" s="323"/>
      <c r="CT84" s="322"/>
      <c r="CU84" s="323"/>
      <c r="CV84" s="323"/>
      <c r="CW84" s="323"/>
      <c r="CX84" s="323"/>
      <c r="CY84" s="322"/>
      <c r="CZ84" s="323"/>
      <c r="DA84" s="323"/>
      <c r="DB84" s="323"/>
      <c r="DC84" s="323"/>
      <c r="DD84" s="322"/>
      <c r="DE84" s="323"/>
      <c r="DF84" s="323"/>
      <c r="DG84" s="323"/>
      <c r="DH84" s="323"/>
      <c r="DI84" s="322"/>
    </row>
    <row r="85" spans="1:113" s="3" customFormat="1" ht="12" hidden="1" customHeight="1" outlineLevel="2">
      <c r="A85" s="490"/>
      <c r="B85" s="329" t="s">
        <v>141</v>
      </c>
      <c r="C85" s="331"/>
      <c r="D85" s="331"/>
      <c r="E85" s="331"/>
      <c r="F85" s="331"/>
      <c r="G85" s="331"/>
      <c r="H85" s="331"/>
      <c r="I85" s="331"/>
      <c r="J85" s="331"/>
      <c r="K85" s="331"/>
      <c r="L85" s="331"/>
      <c r="M85" s="331"/>
      <c r="N85" s="331"/>
      <c r="O85" s="331"/>
      <c r="P85" s="332"/>
      <c r="Q85" s="331"/>
      <c r="R85" s="332"/>
      <c r="S85" s="332"/>
      <c r="T85" s="332"/>
      <c r="U85" s="332"/>
      <c r="V85" s="331"/>
      <c r="W85" s="332"/>
      <c r="X85" s="332"/>
      <c r="Y85" s="332"/>
      <c r="Z85" s="332"/>
      <c r="AA85" s="331"/>
      <c r="AB85" s="331"/>
      <c r="AC85" s="332"/>
      <c r="AD85" s="332"/>
      <c r="AE85" s="332"/>
      <c r="AF85" s="332"/>
      <c r="AG85" s="331"/>
      <c r="AH85" s="332"/>
      <c r="AI85" s="332"/>
      <c r="AJ85" s="332"/>
      <c r="AK85" s="332"/>
      <c r="AL85" s="331"/>
      <c r="AM85" s="332"/>
      <c r="AN85" s="332"/>
      <c r="AO85" s="332"/>
      <c r="AP85" s="332"/>
      <c r="AQ85" s="331"/>
      <c r="AR85" s="332"/>
      <c r="AS85" s="332"/>
      <c r="AT85" s="332"/>
      <c r="AU85" s="332"/>
      <c r="AV85" s="331"/>
      <c r="AW85" s="332"/>
      <c r="AX85" s="332"/>
      <c r="AY85" s="332"/>
      <c r="AZ85" s="332"/>
      <c r="BA85" s="331"/>
      <c r="BB85" s="332"/>
      <c r="BC85" s="332"/>
      <c r="BD85" s="332"/>
      <c r="BE85" s="332"/>
      <c r="BF85" s="331"/>
      <c r="BG85" s="332"/>
      <c r="BH85" s="332"/>
      <c r="BI85" s="333"/>
      <c r="BJ85" s="332"/>
      <c r="BK85" s="331"/>
      <c r="BL85" s="332"/>
      <c r="BM85" s="332"/>
      <c r="BN85" s="332"/>
      <c r="BO85" s="332"/>
      <c r="BP85" s="327" t="s">
        <v>126</v>
      </c>
      <c r="BQ85" s="332"/>
      <c r="BR85" s="332"/>
      <c r="BS85" s="332"/>
      <c r="BT85" s="332"/>
      <c r="BU85" s="328">
        <f t="shared" ref="BU85" si="296">(1+BU83)/(1+BU84)-1</f>
        <v>2.0824390441837481E-2</v>
      </c>
      <c r="BV85" s="332"/>
      <c r="BW85" s="332"/>
      <c r="BX85" s="332"/>
      <c r="BY85" s="332"/>
      <c r="BZ85" s="328">
        <f t="shared" ref="BZ85" si="297">(1+BZ83)/(1+BZ84)-1</f>
        <v>1.4468384624408692E-3</v>
      </c>
      <c r="CA85" s="332"/>
      <c r="CB85" s="332"/>
      <c r="CC85" s="332"/>
      <c r="CD85" s="332"/>
      <c r="CE85" s="328">
        <f t="shared" ref="CE85" si="298">(1+CE83)/(1+CE84)-1</f>
        <v>-4.7102549640620772E-2</v>
      </c>
      <c r="CF85" s="332"/>
      <c r="CG85" s="332"/>
      <c r="CH85" s="332"/>
      <c r="CI85" s="332"/>
      <c r="CJ85" s="328">
        <f t="shared" ref="CJ85" si="299">(1+CJ83)/(1+CJ84)-1</f>
        <v>-8.8266623925744581E-3</v>
      </c>
      <c r="CK85" s="332"/>
      <c r="CL85" s="332"/>
      <c r="CM85" s="332"/>
      <c r="CN85" s="332"/>
      <c r="CO85" s="328"/>
      <c r="CP85" s="332"/>
      <c r="CQ85" s="332"/>
      <c r="CR85" s="332"/>
      <c r="CS85" s="332"/>
      <c r="CT85" s="328"/>
      <c r="CU85" s="332"/>
      <c r="CV85" s="332"/>
      <c r="CW85" s="332"/>
      <c r="CX85" s="332"/>
      <c r="CY85" s="331"/>
      <c r="CZ85" s="332"/>
      <c r="DA85" s="332"/>
      <c r="DB85" s="332"/>
      <c r="DC85" s="332"/>
      <c r="DD85" s="331"/>
      <c r="DE85" s="332"/>
      <c r="DF85" s="332"/>
      <c r="DG85" s="332"/>
      <c r="DH85" s="332"/>
      <c r="DI85" s="331"/>
    </row>
    <row r="86" spans="1:113" ht="12" hidden="1" customHeight="1" outlineLevel="2">
      <c r="A86" s="219"/>
      <c r="B86" s="329" t="s">
        <v>340</v>
      </c>
      <c r="C86" s="322"/>
      <c r="D86" s="322"/>
      <c r="E86" s="322"/>
      <c r="F86" s="322"/>
      <c r="G86" s="322"/>
      <c r="H86" s="322"/>
      <c r="I86" s="322"/>
      <c r="J86" s="322"/>
      <c r="K86" s="322"/>
      <c r="L86" s="322"/>
      <c r="M86" s="322"/>
      <c r="N86" s="322"/>
      <c r="O86" s="322"/>
      <c r="P86" s="323"/>
      <c r="Q86" s="322"/>
      <c r="R86" s="323"/>
      <c r="S86" s="323"/>
      <c r="T86" s="323"/>
      <c r="U86" s="323"/>
      <c r="V86" s="322"/>
      <c r="W86" s="323"/>
      <c r="X86" s="323"/>
      <c r="Y86" s="323"/>
      <c r="Z86" s="323"/>
      <c r="AA86" s="322"/>
      <c r="AB86" s="322"/>
      <c r="AC86" s="323"/>
      <c r="AD86" s="323"/>
      <c r="AE86" s="323"/>
      <c r="AF86" s="323"/>
      <c r="AG86" s="322"/>
      <c r="AH86" s="323"/>
      <c r="AI86" s="323"/>
      <c r="AJ86" s="323"/>
      <c r="AK86" s="323"/>
      <c r="AL86" s="322"/>
      <c r="AM86" s="323"/>
      <c r="AN86" s="323"/>
      <c r="AO86" s="323"/>
      <c r="AP86" s="323"/>
      <c r="AQ86" s="322"/>
      <c r="AR86" s="323"/>
      <c r="AS86" s="323"/>
      <c r="AT86" s="323"/>
      <c r="AU86" s="323"/>
      <c r="AV86" s="322"/>
      <c r="AW86" s="323"/>
      <c r="AX86" s="323"/>
      <c r="AY86" s="323"/>
      <c r="AZ86" s="323"/>
      <c r="BA86" s="322"/>
      <c r="BB86" s="323"/>
      <c r="BC86" s="323"/>
      <c r="BD86" s="323"/>
      <c r="BE86" s="323"/>
      <c r="BF86" s="322"/>
      <c r="BG86" s="323"/>
      <c r="BH86" s="323"/>
      <c r="BI86" s="324"/>
      <c r="BJ86" s="323"/>
      <c r="BK86" s="322"/>
      <c r="BL86" s="323"/>
      <c r="BM86" s="323"/>
      <c r="BN86" s="323"/>
      <c r="BO86" s="323"/>
      <c r="BP86" s="328">
        <f>BP82/BP$91</f>
        <v>0.12045870360690016</v>
      </c>
      <c r="BQ86" s="323"/>
      <c r="BR86" s="323"/>
      <c r="BS86" s="323"/>
      <c r="BT86" s="323"/>
      <c r="BU86" s="328">
        <f>BU82/BU$91</f>
        <v>0.13363153480570311</v>
      </c>
      <c r="BV86" s="323"/>
      <c r="BW86" s="323"/>
      <c r="BX86" s="323"/>
      <c r="BY86" s="323"/>
      <c r="BZ86" s="328">
        <f>BZ82/BZ$91</f>
        <v>0.14168349423252469</v>
      </c>
      <c r="CA86" s="323"/>
      <c r="CB86" s="323"/>
      <c r="CC86" s="323"/>
      <c r="CD86" s="323"/>
      <c r="CE86" s="328">
        <f>CE82/CE$91</f>
        <v>0.16420365340045356</v>
      </c>
      <c r="CF86" s="323"/>
      <c r="CG86" s="323"/>
      <c r="CH86" s="323"/>
      <c r="CI86" s="323"/>
      <c r="CJ86" s="328">
        <f>CJ82/CJ$91</f>
        <v>0.17141315279515293</v>
      </c>
      <c r="CK86" s="323"/>
      <c r="CL86" s="323"/>
      <c r="CM86" s="323"/>
      <c r="CN86" s="323"/>
      <c r="CO86" s="328"/>
      <c r="CP86" s="323"/>
      <c r="CQ86" s="323"/>
      <c r="CR86" s="323"/>
      <c r="CS86" s="323"/>
      <c r="CT86" s="328"/>
      <c r="CU86" s="323"/>
      <c r="CV86" s="323"/>
      <c r="CW86" s="323"/>
      <c r="CX86" s="323"/>
      <c r="CY86" s="322"/>
      <c r="CZ86" s="323"/>
      <c r="DA86" s="323"/>
      <c r="DB86" s="323"/>
      <c r="DC86" s="323"/>
      <c r="DD86" s="322"/>
      <c r="DE86" s="323"/>
      <c r="DF86" s="323"/>
      <c r="DG86" s="323"/>
      <c r="DH86" s="323"/>
      <c r="DI86" s="322"/>
    </row>
    <row r="87" spans="1:113" ht="12" hidden="1" customHeight="1" outlineLevel="2">
      <c r="A87" s="219"/>
      <c r="B87" s="321" t="s">
        <v>109</v>
      </c>
      <c r="C87" s="322"/>
      <c r="D87" s="322"/>
      <c r="E87" s="322"/>
      <c r="F87" s="322"/>
      <c r="G87" s="322"/>
      <c r="H87" s="322"/>
      <c r="I87" s="322"/>
      <c r="J87" s="322"/>
      <c r="K87" s="322"/>
      <c r="L87" s="322"/>
      <c r="M87" s="322"/>
      <c r="N87" s="322"/>
      <c r="O87" s="322"/>
      <c r="P87" s="323"/>
      <c r="Q87" s="322"/>
      <c r="R87" s="323"/>
      <c r="S87" s="323"/>
      <c r="T87" s="323"/>
      <c r="U87" s="323"/>
      <c r="V87" s="322"/>
      <c r="W87" s="323"/>
      <c r="X87" s="323"/>
      <c r="Y87" s="323"/>
      <c r="Z87" s="323"/>
      <c r="AA87" s="322"/>
      <c r="AB87" s="322"/>
      <c r="AC87" s="323"/>
      <c r="AD87" s="323"/>
      <c r="AE87" s="323"/>
      <c r="AF87" s="323"/>
      <c r="AG87" s="322"/>
      <c r="AH87" s="323"/>
      <c r="AI87" s="323"/>
      <c r="AJ87" s="323"/>
      <c r="AK87" s="323"/>
      <c r="AL87" s="322"/>
      <c r="AM87" s="323"/>
      <c r="AN87" s="323"/>
      <c r="AO87" s="323"/>
      <c r="AP87" s="323"/>
      <c r="AQ87" s="322"/>
      <c r="AR87" s="323"/>
      <c r="AS87" s="323"/>
      <c r="AT87" s="323"/>
      <c r="AU87" s="323"/>
      <c r="AV87" s="322"/>
      <c r="AW87" s="323"/>
      <c r="AX87" s="323"/>
      <c r="AY87" s="323"/>
      <c r="AZ87" s="323"/>
      <c r="BA87" s="322"/>
      <c r="BB87" s="323"/>
      <c r="BC87" s="323"/>
      <c r="BD87" s="323"/>
      <c r="BE87" s="323"/>
      <c r="BF87" s="322"/>
      <c r="BG87" s="323"/>
      <c r="BH87" s="323"/>
      <c r="BI87" s="324"/>
      <c r="BJ87" s="323"/>
      <c r="BK87" s="322"/>
      <c r="BL87" s="323"/>
      <c r="BM87" s="323"/>
      <c r="BN87" s="323"/>
      <c r="BO87" s="323"/>
      <c r="BP87" s="325">
        <v>-662</v>
      </c>
      <c r="BQ87" s="323"/>
      <c r="BR87" s="323"/>
      <c r="BS87" s="323"/>
      <c r="BT87" s="323"/>
      <c r="BU87" s="325">
        <v>-508</v>
      </c>
      <c r="BV87" s="323"/>
      <c r="BW87" s="323"/>
      <c r="BX87" s="323"/>
      <c r="BY87" s="323"/>
      <c r="BZ87" s="325">
        <v>-915</v>
      </c>
      <c r="CA87" s="323"/>
      <c r="CB87" s="323"/>
      <c r="CC87" s="323"/>
      <c r="CD87" s="323"/>
      <c r="CE87" s="325">
        <v>-839</v>
      </c>
      <c r="CF87" s="323"/>
      <c r="CG87" s="323"/>
      <c r="CH87" s="323"/>
      <c r="CI87" s="323"/>
      <c r="CJ87" s="325">
        <v>-786</v>
      </c>
      <c r="CK87" s="323"/>
      <c r="CL87" s="323"/>
      <c r="CM87" s="323"/>
      <c r="CN87" s="323"/>
      <c r="CO87" s="322"/>
      <c r="CP87" s="323"/>
      <c r="CQ87" s="323"/>
      <c r="CR87" s="323"/>
      <c r="CS87" s="323"/>
      <c r="CT87" s="322"/>
      <c r="CU87" s="323"/>
      <c r="CV87" s="323"/>
      <c r="CW87" s="323"/>
      <c r="CX87" s="323"/>
      <c r="CY87" s="322"/>
      <c r="CZ87" s="323"/>
      <c r="DA87" s="323"/>
      <c r="DB87" s="323"/>
      <c r="DC87" s="323"/>
      <c r="DD87" s="322"/>
      <c r="DE87" s="323"/>
      <c r="DF87" s="323"/>
      <c r="DG87" s="323"/>
      <c r="DH87" s="323"/>
      <c r="DI87" s="322"/>
    </row>
    <row r="88" spans="1:113" ht="12" hidden="1" customHeight="1" outlineLevel="2">
      <c r="A88" s="219"/>
      <c r="B88" s="326" t="s">
        <v>171</v>
      </c>
      <c r="C88" s="322"/>
      <c r="D88" s="322"/>
      <c r="E88" s="322"/>
      <c r="F88" s="322"/>
      <c r="G88" s="322"/>
      <c r="H88" s="322"/>
      <c r="I88" s="322"/>
      <c r="J88" s="322"/>
      <c r="K88" s="322"/>
      <c r="L88" s="322"/>
      <c r="M88" s="322"/>
      <c r="N88" s="322"/>
      <c r="O88" s="322"/>
      <c r="P88" s="323"/>
      <c r="Q88" s="322"/>
      <c r="R88" s="323"/>
      <c r="S88" s="323"/>
      <c r="T88" s="323"/>
      <c r="U88" s="323"/>
      <c r="V88" s="322"/>
      <c r="W88" s="323"/>
      <c r="X88" s="323"/>
      <c r="Y88" s="323"/>
      <c r="Z88" s="323"/>
      <c r="AA88" s="322"/>
      <c r="AB88" s="322"/>
      <c r="AC88" s="323"/>
      <c r="AD88" s="323"/>
      <c r="AE88" s="323"/>
      <c r="AF88" s="323"/>
      <c r="AG88" s="322"/>
      <c r="AH88" s="323"/>
      <c r="AI88" s="323"/>
      <c r="AJ88" s="323"/>
      <c r="AK88" s="323"/>
      <c r="AL88" s="322"/>
      <c r="AM88" s="323"/>
      <c r="AN88" s="323"/>
      <c r="AO88" s="323"/>
      <c r="AP88" s="323"/>
      <c r="AQ88" s="322"/>
      <c r="AR88" s="323"/>
      <c r="AS88" s="323"/>
      <c r="AT88" s="323"/>
      <c r="AU88" s="323"/>
      <c r="AV88" s="322"/>
      <c r="AW88" s="323"/>
      <c r="AX88" s="323"/>
      <c r="AY88" s="323"/>
      <c r="AZ88" s="323"/>
      <c r="BA88" s="322"/>
      <c r="BB88" s="323"/>
      <c r="BC88" s="323"/>
      <c r="BD88" s="323"/>
      <c r="BE88" s="323"/>
      <c r="BF88" s="322"/>
      <c r="BG88" s="323"/>
      <c r="BH88" s="323"/>
      <c r="BI88" s="324"/>
      <c r="BJ88" s="323"/>
      <c r="BK88" s="322"/>
      <c r="BL88" s="323"/>
      <c r="BM88" s="323"/>
      <c r="BN88" s="323"/>
      <c r="BO88" s="323"/>
      <c r="BP88" s="327" t="s">
        <v>126</v>
      </c>
      <c r="BQ88" s="323"/>
      <c r="BR88" s="323"/>
      <c r="BS88" s="323"/>
      <c r="BT88" s="323"/>
      <c r="BU88" s="328">
        <f>-(BU87/BP87-1)</f>
        <v>0.23262839879154074</v>
      </c>
      <c r="BV88" s="323"/>
      <c r="BW88" s="323"/>
      <c r="BX88" s="323"/>
      <c r="BY88" s="323"/>
      <c r="BZ88" s="328">
        <f t="shared" ref="BZ88" si="300">+BZ87/BU87-1</f>
        <v>0.80118110236220463</v>
      </c>
      <c r="CA88" s="323"/>
      <c r="CB88" s="323"/>
      <c r="CC88" s="323"/>
      <c r="CD88" s="323"/>
      <c r="CE88" s="328">
        <f t="shared" ref="CE88" si="301">+CE87/BZ87-1</f>
        <v>-8.306010928961749E-2</v>
      </c>
      <c r="CF88" s="323"/>
      <c r="CG88" s="323"/>
      <c r="CH88" s="323"/>
      <c r="CI88" s="323"/>
      <c r="CJ88" s="328">
        <f t="shared" ref="CJ88" si="302">+CJ87/CE87-1</f>
        <v>-6.3170441001191846E-2</v>
      </c>
      <c r="CK88" s="323"/>
      <c r="CL88" s="323"/>
      <c r="CM88" s="323"/>
      <c r="CN88" s="323"/>
      <c r="CO88" s="328"/>
      <c r="CP88" s="323"/>
      <c r="CQ88" s="323"/>
      <c r="CR88" s="323"/>
      <c r="CS88" s="323"/>
      <c r="CT88" s="328"/>
      <c r="CU88" s="323"/>
      <c r="CV88" s="323"/>
      <c r="CW88" s="323"/>
      <c r="CX88" s="323"/>
      <c r="CY88" s="322"/>
      <c r="CZ88" s="323"/>
      <c r="DA88" s="323"/>
      <c r="DB88" s="323"/>
      <c r="DC88" s="323"/>
      <c r="DD88" s="322"/>
      <c r="DE88" s="323"/>
      <c r="DF88" s="323"/>
      <c r="DG88" s="323"/>
      <c r="DH88" s="323"/>
      <c r="DI88" s="322"/>
    </row>
    <row r="89" spans="1:113" ht="12" hidden="1" customHeight="1" outlineLevel="2">
      <c r="A89" s="219"/>
      <c r="B89" s="329" t="s">
        <v>173</v>
      </c>
      <c r="C89" s="322"/>
      <c r="D89" s="322"/>
      <c r="E89" s="322"/>
      <c r="F89" s="322"/>
      <c r="G89" s="322"/>
      <c r="H89" s="322"/>
      <c r="I89" s="322"/>
      <c r="J89" s="322"/>
      <c r="K89" s="322"/>
      <c r="L89" s="322"/>
      <c r="M89" s="322"/>
      <c r="N89" s="322"/>
      <c r="O89" s="322"/>
      <c r="P89" s="323"/>
      <c r="Q89" s="322"/>
      <c r="R89" s="323"/>
      <c r="S89" s="323"/>
      <c r="T89" s="323"/>
      <c r="U89" s="323"/>
      <c r="V89" s="322"/>
      <c r="W89" s="323"/>
      <c r="X89" s="323"/>
      <c r="Y89" s="323"/>
      <c r="Z89" s="323"/>
      <c r="AA89" s="322"/>
      <c r="AB89" s="322"/>
      <c r="AC89" s="323"/>
      <c r="AD89" s="323"/>
      <c r="AE89" s="323"/>
      <c r="AF89" s="323"/>
      <c r="AG89" s="322"/>
      <c r="AH89" s="323"/>
      <c r="AI89" s="323"/>
      <c r="AJ89" s="323"/>
      <c r="AK89" s="323"/>
      <c r="AL89" s="322"/>
      <c r="AM89" s="323"/>
      <c r="AN89" s="323"/>
      <c r="AO89" s="323"/>
      <c r="AP89" s="323"/>
      <c r="AQ89" s="322"/>
      <c r="AR89" s="323"/>
      <c r="AS89" s="323"/>
      <c r="AT89" s="323"/>
      <c r="AU89" s="323"/>
      <c r="AV89" s="322"/>
      <c r="AW89" s="323"/>
      <c r="AX89" s="323"/>
      <c r="AY89" s="323"/>
      <c r="AZ89" s="323"/>
      <c r="BA89" s="322"/>
      <c r="BB89" s="323"/>
      <c r="BC89" s="323"/>
      <c r="BD89" s="323"/>
      <c r="BE89" s="323"/>
      <c r="BF89" s="322"/>
      <c r="BG89" s="323"/>
      <c r="BH89" s="323"/>
      <c r="BI89" s="324"/>
      <c r="BJ89" s="323"/>
      <c r="BK89" s="322"/>
      <c r="BL89" s="323"/>
      <c r="BM89" s="323"/>
      <c r="BN89" s="323"/>
      <c r="BO89" s="323"/>
      <c r="BP89" s="327" t="s">
        <v>126</v>
      </c>
      <c r="BQ89" s="323"/>
      <c r="BR89" s="323"/>
      <c r="BS89" s="323"/>
      <c r="BT89" s="323"/>
      <c r="BU89" s="330">
        <v>0.24</v>
      </c>
      <c r="BV89" s="323"/>
      <c r="BW89" s="323"/>
      <c r="BX89" s="323"/>
      <c r="BY89" s="323"/>
      <c r="BZ89" s="330">
        <v>-0.79</v>
      </c>
      <c r="CA89" s="323"/>
      <c r="CB89" s="323"/>
      <c r="CC89" s="323"/>
      <c r="CD89" s="323"/>
      <c r="CE89" s="330">
        <v>-0.03</v>
      </c>
      <c r="CF89" s="323"/>
      <c r="CG89" s="323"/>
      <c r="CH89" s="323"/>
      <c r="CI89" s="323"/>
      <c r="CJ89" s="330">
        <v>-0.06</v>
      </c>
      <c r="CK89" s="323"/>
      <c r="CL89" s="323"/>
      <c r="CM89" s="323"/>
      <c r="CN89" s="323"/>
      <c r="CO89" s="322"/>
      <c r="CP89" s="323"/>
      <c r="CQ89" s="323"/>
      <c r="CR89" s="323"/>
      <c r="CS89" s="323"/>
      <c r="CT89" s="322"/>
      <c r="CU89" s="323"/>
      <c r="CV89" s="323"/>
      <c r="CW89" s="323"/>
      <c r="CX89" s="323"/>
      <c r="CY89" s="322"/>
      <c r="CZ89" s="323"/>
      <c r="DA89" s="323"/>
      <c r="DB89" s="323"/>
      <c r="DC89" s="323"/>
      <c r="DD89" s="322"/>
      <c r="DE89" s="323"/>
      <c r="DF89" s="323"/>
      <c r="DG89" s="323"/>
      <c r="DH89" s="323"/>
      <c r="DI89" s="322"/>
    </row>
    <row r="90" spans="1:113" ht="12" hidden="1" customHeight="1" outlineLevel="2">
      <c r="A90" s="219"/>
      <c r="B90" s="329" t="s">
        <v>341</v>
      </c>
      <c r="C90" s="322"/>
      <c r="D90" s="322"/>
      <c r="E90" s="322"/>
      <c r="F90" s="322"/>
      <c r="G90" s="322"/>
      <c r="H90" s="322"/>
      <c r="I90" s="322"/>
      <c r="J90" s="322"/>
      <c r="K90" s="322"/>
      <c r="L90" s="322"/>
      <c r="M90" s="322"/>
      <c r="N90" s="322"/>
      <c r="O90" s="322"/>
      <c r="P90" s="323"/>
      <c r="Q90" s="322"/>
      <c r="R90" s="323"/>
      <c r="S90" s="323"/>
      <c r="T90" s="323"/>
      <c r="U90" s="323"/>
      <c r="V90" s="322"/>
      <c r="W90" s="323"/>
      <c r="X90" s="323"/>
      <c r="Y90" s="323"/>
      <c r="Z90" s="323"/>
      <c r="AA90" s="322"/>
      <c r="AB90" s="322"/>
      <c r="AC90" s="323"/>
      <c r="AD90" s="323"/>
      <c r="AE90" s="323"/>
      <c r="AF90" s="323"/>
      <c r="AG90" s="322"/>
      <c r="AH90" s="323"/>
      <c r="AI90" s="323"/>
      <c r="AJ90" s="323"/>
      <c r="AK90" s="323"/>
      <c r="AL90" s="322"/>
      <c r="AM90" s="323"/>
      <c r="AN90" s="323"/>
      <c r="AO90" s="323"/>
      <c r="AP90" s="323"/>
      <c r="AQ90" s="322"/>
      <c r="AR90" s="323"/>
      <c r="AS90" s="323"/>
      <c r="AT90" s="323"/>
      <c r="AU90" s="323"/>
      <c r="AV90" s="322"/>
      <c r="AW90" s="323"/>
      <c r="AX90" s="323"/>
      <c r="AY90" s="323"/>
      <c r="AZ90" s="323"/>
      <c r="BA90" s="322"/>
      <c r="BB90" s="323"/>
      <c r="BC90" s="323"/>
      <c r="BD90" s="323"/>
      <c r="BE90" s="323"/>
      <c r="BF90" s="322"/>
      <c r="BG90" s="323"/>
      <c r="BH90" s="323"/>
      <c r="BI90" s="324"/>
      <c r="BJ90" s="323"/>
      <c r="BK90" s="322"/>
      <c r="BL90" s="323"/>
      <c r="BM90" s="323"/>
      <c r="BN90" s="323"/>
      <c r="BO90" s="323"/>
      <c r="BP90" s="334">
        <f>BP87/BP$91</f>
        <v>-2.1628332462101413E-2</v>
      </c>
      <c r="BQ90" s="323"/>
      <c r="BR90" s="323"/>
      <c r="BS90" s="323"/>
      <c r="BT90" s="323"/>
      <c r="BU90" s="334">
        <f>BU87/BU$91</f>
        <v>-1.4201845121610287E-2</v>
      </c>
      <c r="BV90" s="323"/>
      <c r="BW90" s="323"/>
      <c r="BX90" s="323"/>
      <c r="BY90" s="323"/>
      <c r="BZ90" s="334">
        <f>BZ87/BZ$91</f>
        <v>-2.5310503167270616E-2</v>
      </c>
      <c r="CA90" s="335"/>
      <c r="CB90" s="323"/>
      <c r="CC90" s="323"/>
      <c r="CD90" s="323"/>
      <c r="CE90" s="334">
        <f>CE87/CE$91</f>
        <v>-2.0908615146908564E-2</v>
      </c>
      <c r="CF90" s="335"/>
      <c r="CG90" s="323"/>
      <c r="CH90" s="323"/>
      <c r="CI90" s="323"/>
      <c r="CJ90" s="334">
        <f>CJ87/CJ$91</f>
        <v>-1.9280300242843475E-2</v>
      </c>
      <c r="CK90" s="323"/>
      <c r="CL90" s="323"/>
      <c r="CM90" s="323"/>
      <c r="CN90" s="323"/>
      <c r="CO90" s="334"/>
      <c r="CP90" s="323"/>
      <c r="CQ90" s="323"/>
      <c r="CR90" s="323"/>
      <c r="CS90" s="323"/>
      <c r="CT90" s="334"/>
      <c r="CU90" s="323"/>
      <c r="CV90" s="323"/>
      <c r="CW90" s="323"/>
      <c r="CX90" s="323"/>
      <c r="CY90" s="322"/>
      <c r="CZ90" s="323"/>
      <c r="DA90" s="323"/>
      <c r="DB90" s="323"/>
      <c r="DC90" s="323"/>
      <c r="DD90" s="322"/>
      <c r="DE90" s="323"/>
      <c r="DF90" s="323"/>
      <c r="DG90" s="323"/>
      <c r="DH90" s="323"/>
      <c r="DI90" s="322"/>
    </row>
    <row r="91" spans="1:113" s="4" customFormat="1" ht="12" hidden="1" customHeight="1" outlineLevel="2">
      <c r="A91" s="560"/>
      <c r="B91" s="336" t="s">
        <v>343</v>
      </c>
      <c r="C91" s="337"/>
      <c r="D91" s="337"/>
      <c r="E91" s="337"/>
      <c r="F91" s="337"/>
      <c r="G91" s="337"/>
      <c r="H91" s="337"/>
      <c r="I91" s="337"/>
      <c r="J91" s="337"/>
      <c r="K91" s="337"/>
      <c r="L91" s="337"/>
      <c r="M91" s="337"/>
      <c r="N91" s="337"/>
      <c r="O91" s="337"/>
      <c r="P91" s="338"/>
      <c r="Q91" s="337"/>
      <c r="R91" s="338"/>
      <c r="S91" s="338"/>
      <c r="T91" s="338"/>
      <c r="U91" s="338"/>
      <c r="V91" s="337"/>
      <c r="W91" s="338"/>
      <c r="X91" s="338"/>
      <c r="Y91" s="338"/>
      <c r="Z91" s="338"/>
      <c r="AA91" s="337"/>
      <c r="AB91" s="337"/>
      <c r="AC91" s="338"/>
      <c r="AD91" s="338"/>
      <c r="AE91" s="338"/>
      <c r="AF91" s="338"/>
      <c r="AG91" s="337"/>
      <c r="AH91" s="338"/>
      <c r="AI91" s="338"/>
      <c r="AJ91" s="338"/>
      <c r="AK91" s="338"/>
      <c r="AL91" s="337"/>
      <c r="AM91" s="338"/>
      <c r="AN91" s="338"/>
      <c r="AO91" s="338"/>
      <c r="AP91" s="338"/>
      <c r="AQ91" s="337"/>
      <c r="AR91" s="338"/>
      <c r="AS91" s="338"/>
      <c r="AT91" s="338"/>
      <c r="AU91" s="338"/>
      <c r="AV91" s="337"/>
      <c r="AW91" s="338"/>
      <c r="AX91" s="338"/>
      <c r="AY91" s="338"/>
      <c r="AZ91" s="338"/>
      <c r="BA91" s="337"/>
      <c r="BB91" s="338"/>
      <c r="BC91" s="338"/>
      <c r="BD91" s="338"/>
      <c r="BE91" s="338"/>
      <c r="BF91" s="337"/>
      <c r="BG91" s="338"/>
      <c r="BH91" s="338"/>
      <c r="BI91" s="339"/>
      <c r="BJ91" s="338"/>
      <c r="BK91" s="337"/>
      <c r="BL91" s="338"/>
      <c r="BM91" s="338"/>
      <c r="BN91" s="338"/>
      <c r="BO91" s="338"/>
      <c r="BP91" s="340">
        <f>BP67+BP72+BP77+BP82+BP87</f>
        <v>30608</v>
      </c>
      <c r="BQ91" s="338"/>
      <c r="BR91" s="338"/>
      <c r="BS91" s="338"/>
      <c r="BT91" s="338"/>
      <c r="BU91" s="340">
        <f>BU67+BU72+BU77+BU82+BU87</f>
        <v>35770</v>
      </c>
      <c r="BV91" s="338"/>
      <c r="BW91" s="338"/>
      <c r="BX91" s="338"/>
      <c r="BY91" s="338"/>
      <c r="BZ91" s="340">
        <f>BZ67+BZ72+BZ77+BZ82+BZ87</f>
        <v>36151</v>
      </c>
      <c r="CA91" s="341"/>
      <c r="CB91" s="338"/>
      <c r="CC91" s="338"/>
      <c r="CD91" s="338"/>
      <c r="CE91" s="340">
        <f>CE67+CE72+CE77+CE82+CE87</f>
        <v>40127</v>
      </c>
      <c r="CF91" s="341"/>
      <c r="CG91" s="338"/>
      <c r="CH91" s="338"/>
      <c r="CI91" s="338"/>
      <c r="CJ91" s="340">
        <f>CJ67+CJ72+CJ77+CJ82+CJ87</f>
        <v>40767</v>
      </c>
      <c r="CK91" s="338"/>
      <c r="CL91" s="338"/>
      <c r="CM91" s="338"/>
      <c r="CN91" s="338"/>
      <c r="CO91" s="340"/>
      <c r="CP91" s="338"/>
      <c r="CQ91" s="338"/>
      <c r="CR91" s="338"/>
      <c r="CS91" s="338"/>
      <c r="CT91" s="340"/>
      <c r="CU91" s="338"/>
      <c r="CV91" s="338"/>
      <c r="CW91" s="338"/>
      <c r="CX91" s="338"/>
      <c r="CY91" s="337"/>
      <c r="CZ91" s="338"/>
      <c r="DA91" s="338"/>
      <c r="DB91" s="338"/>
      <c r="DC91" s="338"/>
      <c r="DD91" s="337"/>
      <c r="DE91" s="338"/>
      <c r="DF91" s="338"/>
      <c r="DG91" s="338"/>
      <c r="DH91" s="338"/>
      <c r="DI91" s="337"/>
    </row>
    <row r="92" spans="1:113" s="4" customFormat="1" ht="12" hidden="1" customHeight="1" outlineLevel="2">
      <c r="A92" s="560"/>
      <c r="B92" s="326" t="s">
        <v>171</v>
      </c>
      <c r="C92" s="337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8"/>
      <c r="Q92" s="337"/>
      <c r="R92" s="338"/>
      <c r="S92" s="338"/>
      <c r="T92" s="338"/>
      <c r="U92" s="338"/>
      <c r="V92" s="337"/>
      <c r="W92" s="338"/>
      <c r="X92" s="338"/>
      <c r="Y92" s="338"/>
      <c r="Z92" s="338"/>
      <c r="AA92" s="337"/>
      <c r="AB92" s="337"/>
      <c r="AC92" s="338"/>
      <c r="AD92" s="338"/>
      <c r="AE92" s="338"/>
      <c r="AF92" s="338"/>
      <c r="AG92" s="337"/>
      <c r="AH92" s="338"/>
      <c r="AI92" s="338"/>
      <c r="AJ92" s="338"/>
      <c r="AK92" s="338"/>
      <c r="AL92" s="337"/>
      <c r="AM92" s="338"/>
      <c r="AN92" s="338"/>
      <c r="AO92" s="338"/>
      <c r="AP92" s="338"/>
      <c r="AQ92" s="337"/>
      <c r="AR92" s="338"/>
      <c r="AS92" s="338"/>
      <c r="AT92" s="338"/>
      <c r="AU92" s="338"/>
      <c r="AV92" s="337"/>
      <c r="AW92" s="338"/>
      <c r="AX92" s="338"/>
      <c r="AY92" s="338"/>
      <c r="AZ92" s="338"/>
      <c r="BA92" s="337"/>
      <c r="BB92" s="338"/>
      <c r="BC92" s="338"/>
      <c r="BD92" s="338"/>
      <c r="BE92" s="338"/>
      <c r="BF92" s="337"/>
      <c r="BG92" s="338"/>
      <c r="BH92" s="338"/>
      <c r="BI92" s="339"/>
      <c r="BJ92" s="338"/>
      <c r="BK92" s="337"/>
      <c r="BL92" s="338"/>
      <c r="BM92" s="338"/>
      <c r="BN92" s="338"/>
      <c r="BO92" s="338"/>
      <c r="BP92" s="327" t="s">
        <v>126</v>
      </c>
      <c r="BQ92" s="338"/>
      <c r="BR92" s="338"/>
      <c r="BS92" s="338"/>
      <c r="BT92" s="338"/>
      <c r="BU92" s="328">
        <f>BU91/BP91-1</f>
        <v>0.16864871928907466</v>
      </c>
      <c r="BV92" s="338"/>
      <c r="BW92" s="338"/>
      <c r="BX92" s="338"/>
      <c r="BY92" s="338"/>
      <c r="BZ92" s="328">
        <f>BZ91/BU91-1</f>
        <v>1.0651383841207673E-2</v>
      </c>
      <c r="CA92" s="341"/>
      <c r="CB92" s="338"/>
      <c r="CC92" s="338"/>
      <c r="CD92" s="338"/>
      <c r="CE92" s="328">
        <f>CE91/BZ91-1</f>
        <v>0.10998312633122187</v>
      </c>
      <c r="CF92" s="341"/>
      <c r="CG92" s="338"/>
      <c r="CH92" s="338"/>
      <c r="CI92" s="338"/>
      <c r="CJ92" s="328">
        <f>CJ91/CE91-1</f>
        <v>1.5949360779524913E-2</v>
      </c>
      <c r="CK92" s="338"/>
      <c r="CL92" s="338"/>
      <c r="CM92" s="338"/>
      <c r="CN92" s="338"/>
      <c r="CO92" s="328"/>
      <c r="CP92" s="338"/>
      <c r="CQ92" s="338"/>
      <c r="CR92" s="338"/>
      <c r="CS92" s="338"/>
      <c r="CT92" s="328"/>
      <c r="CU92" s="338"/>
      <c r="CV92" s="338"/>
      <c r="CW92" s="338"/>
      <c r="CX92" s="338"/>
      <c r="CY92" s="337"/>
      <c r="CZ92" s="338"/>
      <c r="DA92" s="338"/>
      <c r="DB92" s="338"/>
      <c r="DC92" s="338"/>
      <c r="DD92" s="337"/>
      <c r="DE92" s="338"/>
      <c r="DF92" s="338"/>
      <c r="DG92" s="338"/>
      <c r="DH92" s="338"/>
      <c r="DI92" s="337"/>
    </row>
    <row r="93" spans="1:113" s="3" customFormat="1" ht="12" hidden="1" customHeight="1" outlineLevel="2">
      <c r="A93" s="490"/>
      <c r="B93" s="329" t="s">
        <v>173</v>
      </c>
      <c r="C93" s="331"/>
      <c r="D93" s="331"/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332"/>
      <c r="Q93" s="331"/>
      <c r="R93" s="332"/>
      <c r="S93" s="332"/>
      <c r="T93" s="332"/>
      <c r="U93" s="332"/>
      <c r="V93" s="331"/>
      <c r="W93" s="332"/>
      <c r="X93" s="332"/>
      <c r="Y93" s="332"/>
      <c r="Z93" s="332"/>
      <c r="AA93" s="331"/>
      <c r="AB93" s="331"/>
      <c r="AC93" s="332"/>
      <c r="AD93" s="332"/>
      <c r="AE93" s="332"/>
      <c r="AF93" s="332"/>
      <c r="AG93" s="331"/>
      <c r="AH93" s="332"/>
      <c r="AI93" s="332"/>
      <c r="AJ93" s="332"/>
      <c r="AK93" s="332"/>
      <c r="AL93" s="331"/>
      <c r="AM93" s="332"/>
      <c r="AN93" s="332"/>
      <c r="AO93" s="332"/>
      <c r="AP93" s="332"/>
      <c r="AQ93" s="331"/>
      <c r="AR93" s="332"/>
      <c r="AS93" s="332"/>
      <c r="AT93" s="332"/>
      <c r="AU93" s="332"/>
      <c r="AV93" s="331"/>
      <c r="AW93" s="332"/>
      <c r="AX93" s="332"/>
      <c r="AY93" s="332"/>
      <c r="AZ93" s="332"/>
      <c r="BA93" s="331"/>
      <c r="BB93" s="332"/>
      <c r="BC93" s="332"/>
      <c r="BD93" s="332"/>
      <c r="BE93" s="332"/>
      <c r="BF93" s="331"/>
      <c r="BG93" s="332"/>
      <c r="BH93" s="332"/>
      <c r="BI93" s="333"/>
      <c r="BJ93" s="332"/>
      <c r="BK93" s="331"/>
      <c r="BL93" s="332"/>
      <c r="BM93" s="332"/>
      <c r="BN93" s="332"/>
      <c r="BO93" s="332"/>
      <c r="BP93" s="327" t="s">
        <v>126</v>
      </c>
      <c r="BQ93" s="332"/>
      <c r="BR93" s="332"/>
      <c r="BS93" s="332"/>
      <c r="BT93" s="332"/>
      <c r="BU93" s="328">
        <v>0.15</v>
      </c>
      <c r="BV93" s="332"/>
      <c r="BW93" s="332"/>
      <c r="BX93" s="332"/>
      <c r="BY93" s="332"/>
      <c r="BZ93" s="328">
        <v>0.01</v>
      </c>
      <c r="CA93" s="342"/>
      <c r="CB93" s="332"/>
      <c r="CC93" s="332"/>
      <c r="CD93" s="332"/>
      <c r="CE93" s="328">
        <v>0.18</v>
      </c>
      <c r="CF93" s="342"/>
      <c r="CG93" s="332"/>
      <c r="CH93" s="332"/>
      <c r="CI93" s="332"/>
      <c r="CJ93" s="328">
        <v>0.02</v>
      </c>
      <c r="CK93" s="332"/>
      <c r="CL93" s="332"/>
      <c r="CM93" s="332"/>
      <c r="CN93" s="332"/>
      <c r="CO93" s="331"/>
      <c r="CP93" s="332"/>
      <c r="CQ93" s="332"/>
      <c r="CR93" s="332"/>
      <c r="CS93" s="332"/>
      <c r="CT93" s="331"/>
      <c r="CU93" s="332"/>
      <c r="CV93" s="332"/>
      <c r="CW93" s="332"/>
      <c r="CX93" s="332"/>
      <c r="CY93" s="331"/>
      <c r="CZ93" s="332"/>
      <c r="DA93" s="332"/>
      <c r="DB93" s="332"/>
      <c r="DC93" s="332"/>
      <c r="DD93" s="331"/>
      <c r="DE93" s="332"/>
      <c r="DF93" s="332"/>
      <c r="DG93" s="332"/>
      <c r="DH93" s="332"/>
      <c r="DI93" s="331"/>
    </row>
    <row r="94" spans="1:113" ht="12" hidden="1" customHeight="1" outlineLevel="2">
      <c r="A94" s="219"/>
      <c r="B94" s="343" t="s">
        <v>344</v>
      </c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3"/>
      <c r="Q94" s="322"/>
      <c r="R94" s="323"/>
      <c r="S94" s="323"/>
      <c r="T94" s="323"/>
      <c r="U94" s="323"/>
      <c r="V94" s="322"/>
      <c r="W94" s="323"/>
      <c r="X94" s="323"/>
      <c r="Y94" s="323"/>
      <c r="Z94" s="323"/>
      <c r="AA94" s="322"/>
      <c r="AB94" s="322"/>
      <c r="AC94" s="323"/>
      <c r="AD94" s="323"/>
      <c r="AE94" s="323"/>
      <c r="AF94" s="323"/>
      <c r="AG94" s="322"/>
      <c r="AH94" s="323"/>
      <c r="AI94" s="323"/>
      <c r="AJ94" s="323"/>
      <c r="AK94" s="323"/>
      <c r="AL94" s="322"/>
      <c r="AM94" s="323"/>
      <c r="AN94" s="323"/>
      <c r="AO94" s="323"/>
      <c r="AP94" s="323"/>
      <c r="AQ94" s="322"/>
      <c r="AR94" s="323"/>
      <c r="AS94" s="323"/>
      <c r="AT94" s="323"/>
      <c r="AU94" s="323"/>
      <c r="AV94" s="322"/>
      <c r="AW94" s="323"/>
      <c r="AX94" s="323"/>
      <c r="AY94" s="323"/>
      <c r="AZ94" s="323"/>
      <c r="BA94" s="322"/>
      <c r="BB94" s="323"/>
      <c r="BC94" s="323"/>
      <c r="BD94" s="323"/>
      <c r="BE94" s="323"/>
      <c r="BF94" s="322"/>
      <c r="BG94" s="323"/>
      <c r="BH94" s="323"/>
      <c r="BI94" s="324"/>
      <c r="BJ94" s="323"/>
      <c r="BK94" s="322"/>
      <c r="BL94" s="323"/>
      <c r="BM94" s="323"/>
      <c r="BN94" s="323"/>
      <c r="BO94" s="323"/>
      <c r="BP94" s="325">
        <f>BP91-BP51</f>
        <v>7452</v>
      </c>
      <c r="BQ94" s="323"/>
      <c r="BR94" s="323"/>
      <c r="BS94" s="323"/>
      <c r="BT94" s="323"/>
      <c r="BU94" s="325">
        <f>BU91-BU51</f>
        <v>9872</v>
      </c>
      <c r="BV94" s="323"/>
      <c r="BW94" s="323"/>
      <c r="BX94" s="323"/>
      <c r="BY94" s="323"/>
      <c r="BZ94" s="325">
        <f>BZ91-BZ51</f>
        <v>10543</v>
      </c>
      <c r="CA94" s="335"/>
      <c r="CB94" s="323"/>
      <c r="CC94" s="323"/>
      <c r="CD94" s="323"/>
      <c r="CE94" s="325">
        <f>CE91-CE51</f>
        <v>12730</v>
      </c>
      <c r="CF94" s="335"/>
      <c r="CG94" s="323"/>
      <c r="CH94" s="323"/>
      <c r="CI94" s="323"/>
      <c r="CJ94" s="325">
        <f>CJ91-CJ51</f>
        <v>13009</v>
      </c>
      <c r="CK94" s="323"/>
      <c r="CL94" s="323"/>
      <c r="CM94" s="323"/>
      <c r="CN94" s="323"/>
      <c r="CO94" s="325"/>
      <c r="CP94" s="323"/>
      <c r="CQ94" s="323"/>
      <c r="CR94" s="323"/>
      <c r="CS94" s="323"/>
      <c r="CT94" s="325"/>
      <c r="CU94" s="323"/>
      <c r="CV94" s="323"/>
      <c r="CW94" s="323"/>
      <c r="CX94" s="323"/>
      <c r="CY94" s="322"/>
      <c r="CZ94" s="323"/>
      <c r="DA94" s="323"/>
      <c r="DB94" s="323"/>
      <c r="DC94" s="323"/>
      <c r="DD94" s="322"/>
      <c r="DE94" s="323"/>
      <c r="DF94" s="323"/>
      <c r="DG94" s="323"/>
      <c r="DH94" s="323"/>
      <c r="DI94" s="322"/>
    </row>
    <row r="95" spans="1:113" s="3" customFormat="1" ht="12" hidden="1" customHeight="1" outlineLevel="2">
      <c r="A95" s="490"/>
      <c r="B95" s="326" t="s">
        <v>171</v>
      </c>
      <c r="C95" s="331"/>
      <c r="D95" s="331"/>
      <c r="E95" s="331"/>
      <c r="F95" s="331"/>
      <c r="G95" s="331"/>
      <c r="H95" s="331"/>
      <c r="I95" s="331"/>
      <c r="J95" s="331"/>
      <c r="K95" s="331"/>
      <c r="L95" s="331"/>
      <c r="M95" s="331"/>
      <c r="N95" s="331"/>
      <c r="O95" s="331"/>
      <c r="P95" s="332"/>
      <c r="Q95" s="331"/>
      <c r="R95" s="332"/>
      <c r="S95" s="332"/>
      <c r="T95" s="332"/>
      <c r="U95" s="332"/>
      <c r="V95" s="331"/>
      <c r="W95" s="332"/>
      <c r="X95" s="332"/>
      <c r="Y95" s="332"/>
      <c r="Z95" s="332"/>
      <c r="AA95" s="331"/>
      <c r="AB95" s="331"/>
      <c r="AC95" s="332"/>
      <c r="AD95" s="332"/>
      <c r="AE95" s="332"/>
      <c r="AF95" s="332"/>
      <c r="AG95" s="331"/>
      <c r="AH95" s="332"/>
      <c r="AI95" s="332"/>
      <c r="AJ95" s="332"/>
      <c r="AK95" s="332"/>
      <c r="AL95" s="331"/>
      <c r="AM95" s="332"/>
      <c r="AN95" s="332"/>
      <c r="AO95" s="332"/>
      <c r="AP95" s="332"/>
      <c r="AQ95" s="331"/>
      <c r="AR95" s="332"/>
      <c r="AS95" s="332"/>
      <c r="AT95" s="332"/>
      <c r="AU95" s="332"/>
      <c r="AV95" s="331"/>
      <c r="AW95" s="332"/>
      <c r="AX95" s="332"/>
      <c r="AY95" s="332"/>
      <c r="AZ95" s="332"/>
      <c r="BA95" s="331"/>
      <c r="BB95" s="332"/>
      <c r="BC95" s="332"/>
      <c r="BD95" s="332"/>
      <c r="BE95" s="332"/>
      <c r="BF95" s="331"/>
      <c r="BG95" s="332"/>
      <c r="BH95" s="332"/>
      <c r="BI95" s="333"/>
      <c r="BJ95" s="332"/>
      <c r="BK95" s="331"/>
      <c r="BL95" s="332"/>
      <c r="BM95" s="332"/>
      <c r="BN95" s="332"/>
      <c r="BO95" s="332"/>
      <c r="BP95" s="327" t="s">
        <v>126</v>
      </c>
      <c r="BQ95" s="332"/>
      <c r="BR95" s="332"/>
      <c r="BS95" s="332"/>
      <c r="BT95" s="332"/>
      <c r="BU95" s="328">
        <f>BU94/BP94-1</f>
        <v>0.32474503488996254</v>
      </c>
      <c r="BV95" s="332"/>
      <c r="BW95" s="332"/>
      <c r="BX95" s="332"/>
      <c r="BY95" s="332"/>
      <c r="BZ95" s="328">
        <f>BZ94/BU94-1</f>
        <v>6.7970016207455464E-2</v>
      </c>
      <c r="CA95" s="342"/>
      <c r="CB95" s="332"/>
      <c r="CC95" s="332"/>
      <c r="CD95" s="332"/>
      <c r="CE95" s="328">
        <f>CE94/BZ94-1</f>
        <v>0.20743621360144182</v>
      </c>
      <c r="CF95" s="342"/>
      <c r="CG95" s="332"/>
      <c r="CH95" s="332"/>
      <c r="CI95" s="332"/>
      <c r="CJ95" s="328">
        <f>CJ94/CE94-1</f>
        <v>2.1916732128829608E-2</v>
      </c>
      <c r="CK95" s="332"/>
      <c r="CL95" s="332"/>
      <c r="CM95" s="332"/>
      <c r="CN95" s="332"/>
      <c r="CO95" s="328"/>
      <c r="CP95" s="332"/>
      <c r="CQ95" s="332"/>
      <c r="CR95" s="332"/>
      <c r="CS95" s="332"/>
      <c r="CT95" s="328"/>
      <c r="CU95" s="332"/>
      <c r="CV95" s="332"/>
      <c r="CW95" s="332"/>
      <c r="CX95" s="332"/>
      <c r="CY95" s="331"/>
      <c r="CZ95" s="332"/>
      <c r="DA95" s="332"/>
      <c r="DB95" s="332"/>
      <c r="DC95" s="332"/>
      <c r="DD95" s="331"/>
      <c r="DE95" s="332"/>
      <c r="DF95" s="332"/>
      <c r="DG95" s="332"/>
      <c r="DH95" s="332"/>
      <c r="DI95" s="331"/>
    </row>
    <row r="96" spans="1:113" ht="12" hidden="1" customHeight="1" outlineLevel="2">
      <c r="A96" s="219"/>
      <c r="B96" s="329" t="s">
        <v>173</v>
      </c>
      <c r="C96" s="322"/>
      <c r="D96" s="322"/>
      <c r="E96" s="322"/>
      <c r="F96" s="322"/>
      <c r="G96" s="322"/>
      <c r="H96" s="322"/>
      <c r="I96" s="322"/>
      <c r="J96" s="322"/>
      <c r="K96" s="322"/>
      <c r="L96" s="322"/>
      <c r="M96" s="322"/>
      <c r="N96" s="322"/>
      <c r="O96" s="322"/>
      <c r="P96" s="323"/>
      <c r="Q96" s="322"/>
      <c r="R96" s="323"/>
      <c r="S96" s="323"/>
      <c r="T96" s="323"/>
      <c r="U96" s="323"/>
      <c r="V96" s="322"/>
      <c r="W96" s="323"/>
      <c r="X96" s="323"/>
      <c r="Y96" s="323"/>
      <c r="Z96" s="323"/>
      <c r="AA96" s="322"/>
      <c r="AB96" s="322"/>
      <c r="AC96" s="323"/>
      <c r="AD96" s="323"/>
      <c r="AE96" s="323"/>
      <c r="AF96" s="323"/>
      <c r="AG96" s="322"/>
      <c r="AH96" s="323"/>
      <c r="AI96" s="323"/>
      <c r="AJ96" s="323"/>
      <c r="AK96" s="323"/>
      <c r="AL96" s="322"/>
      <c r="AM96" s="323"/>
      <c r="AN96" s="323"/>
      <c r="AO96" s="323"/>
      <c r="AP96" s="323"/>
      <c r="AQ96" s="322"/>
      <c r="AR96" s="323"/>
      <c r="AS96" s="323"/>
      <c r="AT96" s="323"/>
      <c r="AU96" s="323"/>
      <c r="AV96" s="322"/>
      <c r="AW96" s="323"/>
      <c r="AX96" s="323"/>
      <c r="AY96" s="323"/>
      <c r="AZ96" s="323"/>
      <c r="BA96" s="322"/>
      <c r="BB96" s="323"/>
      <c r="BC96" s="323"/>
      <c r="BD96" s="323"/>
      <c r="BE96" s="323"/>
      <c r="BF96" s="322"/>
      <c r="BG96" s="323"/>
      <c r="BH96" s="323"/>
      <c r="BI96" s="324"/>
      <c r="BJ96" s="323"/>
      <c r="BK96" s="322"/>
      <c r="BL96" s="323"/>
      <c r="BM96" s="323"/>
      <c r="BN96" s="323"/>
      <c r="BO96" s="323"/>
      <c r="BP96" s="327" t="s">
        <v>126</v>
      </c>
      <c r="BQ96" s="323"/>
      <c r="BR96" s="323"/>
      <c r="BS96" s="323"/>
      <c r="BT96" s="323"/>
      <c r="BU96" s="328">
        <v>0.3</v>
      </c>
      <c r="BV96" s="323"/>
      <c r="BW96" s="323"/>
      <c r="BX96" s="323"/>
      <c r="BY96" s="323"/>
      <c r="BZ96" s="328">
        <v>7.0000000000000007E-2</v>
      </c>
      <c r="CA96" s="335"/>
      <c r="CB96" s="323"/>
      <c r="CC96" s="323"/>
      <c r="CD96" s="323"/>
      <c r="CE96" s="328">
        <v>0.27</v>
      </c>
      <c r="CF96" s="335"/>
      <c r="CG96" s="323"/>
      <c r="CH96" s="323"/>
      <c r="CI96" s="323"/>
      <c r="CJ96" s="328">
        <v>0.02</v>
      </c>
      <c r="CK96" s="323"/>
      <c r="CL96" s="323"/>
      <c r="CM96" s="323"/>
      <c r="CN96" s="323"/>
      <c r="CO96" s="322"/>
      <c r="CP96" s="323"/>
      <c r="CQ96" s="323"/>
      <c r="CR96" s="323"/>
      <c r="CS96" s="323"/>
      <c r="CT96" s="322"/>
      <c r="CU96" s="323"/>
      <c r="CV96" s="323"/>
      <c r="CW96" s="323"/>
      <c r="CX96" s="323"/>
      <c r="CY96" s="322"/>
      <c r="CZ96" s="323"/>
      <c r="DA96" s="323"/>
      <c r="DB96" s="323"/>
      <c r="DC96" s="323"/>
      <c r="DD96" s="322"/>
      <c r="DE96" s="323"/>
      <c r="DF96" s="323"/>
      <c r="DG96" s="323"/>
      <c r="DH96" s="323"/>
      <c r="DI96" s="322"/>
    </row>
    <row r="97" spans="1:113" ht="12" hidden="1" customHeight="1" outlineLevel="2">
      <c r="A97" s="219"/>
      <c r="B97" s="329" t="s">
        <v>345</v>
      </c>
      <c r="C97" s="322"/>
      <c r="D97" s="322"/>
      <c r="E97" s="322"/>
      <c r="F97" s="322"/>
      <c r="G97" s="322"/>
      <c r="H97" s="322"/>
      <c r="I97" s="322"/>
      <c r="J97" s="322"/>
      <c r="K97" s="322"/>
      <c r="L97" s="322"/>
      <c r="M97" s="322"/>
      <c r="N97" s="322"/>
      <c r="O97" s="322"/>
      <c r="P97" s="323"/>
      <c r="Q97" s="322"/>
      <c r="R97" s="323"/>
      <c r="S97" s="323"/>
      <c r="T97" s="323"/>
      <c r="U97" s="323"/>
      <c r="V97" s="322"/>
      <c r="W97" s="323"/>
      <c r="X97" s="323"/>
      <c r="Y97" s="323"/>
      <c r="Z97" s="323"/>
      <c r="AA97" s="322"/>
      <c r="AB97" s="322"/>
      <c r="AC97" s="323"/>
      <c r="AD97" s="323"/>
      <c r="AE97" s="323"/>
      <c r="AF97" s="323"/>
      <c r="AG97" s="322"/>
      <c r="AH97" s="323"/>
      <c r="AI97" s="323"/>
      <c r="AJ97" s="323"/>
      <c r="AK97" s="323"/>
      <c r="AL97" s="322"/>
      <c r="AM97" s="323"/>
      <c r="AN97" s="323"/>
      <c r="AO97" s="323"/>
      <c r="AP97" s="323"/>
      <c r="AQ97" s="322"/>
      <c r="AR97" s="323"/>
      <c r="AS97" s="323"/>
      <c r="AT97" s="323"/>
      <c r="AU97" s="323"/>
      <c r="AV97" s="322"/>
      <c r="AW97" s="323"/>
      <c r="AX97" s="323"/>
      <c r="AY97" s="323"/>
      <c r="AZ97" s="323"/>
      <c r="BA97" s="322"/>
      <c r="BB97" s="323"/>
      <c r="BC97" s="323"/>
      <c r="BD97" s="323"/>
      <c r="BE97" s="323"/>
      <c r="BF97" s="322"/>
      <c r="BG97" s="323"/>
      <c r="BH97" s="323"/>
      <c r="BI97" s="324"/>
      <c r="BJ97" s="323"/>
      <c r="BK97" s="322"/>
      <c r="BL97" s="323"/>
      <c r="BM97" s="323"/>
      <c r="BN97" s="323"/>
      <c r="BO97" s="323"/>
      <c r="BP97" s="328">
        <f>BP94/BP91</f>
        <v>0.24346576058546784</v>
      </c>
      <c r="BQ97" s="323"/>
      <c r="BR97" s="323"/>
      <c r="BS97" s="323"/>
      <c r="BT97" s="323"/>
      <c r="BU97" s="328">
        <f>BU94/BU91</f>
        <v>0.27598546267822199</v>
      </c>
      <c r="BV97" s="323"/>
      <c r="BW97" s="323"/>
      <c r="BX97" s="323"/>
      <c r="BY97" s="323"/>
      <c r="BZ97" s="328">
        <f>BZ94/BZ91</f>
        <v>0.29163785234156731</v>
      </c>
      <c r="CA97" s="335"/>
      <c r="CB97" s="323"/>
      <c r="CC97" s="323"/>
      <c r="CD97" s="323"/>
      <c r="CE97" s="328">
        <f>CE94/CE91</f>
        <v>0.31724275425523962</v>
      </c>
      <c r="CF97" s="335"/>
      <c r="CG97" s="323"/>
      <c r="CH97" s="323"/>
      <c r="CI97" s="323"/>
      <c r="CJ97" s="328">
        <f>CJ94/CJ91</f>
        <v>0.31910613976991192</v>
      </c>
      <c r="CK97" s="323"/>
      <c r="CL97" s="323"/>
      <c r="CM97" s="323"/>
      <c r="CN97" s="323"/>
      <c r="CO97" s="328"/>
      <c r="CP97" s="323"/>
      <c r="CQ97" s="323"/>
      <c r="CR97" s="323"/>
      <c r="CS97" s="323"/>
      <c r="CT97" s="328"/>
      <c r="CU97" s="323"/>
      <c r="CV97" s="323"/>
      <c r="CW97" s="323"/>
      <c r="CX97" s="323"/>
      <c r="CY97" s="322"/>
      <c r="CZ97" s="323"/>
      <c r="DA97" s="323"/>
      <c r="DB97" s="323"/>
      <c r="DC97" s="323"/>
      <c r="DD97" s="322"/>
      <c r="DE97" s="323"/>
      <c r="DF97" s="323"/>
      <c r="DG97" s="323"/>
      <c r="DH97" s="323"/>
      <c r="DI97" s="322"/>
    </row>
    <row r="98" spans="1:113" ht="12" hidden="1" customHeight="1" outlineLevel="2">
      <c r="A98" s="219"/>
      <c r="B98" s="17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6"/>
      <c r="Q98" s="79"/>
      <c r="R98" s="6"/>
      <c r="S98" s="6"/>
      <c r="T98" s="6"/>
      <c r="U98" s="6"/>
      <c r="V98" s="79"/>
      <c r="W98" s="6"/>
      <c r="X98" s="6"/>
      <c r="Y98" s="6"/>
      <c r="Z98" s="6"/>
      <c r="AA98" s="79"/>
      <c r="AB98" s="79"/>
      <c r="AC98" s="6"/>
      <c r="AD98" s="6"/>
      <c r="AE98" s="6"/>
      <c r="AF98" s="6"/>
      <c r="AG98" s="79"/>
      <c r="AH98" s="6"/>
      <c r="AI98" s="6"/>
      <c r="AJ98" s="6"/>
      <c r="AK98" s="6"/>
      <c r="AL98" s="79"/>
      <c r="AM98" s="6"/>
      <c r="AN98" s="6"/>
      <c r="AO98" s="6"/>
      <c r="AP98" s="6"/>
      <c r="AQ98" s="79"/>
      <c r="AR98" s="6"/>
      <c r="AS98" s="6"/>
      <c r="AT98" s="6"/>
      <c r="AU98" s="6"/>
      <c r="AV98" s="79"/>
      <c r="AW98" s="6"/>
      <c r="AX98" s="6"/>
      <c r="AY98" s="6"/>
      <c r="AZ98" s="6"/>
      <c r="BA98" s="79"/>
      <c r="BB98" s="6"/>
      <c r="BC98" s="6"/>
      <c r="BD98" s="6"/>
      <c r="BE98" s="6"/>
      <c r="BF98" s="79"/>
      <c r="BG98" s="6"/>
      <c r="BH98" s="6"/>
      <c r="BI98" s="82"/>
      <c r="BJ98" s="6"/>
      <c r="BK98" s="79"/>
      <c r="BL98" s="6"/>
      <c r="BM98" s="6"/>
      <c r="BN98" s="6"/>
      <c r="BO98" s="6"/>
      <c r="BP98" s="79"/>
      <c r="BQ98" s="6"/>
      <c r="BR98" s="6"/>
      <c r="BS98" s="6"/>
      <c r="BT98" s="6"/>
      <c r="BU98" s="79"/>
      <c r="BV98" s="6"/>
      <c r="BW98" s="6"/>
      <c r="BX98" s="6"/>
      <c r="BY98" s="6"/>
      <c r="BZ98" s="79"/>
      <c r="CA98" s="6"/>
      <c r="CB98" s="6"/>
      <c r="CC98" s="6"/>
      <c r="CD98" s="6"/>
      <c r="CE98" s="79"/>
      <c r="CF98" s="6"/>
      <c r="CG98" s="6"/>
      <c r="CH98" s="6"/>
      <c r="CI98" s="6"/>
      <c r="CJ98" s="79"/>
      <c r="CK98" s="6"/>
      <c r="CL98" s="6"/>
      <c r="CM98" s="6"/>
      <c r="CN98" s="6"/>
      <c r="CO98" s="79"/>
      <c r="CP98" s="6"/>
      <c r="CQ98" s="6"/>
      <c r="CR98" s="6"/>
      <c r="CS98" s="6"/>
      <c r="CT98" s="79"/>
      <c r="CU98" s="6"/>
      <c r="CV98" s="6"/>
      <c r="CW98" s="6"/>
      <c r="CX98" s="6"/>
      <c r="CY98" s="79"/>
      <c r="CZ98" s="6"/>
      <c r="DA98" s="6"/>
      <c r="DB98" s="6"/>
      <c r="DC98" s="6"/>
      <c r="DD98" s="79"/>
      <c r="DE98" s="6"/>
      <c r="DF98" s="6"/>
      <c r="DG98" s="6"/>
      <c r="DH98" s="6"/>
      <c r="DI98" s="79"/>
    </row>
    <row r="99" spans="1:113" ht="12" hidden="1" customHeight="1" outlineLevel="1">
      <c r="A99" s="219"/>
      <c r="B99" s="18" t="s">
        <v>420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6"/>
      <c r="Q99" s="79"/>
      <c r="R99" s="6"/>
      <c r="S99" s="6"/>
      <c r="T99" s="6"/>
      <c r="U99" s="6"/>
      <c r="V99" s="79"/>
      <c r="W99" s="6"/>
      <c r="X99" s="6"/>
      <c r="Y99" s="6"/>
      <c r="Z99" s="6"/>
      <c r="AA99" s="79"/>
      <c r="AB99" s="79"/>
      <c r="AC99" s="6"/>
      <c r="AD99" s="6"/>
      <c r="AE99" s="6"/>
      <c r="AF99" s="6"/>
      <c r="AG99" s="79"/>
      <c r="AH99" s="6"/>
      <c r="AI99" s="6"/>
      <c r="AJ99" s="6"/>
      <c r="AK99" s="6"/>
      <c r="AL99" s="79"/>
      <c r="AM99" s="6"/>
      <c r="AN99" s="6"/>
      <c r="AO99" s="6"/>
      <c r="AP99" s="6"/>
      <c r="AQ99" s="79"/>
      <c r="AR99" s="6"/>
      <c r="AS99" s="6"/>
      <c r="AT99" s="6"/>
      <c r="AU99" s="6"/>
      <c r="AV99" s="79"/>
      <c r="AW99" s="6"/>
      <c r="AX99" s="6"/>
      <c r="AY99" s="6"/>
      <c r="AZ99" s="6"/>
      <c r="BA99" s="79"/>
      <c r="BB99" s="6"/>
      <c r="BC99" s="6"/>
      <c r="BD99" s="6"/>
      <c r="BE99" s="6"/>
      <c r="BF99" s="79"/>
      <c r="BG99" s="6"/>
      <c r="BH99" s="6"/>
      <c r="BI99" s="82"/>
      <c r="BJ99" s="6"/>
      <c r="BK99" s="79"/>
      <c r="BL99" s="6"/>
      <c r="BM99" s="6"/>
      <c r="BN99" s="6"/>
      <c r="BO99" s="6"/>
      <c r="BP99" s="79"/>
      <c r="BQ99" s="6"/>
      <c r="BR99" s="6"/>
      <c r="BS99" s="6"/>
      <c r="BT99" s="6"/>
      <c r="BU99" s="79"/>
      <c r="BV99" s="6"/>
      <c r="BW99" s="6"/>
      <c r="BX99" s="6"/>
      <c r="BY99" s="6"/>
      <c r="BZ99" s="79"/>
      <c r="CA99" s="6"/>
      <c r="CB99" s="6"/>
      <c r="CC99" s="6"/>
      <c r="CD99" s="6"/>
      <c r="CE99" s="79"/>
      <c r="CF99" s="6"/>
      <c r="CG99" s="6"/>
      <c r="CH99" s="6"/>
      <c r="CI99" s="6"/>
      <c r="CJ99" s="79"/>
      <c r="CK99" s="6"/>
      <c r="CL99" s="6"/>
      <c r="CM99" s="6"/>
      <c r="CN99" s="6"/>
      <c r="CO99" s="79"/>
      <c r="CP99" s="6"/>
      <c r="CQ99" s="6"/>
      <c r="CR99" s="6"/>
      <c r="CS99" s="6"/>
      <c r="CT99" s="79"/>
      <c r="CU99" s="6"/>
      <c r="CV99" s="6"/>
      <c r="CW99" s="6"/>
      <c r="CX99" s="6"/>
      <c r="CY99" s="79"/>
      <c r="CZ99" s="6"/>
      <c r="DA99" s="6"/>
      <c r="DB99" s="6"/>
      <c r="DC99" s="6"/>
      <c r="DD99" s="79"/>
      <c r="DE99" s="6"/>
      <c r="DF99" s="6"/>
      <c r="DG99" s="6"/>
      <c r="DH99" s="6"/>
      <c r="DI99" s="79"/>
    </row>
    <row r="100" spans="1:113" ht="12" hidden="1" customHeight="1" outlineLevel="1">
      <c r="A100" s="219"/>
      <c r="B100" s="17" t="s">
        <v>107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6"/>
      <c r="Q100" s="79"/>
      <c r="R100" s="6"/>
      <c r="S100" s="6"/>
      <c r="T100" s="6"/>
      <c r="U100" s="6"/>
      <c r="V100" s="79"/>
      <c r="W100" s="6"/>
      <c r="X100" s="6"/>
      <c r="Y100" s="6"/>
      <c r="Z100" s="6"/>
      <c r="AA100" s="79"/>
      <c r="AB100" s="79"/>
      <c r="AC100" s="6"/>
      <c r="AD100" s="6"/>
      <c r="AE100" s="6"/>
      <c r="AF100" s="6"/>
      <c r="AG100" s="79"/>
      <c r="AH100" s="6"/>
      <c r="AI100" s="6"/>
      <c r="AJ100" s="6"/>
      <c r="AK100" s="6"/>
      <c r="AL100" s="79"/>
      <c r="AM100" s="6"/>
      <c r="AN100" s="6"/>
      <c r="AO100" s="6"/>
      <c r="AP100" s="6"/>
      <c r="AQ100" s="79"/>
      <c r="AR100" s="6"/>
      <c r="AS100" s="6"/>
      <c r="AT100" s="6"/>
      <c r="AU100" s="6"/>
      <c r="AV100" s="79"/>
      <c r="AW100" s="6"/>
      <c r="AX100" s="6"/>
      <c r="AY100" s="6"/>
      <c r="AZ100" s="6"/>
      <c r="BA100" s="79"/>
      <c r="BB100" s="6"/>
      <c r="BC100" s="6"/>
      <c r="BD100" s="6"/>
      <c r="BE100" s="6"/>
      <c r="BF100" s="79"/>
      <c r="BG100" s="6"/>
      <c r="BH100" s="6"/>
      <c r="BI100" s="82"/>
      <c r="BJ100" s="6"/>
      <c r="BK100" s="79"/>
      <c r="BL100" s="6"/>
      <c r="BM100" s="6"/>
      <c r="BN100" s="6"/>
      <c r="BO100" s="6"/>
      <c r="BP100" s="36"/>
      <c r="BQ100" s="6"/>
      <c r="BR100" s="6"/>
      <c r="BS100" s="6"/>
      <c r="BT100" s="6"/>
      <c r="BU100" s="36"/>
      <c r="BV100" s="6"/>
      <c r="BW100" s="6"/>
      <c r="BX100" s="6"/>
      <c r="BY100" s="6"/>
      <c r="BZ100" s="36"/>
      <c r="CA100" s="6"/>
      <c r="CB100" s="6"/>
      <c r="CC100" s="6"/>
      <c r="CD100" s="6"/>
      <c r="CE100" s="36">
        <v>24445</v>
      </c>
      <c r="CF100" s="6"/>
      <c r="CG100" s="6"/>
      <c r="CH100" s="6"/>
      <c r="CI100" s="6"/>
      <c r="CJ100" s="36">
        <v>24785</v>
      </c>
      <c r="CK100" s="6"/>
      <c r="CL100" s="6"/>
      <c r="CM100" s="6"/>
      <c r="CN100" s="6"/>
      <c r="CO100" s="36">
        <v>23216</v>
      </c>
      <c r="CP100" s="6"/>
      <c r="CQ100" s="6"/>
      <c r="CR100" s="6"/>
      <c r="CS100" s="6"/>
      <c r="CT100" s="36"/>
      <c r="CU100" s="6"/>
      <c r="CV100" s="6"/>
      <c r="CW100" s="6"/>
      <c r="CX100" s="6"/>
      <c r="CY100" s="79"/>
      <c r="CZ100" s="6"/>
      <c r="DA100" s="6"/>
      <c r="DB100" s="6"/>
      <c r="DC100" s="6"/>
      <c r="DD100" s="79"/>
      <c r="DE100" s="6"/>
      <c r="DF100" s="6"/>
      <c r="DG100" s="6"/>
      <c r="DH100" s="6"/>
      <c r="DI100" s="79"/>
    </row>
    <row r="101" spans="1:113" ht="12" hidden="1" customHeight="1" outlineLevel="1">
      <c r="A101" s="219"/>
      <c r="B101" s="547" t="s">
        <v>171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6"/>
      <c r="Q101" s="79"/>
      <c r="R101" s="6"/>
      <c r="S101" s="6"/>
      <c r="T101" s="6"/>
      <c r="U101" s="6"/>
      <c r="V101" s="79"/>
      <c r="W101" s="6"/>
      <c r="X101" s="6"/>
      <c r="Y101" s="6"/>
      <c r="Z101" s="6"/>
      <c r="AA101" s="79"/>
      <c r="AB101" s="79"/>
      <c r="AC101" s="6"/>
      <c r="AD101" s="6"/>
      <c r="AE101" s="6"/>
      <c r="AF101" s="6"/>
      <c r="AG101" s="79"/>
      <c r="AH101" s="6"/>
      <c r="AI101" s="6"/>
      <c r="AJ101" s="6"/>
      <c r="AK101" s="6"/>
      <c r="AL101" s="79"/>
      <c r="AM101" s="6"/>
      <c r="AN101" s="6"/>
      <c r="AO101" s="6"/>
      <c r="AP101" s="6"/>
      <c r="AQ101" s="79"/>
      <c r="AR101" s="6"/>
      <c r="AS101" s="6"/>
      <c r="AT101" s="6"/>
      <c r="AU101" s="6"/>
      <c r="AV101" s="79"/>
      <c r="AW101" s="6"/>
      <c r="AX101" s="6"/>
      <c r="AY101" s="6"/>
      <c r="AZ101" s="6"/>
      <c r="BA101" s="79"/>
      <c r="BB101" s="6"/>
      <c r="BC101" s="6"/>
      <c r="BD101" s="6"/>
      <c r="BE101" s="6"/>
      <c r="BF101" s="79"/>
      <c r="BG101" s="6"/>
      <c r="BH101" s="6"/>
      <c r="BI101" s="82"/>
      <c r="BJ101" s="6"/>
      <c r="BK101" s="79"/>
      <c r="BL101" s="6"/>
      <c r="BM101" s="6"/>
      <c r="BN101" s="6"/>
      <c r="BO101" s="6"/>
      <c r="BP101" s="232"/>
      <c r="BQ101" s="6"/>
      <c r="BR101" s="6"/>
      <c r="BS101" s="6"/>
      <c r="BT101" s="6"/>
      <c r="BU101" s="112"/>
      <c r="BV101" s="6"/>
      <c r="BW101" s="6"/>
      <c r="BX101" s="6"/>
      <c r="BY101" s="6"/>
      <c r="BZ101" s="112"/>
      <c r="CA101" s="6"/>
      <c r="CB101" s="6"/>
      <c r="CC101" s="6"/>
      <c r="CD101" s="6"/>
      <c r="CE101" s="232" t="s">
        <v>126</v>
      </c>
      <c r="CF101" s="6"/>
      <c r="CG101" s="6"/>
      <c r="CH101" s="6"/>
      <c r="CI101" s="6"/>
      <c r="CJ101" s="112">
        <f t="shared" ref="CJ101" si="303">+CJ100/CE100-1</f>
        <v>1.3908774800572621E-2</v>
      </c>
      <c r="CK101" s="6"/>
      <c r="CL101" s="6"/>
      <c r="CM101" s="6"/>
      <c r="CN101" s="6"/>
      <c r="CO101" s="112">
        <f t="shared" ref="CO101" si="304">+CO100/CJ100-1</f>
        <v>-6.3304417994754947E-2</v>
      </c>
      <c r="CP101" s="6"/>
      <c r="CQ101" s="6"/>
      <c r="CR101" s="6"/>
      <c r="CS101" s="6"/>
      <c r="CT101" s="112"/>
      <c r="CU101" s="6"/>
      <c r="CV101" s="6"/>
      <c r="CW101" s="6"/>
      <c r="CX101" s="6"/>
      <c r="CY101" s="79"/>
      <c r="CZ101" s="6"/>
      <c r="DA101" s="6"/>
      <c r="DB101" s="6"/>
      <c r="DC101" s="6"/>
      <c r="DD101" s="79"/>
      <c r="DE101" s="6"/>
      <c r="DF101" s="6"/>
      <c r="DG101" s="6"/>
      <c r="DH101" s="6"/>
      <c r="DI101" s="79"/>
    </row>
    <row r="102" spans="1:113" ht="12" hidden="1" customHeight="1" outlineLevel="1">
      <c r="A102" s="219"/>
      <c r="B102" s="491" t="s">
        <v>173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6"/>
      <c r="Q102" s="79"/>
      <c r="R102" s="6"/>
      <c r="S102" s="6"/>
      <c r="T102" s="6"/>
      <c r="U102" s="6"/>
      <c r="V102" s="79"/>
      <c r="W102" s="6"/>
      <c r="X102" s="6"/>
      <c r="Y102" s="6"/>
      <c r="Z102" s="6"/>
      <c r="AA102" s="79"/>
      <c r="AB102" s="79"/>
      <c r="AC102" s="6"/>
      <c r="AD102" s="6"/>
      <c r="AE102" s="6"/>
      <c r="AF102" s="6"/>
      <c r="AG102" s="79"/>
      <c r="AH102" s="6"/>
      <c r="AI102" s="6"/>
      <c r="AJ102" s="6"/>
      <c r="AK102" s="6"/>
      <c r="AL102" s="79"/>
      <c r="AM102" s="6"/>
      <c r="AN102" s="6"/>
      <c r="AO102" s="6"/>
      <c r="AP102" s="6"/>
      <c r="AQ102" s="79"/>
      <c r="AR102" s="6"/>
      <c r="AS102" s="6"/>
      <c r="AT102" s="6"/>
      <c r="AU102" s="6"/>
      <c r="AV102" s="79"/>
      <c r="AW102" s="6"/>
      <c r="AX102" s="6"/>
      <c r="AY102" s="6"/>
      <c r="AZ102" s="6"/>
      <c r="BA102" s="79"/>
      <c r="BB102" s="6"/>
      <c r="BC102" s="6"/>
      <c r="BD102" s="6"/>
      <c r="BE102" s="6"/>
      <c r="BF102" s="79"/>
      <c r="BG102" s="6"/>
      <c r="BH102" s="6"/>
      <c r="BI102" s="82"/>
      <c r="BJ102" s="6"/>
      <c r="BK102" s="79"/>
      <c r="BL102" s="6"/>
      <c r="BM102" s="6"/>
      <c r="BN102" s="6"/>
      <c r="BO102" s="6"/>
      <c r="BP102" s="232"/>
      <c r="BQ102" s="6"/>
      <c r="BR102" s="6"/>
      <c r="BS102" s="6"/>
      <c r="BT102" s="6"/>
      <c r="BU102" s="492"/>
      <c r="BV102" s="6"/>
      <c r="BW102" s="6"/>
      <c r="BX102" s="6"/>
      <c r="BY102" s="6"/>
      <c r="BZ102" s="492"/>
      <c r="CA102" s="6"/>
      <c r="CB102" s="6"/>
      <c r="CC102" s="6"/>
      <c r="CD102" s="6"/>
      <c r="CE102" s="232" t="s">
        <v>126</v>
      </c>
      <c r="CF102" s="6"/>
      <c r="CG102" s="6"/>
      <c r="CH102" s="6"/>
      <c r="CI102" s="6"/>
      <c r="CJ102" s="492">
        <v>0.02</v>
      </c>
      <c r="CK102" s="6"/>
      <c r="CL102" s="6"/>
      <c r="CM102" s="6"/>
      <c r="CN102" s="6"/>
      <c r="CO102" s="492">
        <v>-0.06</v>
      </c>
      <c r="CP102" s="6"/>
      <c r="CQ102" s="6"/>
      <c r="CR102" s="6"/>
      <c r="CS102" s="6"/>
      <c r="CT102" s="492"/>
      <c r="CU102" s="6"/>
      <c r="CV102" s="6"/>
      <c r="CW102" s="6"/>
      <c r="CX102" s="6"/>
      <c r="CY102" s="79"/>
      <c r="CZ102" s="6"/>
      <c r="DA102" s="6"/>
      <c r="DB102" s="6"/>
      <c r="DC102" s="6"/>
      <c r="DD102" s="79"/>
      <c r="DE102" s="6"/>
      <c r="DF102" s="6"/>
      <c r="DG102" s="6"/>
      <c r="DH102" s="6"/>
      <c r="DI102" s="79"/>
    </row>
    <row r="103" spans="1:113" s="3" customFormat="1" ht="12" hidden="1" customHeight="1" outlineLevel="1">
      <c r="A103" s="490"/>
      <c r="B103" s="491" t="s">
        <v>141</v>
      </c>
      <c r="C103" s="550"/>
      <c r="D103" s="550"/>
      <c r="E103" s="550"/>
      <c r="F103" s="550"/>
      <c r="G103" s="550"/>
      <c r="H103" s="550"/>
      <c r="I103" s="550"/>
      <c r="J103" s="550"/>
      <c r="K103" s="550"/>
      <c r="L103" s="550"/>
      <c r="M103" s="550"/>
      <c r="N103" s="550"/>
      <c r="O103" s="550"/>
      <c r="P103" s="549"/>
      <c r="Q103" s="550"/>
      <c r="R103" s="549"/>
      <c r="S103" s="549"/>
      <c r="T103" s="549"/>
      <c r="U103" s="549"/>
      <c r="V103" s="550"/>
      <c r="W103" s="549"/>
      <c r="X103" s="549"/>
      <c r="Y103" s="549"/>
      <c r="Z103" s="549"/>
      <c r="AA103" s="550"/>
      <c r="AB103" s="550"/>
      <c r="AC103" s="549"/>
      <c r="AD103" s="549"/>
      <c r="AE103" s="549"/>
      <c r="AF103" s="549"/>
      <c r="AG103" s="550"/>
      <c r="AH103" s="549"/>
      <c r="AI103" s="549"/>
      <c r="AJ103" s="549"/>
      <c r="AK103" s="549"/>
      <c r="AL103" s="550"/>
      <c r="AM103" s="549"/>
      <c r="AN103" s="549"/>
      <c r="AO103" s="549"/>
      <c r="AP103" s="549"/>
      <c r="AQ103" s="550"/>
      <c r="AR103" s="549"/>
      <c r="AS103" s="549"/>
      <c r="AT103" s="549"/>
      <c r="AU103" s="549"/>
      <c r="AV103" s="550"/>
      <c r="AW103" s="549"/>
      <c r="AX103" s="549"/>
      <c r="AY103" s="549"/>
      <c r="AZ103" s="549"/>
      <c r="BA103" s="550"/>
      <c r="BB103" s="549"/>
      <c r="BC103" s="549"/>
      <c r="BD103" s="549"/>
      <c r="BE103" s="549"/>
      <c r="BF103" s="550"/>
      <c r="BG103" s="549"/>
      <c r="BH103" s="549"/>
      <c r="BI103" s="111"/>
      <c r="BJ103" s="549"/>
      <c r="BK103" s="550"/>
      <c r="BL103" s="549"/>
      <c r="BM103" s="549"/>
      <c r="BN103" s="549"/>
      <c r="BO103" s="549"/>
      <c r="BP103" s="232"/>
      <c r="BQ103" s="549"/>
      <c r="BR103" s="549"/>
      <c r="BS103" s="549"/>
      <c r="BT103" s="549"/>
      <c r="BU103" s="112"/>
      <c r="BV103" s="549"/>
      <c r="BW103" s="549"/>
      <c r="BX103" s="549"/>
      <c r="BY103" s="549"/>
      <c r="BZ103" s="112"/>
      <c r="CA103" s="549"/>
      <c r="CB103" s="549"/>
      <c r="CC103" s="549"/>
      <c r="CD103" s="549"/>
      <c r="CE103" s="232" t="s">
        <v>126</v>
      </c>
      <c r="CF103" s="549"/>
      <c r="CG103" s="549"/>
      <c r="CH103" s="549"/>
      <c r="CI103" s="549"/>
      <c r="CJ103" s="112">
        <f t="shared" ref="CJ103" si="305">(1+CJ101)/(1+CJ102)-1</f>
        <v>-5.9717894112033543E-3</v>
      </c>
      <c r="CK103" s="549"/>
      <c r="CL103" s="549"/>
      <c r="CM103" s="549"/>
      <c r="CN103" s="549"/>
      <c r="CO103" s="112">
        <f t="shared" ref="CO103" si="306">(1+CO101)/(1+CO102)-1</f>
        <v>-3.515338292292447E-3</v>
      </c>
      <c r="CP103" s="549"/>
      <c r="CQ103" s="549"/>
      <c r="CR103" s="549"/>
      <c r="CS103" s="549"/>
      <c r="CT103" s="112"/>
      <c r="CU103" s="549"/>
      <c r="CV103" s="549"/>
      <c r="CW103" s="549"/>
      <c r="CX103" s="549"/>
      <c r="CY103" s="550"/>
      <c r="CZ103" s="549"/>
      <c r="DA103" s="549"/>
      <c r="DB103" s="549"/>
      <c r="DC103" s="549"/>
      <c r="DD103" s="550"/>
      <c r="DE103" s="549"/>
      <c r="DF103" s="549"/>
      <c r="DG103" s="549"/>
      <c r="DH103" s="549"/>
      <c r="DI103" s="550"/>
    </row>
    <row r="104" spans="1:113" ht="12" hidden="1" customHeight="1" outlineLevel="1">
      <c r="A104" s="219"/>
      <c r="B104" s="491" t="s">
        <v>337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6"/>
      <c r="Q104" s="79"/>
      <c r="R104" s="6"/>
      <c r="S104" s="6"/>
      <c r="T104" s="6"/>
      <c r="U104" s="6"/>
      <c r="V104" s="79"/>
      <c r="W104" s="6"/>
      <c r="X104" s="6"/>
      <c r="Y104" s="6"/>
      <c r="Z104" s="6"/>
      <c r="AA104" s="79"/>
      <c r="AB104" s="79"/>
      <c r="AC104" s="6"/>
      <c r="AD104" s="6"/>
      <c r="AE104" s="6"/>
      <c r="AF104" s="6"/>
      <c r="AG104" s="79"/>
      <c r="AH104" s="6"/>
      <c r="AI104" s="6"/>
      <c r="AJ104" s="6"/>
      <c r="AK104" s="6"/>
      <c r="AL104" s="79"/>
      <c r="AM104" s="6"/>
      <c r="AN104" s="6"/>
      <c r="AO104" s="6"/>
      <c r="AP104" s="6"/>
      <c r="AQ104" s="79"/>
      <c r="AR104" s="6"/>
      <c r="AS104" s="6"/>
      <c r="AT104" s="6"/>
      <c r="AU104" s="6"/>
      <c r="AV104" s="79"/>
      <c r="AW104" s="6"/>
      <c r="AX104" s="6"/>
      <c r="AY104" s="6"/>
      <c r="AZ104" s="6"/>
      <c r="BA104" s="79"/>
      <c r="BB104" s="6"/>
      <c r="BC104" s="6"/>
      <c r="BD104" s="6"/>
      <c r="BE104" s="6"/>
      <c r="BF104" s="79"/>
      <c r="BG104" s="6"/>
      <c r="BH104" s="6"/>
      <c r="BI104" s="82"/>
      <c r="BJ104" s="6"/>
      <c r="BK104" s="79"/>
      <c r="BL104" s="6"/>
      <c r="BM104" s="6"/>
      <c r="BN104" s="6"/>
      <c r="BO104" s="6"/>
      <c r="BP104" s="112"/>
      <c r="BQ104" s="6"/>
      <c r="BR104" s="6"/>
      <c r="BS104" s="6"/>
      <c r="BT104" s="6"/>
      <c r="BU104" s="112"/>
      <c r="BV104" s="6"/>
      <c r="BW104" s="6"/>
      <c r="BX104" s="6"/>
      <c r="BY104" s="6"/>
      <c r="BZ104" s="112"/>
      <c r="CA104" s="6"/>
      <c r="CB104" s="6"/>
      <c r="CC104" s="6"/>
      <c r="CD104" s="6"/>
      <c r="CE104" s="112">
        <f>CE100/CE$128</f>
        <v>0.50130221684473886</v>
      </c>
      <c r="CF104" s="6"/>
      <c r="CG104" s="6"/>
      <c r="CH104" s="6"/>
      <c r="CI104" s="6"/>
      <c r="CJ104" s="112">
        <f>CJ100/CJ$128</f>
        <v>0.50251409107497669</v>
      </c>
      <c r="CK104" s="6"/>
      <c r="CL104" s="6"/>
      <c r="CM104" s="6"/>
      <c r="CN104" s="6"/>
      <c r="CO104" s="112">
        <f>CO100/CO$128</f>
        <v>0.51921098537370847</v>
      </c>
      <c r="CP104" s="6"/>
      <c r="CQ104" s="6"/>
      <c r="CR104" s="6"/>
      <c r="CS104" s="6"/>
      <c r="CT104" s="112"/>
      <c r="CU104" s="6"/>
      <c r="CV104" s="6"/>
      <c r="CW104" s="6"/>
      <c r="CX104" s="6"/>
      <c r="CY104" s="79"/>
      <c r="CZ104" s="6"/>
      <c r="DA104" s="6"/>
      <c r="DB104" s="6"/>
      <c r="DC104" s="6"/>
      <c r="DD104" s="79"/>
      <c r="DE104" s="6"/>
      <c r="DF104" s="6"/>
      <c r="DG104" s="6"/>
      <c r="DH104" s="6"/>
      <c r="DI104" s="79"/>
    </row>
    <row r="105" spans="1:113" ht="12" hidden="1" customHeight="1" outlineLevel="1">
      <c r="A105" s="219"/>
      <c r="B105" s="17" t="s">
        <v>108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6"/>
      <c r="Q105" s="79"/>
      <c r="R105" s="6"/>
      <c r="S105" s="6"/>
      <c r="T105" s="6"/>
      <c r="U105" s="6"/>
      <c r="V105" s="79"/>
      <c r="W105" s="6"/>
      <c r="X105" s="6"/>
      <c r="Y105" s="6"/>
      <c r="Z105" s="6"/>
      <c r="AA105" s="79"/>
      <c r="AB105" s="79"/>
      <c r="AC105" s="6"/>
      <c r="AD105" s="6"/>
      <c r="AE105" s="6"/>
      <c r="AF105" s="6"/>
      <c r="AG105" s="79"/>
      <c r="AH105" s="6"/>
      <c r="AI105" s="6"/>
      <c r="AJ105" s="6"/>
      <c r="AK105" s="6"/>
      <c r="AL105" s="79"/>
      <c r="AM105" s="6"/>
      <c r="AN105" s="6"/>
      <c r="AO105" s="6"/>
      <c r="AP105" s="6"/>
      <c r="AQ105" s="79"/>
      <c r="AR105" s="6"/>
      <c r="AS105" s="6"/>
      <c r="AT105" s="6"/>
      <c r="AU105" s="6"/>
      <c r="AV105" s="79"/>
      <c r="AW105" s="6"/>
      <c r="AX105" s="6"/>
      <c r="AY105" s="6"/>
      <c r="AZ105" s="6"/>
      <c r="BA105" s="79"/>
      <c r="BB105" s="6"/>
      <c r="BC105" s="6"/>
      <c r="BD105" s="6"/>
      <c r="BE105" s="6"/>
      <c r="BF105" s="79"/>
      <c r="BG105" s="6"/>
      <c r="BH105" s="6"/>
      <c r="BI105" s="82"/>
      <c r="BJ105" s="6"/>
      <c r="BK105" s="79"/>
      <c r="BL105" s="6"/>
      <c r="BM105" s="6"/>
      <c r="BN105" s="6"/>
      <c r="BO105" s="6"/>
      <c r="BP105" s="36"/>
      <c r="BQ105" s="6"/>
      <c r="BR105" s="6"/>
      <c r="BS105" s="6"/>
      <c r="BT105" s="6"/>
      <c r="BU105" s="36"/>
      <c r="BV105" s="6"/>
      <c r="BW105" s="6"/>
      <c r="BX105" s="6"/>
      <c r="BY105" s="6"/>
      <c r="BZ105" s="36"/>
      <c r="CA105" s="6"/>
      <c r="CB105" s="6"/>
      <c r="CC105" s="6"/>
      <c r="CD105" s="6"/>
      <c r="CE105" s="36">
        <v>10274</v>
      </c>
      <c r="CF105" s="6"/>
      <c r="CG105" s="6"/>
      <c r="CH105" s="6"/>
      <c r="CI105" s="6"/>
      <c r="CJ105" s="36">
        <v>10366</v>
      </c>
      <c r="CK105" s="6"/>
      <c r="CL105" s="6"/>
      <c r="CM105" s="6"/>
      <c r="CN105" s="6"/>
      <c r="CO105" s="36">
        <v>9719</v>
      </c>
      <c r="CP105" s="6"/>
      <c r="CQ105" s="6"/>
      <c r="CR105" s="6"/>
      <c r="CS105" s="6"/>
      <c r="CT105" s="36"/>
      <c r="CU105" s="6"/>
      <c r="CV105" s="6"/>
      <c r="CW105" s="6"/>
      <c r="CX105" s="6"/>
      <c r="CY105" s="79"/>
      <c r="CZ105" s="6"/>
      <c r="DA105" s="6"/>
      <c r="DB105" s="6"/>
      <c r="DC105" s="6"/>
      <c r="DD105" s="79"/>
      <c r="DE105" s="6"/>
      <c r="DF105" s="6"/>
      <c r="DG105" s="6"/>
      <c r="DH105" s="6"/>
      <c r="DI105" s="79"/>
    </row>
    <row r="106" spans="1:113" ht="12" hidden="1" customHeight="1" outlineLevel="1">
      <c r="A106" s="219"/>
      <c r="B106" s="547" t="s">
        <v>171</v>
      </c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6"/>
      <c r="Q106" s="79"/>
      <c r="R106" s="6"/>
      <c r="S106" s="6"/>
      <c r="T106" s="6"/>
      <c r="U106" s="6"/>
      <c r="V106" s="79"/>
      <c r="W106" s="6"/>
      <c r="X106" s="6"/>
      <c r="Y106" s="6"/>
      <c r="Z106" s="6"/>
      <c r="AA106" s="79"/>
      <c r="AB106" s="79"/>
      <c r="AC106" s="6"/>
      <c r="AD106" s="6"/>
      <c r="AE106" s="6"/>
      <c r="AF106" s="6"/>
      <c r="AG106" s="79"/>
      <c r="AH106" s="6"/>
      <c r="AI106" s="6"/>
      <c r="AJ106" s="6"/>
      <c r="AK106" s="6"/>
      <c r="AL106" s="79"/>
      <c r="AM106" s="6"/>
      <c r="AN106" s="6"/>
      <c r="AO106" s="6"/>
      <c r="AP106" s="6"/>
      <c r="AQ106" s="79"/>
      <c r="AR106" s="6"/>
      <c r="AS106" s="6"/>
      <c r="AT106" s="6"/>
      <c r="AU106" s="6"/>
      <c r="AV106" s="79"/>
      <c r="AW106" s="6"/>
      <c r="AX106" s="6"/>
      <c r="AY106" s="6"/>
      <c r="AZ106" s="6"/>
      <c r="BA106" s="79"/>
      <c r="BB106" s="6"/>
      <c r="BC106" s="6"/>
      <c r="BD106" s="6"/>
      <c r="BE106" s="6"/>
      <c r="BF106" s="79"/>
      <c r="BG106" s="6"/>
      <c r="BH106" s="6"/>
      <c r="BI106" s="82"/>
      <c r="BJ106" s="6"/>
      <c r="BK106" s="79"/>
      <c r="BL106" s="6"/>
      <c r="BM106" s="6"/>
      <c r="BN106" s="6"/>
      <c r="BO106" s="6"/>
      <c r="BP106" s="232"/>
      <c r="BQ106" s="6"/>
      <c r="BR106" s="6"/>
      <c r="BS106" s="6"/>
      <c r="BT106" s="6"/>
      <c r="BU106" s="112"/>
      <c r="BV106" s="6"/>
      <c r="BW106" s="6"/>
      <c r="BX106" s="6"/>
      <c r="BY106" s="6"/>
      <c r="BZ106" s="112"/>
      <c r="CA106" s="6"/>
      <c r="CB106" s="6"/>
      <c r="CC106" s="6"/>
      <c r="CD106" s="6"/>
      <c r="CE106" s="232" t="s">
        <v>126</v>
      </c>
      <c r="CF106" s="6"/>
      <c r="CG106" s="6"/>
      <c r="CH106" s="6"/>
      <c r="CI106" s="6"/>
      <c r="CJ106" s="112">
        <f t="shared" ref="CJ106" si="307">+CJ105/CE105-1</f>
        <v>8.9546427876192602E-3</v>
      </c>
      <c r="CK106" s="6"/>
      <c r="CL106" s="6"/>
      <c r="CM106" s="6"/>
      <c r="CN106" s="6"/>
      <c r="CO106" s="112">
        <f t="shared" ref="CO106" si="308">+CO105/CJ105-1</f>
        <v>-6.2415589426972784E-2</v>
      </c>
      <c r="CP106" s="6"/>
      <c r="CQ106" s="6"/>
      <c r="CR106" s="6"/>
      <c r="CS106" s="6"/>
      <c r="CT106" s="112"/>
      <c r="CU106" s="6"/>
      <c r="CV106" s="6"/>
      <c r="CW106" s="6"/>
      <c r="CX106" s="6"/>
      <c r="CY106" s="79"/>
      <c r="CZ106" s="6"/>
      <c r="DA106" s="6"/>
      <c r="DB106" s="6"/>
      <c r="DC106" s="6"/>
      <c r="DD106" s="79"/>
      <c r="DE106" s="6"/>
      <c r="DF106" s="6"/>
      <c r="DG106" s="6"/>
      <c r="DH106" s="6"/>
      <c r="DI106" s="79"/>
    </row>
    <row r="107" spans="1:113" ht="12" hidden="1" customHeight="1" outlineLevel="1">
      <c r="A107" s="219"/>
      <c r="B107" s="491" t="s">
        <v>173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6"/>
      <c r="Q107" s="79"/>
      <c r="R107" s="6"/>
      <c r="S107" s="6"/>
      <c r="T107" s="6"/>
      <c r="U107" s="6"/>
      <c r="V107" s="79"/>
      <c r="W107" s="6"/>
      <c r="X107" s="6"/>
      <c r="Y107" s="6"/>
      <c r="Z107" s="6"/>
      <c r="AA107" s="79"/>
      <c r="AB107" s="79"/>
      <c r="AC107" s="6"/>
      <c r="AD107" s="6"/>
      <c r="AE107" s="6"/>
      <c r="AF107" s="6"/>
      <c r="AG107" s="79"/>
      <c r="AH107" s="6"/>
      <c r="AI107" s="6"/>
      <c r="AJ107" s="6"/>
      <c r="AK107" s="6"/>
      <c r="AL107" s="79"/>
      <c r="AM107" s="6"/>
      <c r="AN107" s="6"/>
      <c r="AO107" s="6"/>
      <c r="AP107" s="6"/>
      <c r="AQ107" s="79"/>
      <c r="AR107" s="6"/>
      <c r="AS107" s="6"/>
      <c r="AT107" s="6"/>
      <c r="AU107" s="6"/>
      <c r="AV107" s="79"/>
      <c r="AW107" s="6"/>
      <c r="AX107" s="6"/>
      <c r="AY107" s="6"/>
      <c r="AZ107" s="6"/>
      <c r="BA107" s="79"/>
      <c r="BB107" s="6"/>
      <c r="BC107" s="6"/>
      <c r="BD107" s="6"/>
      <c r="BE107" s="6"/>
      <c r="BF107" s="79"/>
      <c r="BG107" s="6"/>
      <c r="BH107" s="6"/>
      <c r="BI107" s="82"/>
      <c r="BJ107" s="6"/>
      <c r="BK107" s="79"/>
      <c r="BL107" s="6"/>
      <c r="BM107" s="6"/>
      <c r="BN107" s="6"/>
      <c r="BO107" s="6"/>
      <c r="BP107" s="232"/>
      <c r="BQ107" s="6"/>
      <c r="BR107" s="6"/>
      <c r="BS107" s="6"/>
      <c r="BT107" s="6"/>
      <c r="BU107" s="492"/>
      <c r="BV107" s="6"/>
      <c r="BW107" s="6"/>
      <c r="BX107" s="6"/>
      <c r="BY107" s="6"/>
      <c r="BZ107" s="492"/>
      <c r="CA107" s="6"/>
      <c r="CB107" s="6"/>
      <c r="CC107" s="6"/>
      <c r="CD107" s="6"/>
      <c r="CE107" s="232" t="s">
        <v>126</v>
      </c>
      <c r="CF107" s="6"/>
      <c r="CG107" s="6"/>
      <c r="CH107" s="6"/>
      <c r="CI107" s="6"/>
      <c r="CJ107" s="492">
        <v>0.02</v>
      </c>
      <c r="CK107" s="6"/>
      <c r="CL107" s="6"/>
      <c r="CM107" s="6"/>
      <c r="CN107" s="6"/>
      <c r="CO107" s="492">
        <v>-0.05</v>
      </c>
      <c r="CP107" s="6"/>
      <c r="CQ107" s="6"/>
      <c r="CR107" s="6"/>
      <c r="CS107" s="6"/>
      <c r="CT107" s="492"/>
      <c r="CU107" s="6"/>
      <c r="CV107" s="6"/>
      <c r="CW107" s="6"/>
      <c r="CX107" s="6"/>
      <c r="CY107" s="79"/>
      <c r="CZ107" s="6"/>
      <c r="DA107" s="6"/>
      <c r="DB107" s="6"/>
      <c r="DC107" s="6"/>
      <c r="DD107" s="79"/>
      <c r="DE107" s="6"/>
      <c r="DF107" s="6"/>
      <c r="DG107" s="6"/>
      <c r="DH107" s="6"/>
      <c r="DI107" s="79"/>
    </row>
    <row r="108" spans="1:113" s="3" customFormat="1" ht="12" hidden="1" customHeight="1" outlineLevel="1">
      <c r="A108" s="490"/>
      <c r="B108" s="491" t="s">
        <v>141</v>
      </c>
      <c r="C108" s="550"/>
      <c r="D108" s="550"/>
      <c r="E108" s="550"/>
      <c r="F108" s="550"/>
      <c r="G108" s="550"/>
      <c r="H108" s="550"/>
      <c r="I108" s="550"/>
      <c r="J108" s="550"/>
      <c r="K108" s="550"/>
      <c r="L108" s="550"/>
      <c r="M108" s="550"/>
      <c r="N108" s="550"/>
      <c r="O108" s="550"/>
      <c r="P108" s="549"/>
      <c r="Q108" s="550"/>
      <c r="R108" s="549"/>
      <c r="S108" s="549"/>
      <c r="T108" s="549"/>
      <c r="U108" s="549"/>
      <c r="V108" s="550"/>
      <c r="W108" s="549"/>
      <c r="X108" s="549"/>
      <c r="Y108" s="549"/>
      <c r="Z108" s="549"/>
      <c r="AA108" s="550"/>
      <c r="AB108" s="550"/>
      <c r="AC108" s="549"/>
      <c r="AD108" s="549"/>
      <c r="AE108" s="549"/>
      <c r="AF108" s="549"/>
      <c r="AG108" s="550"/>
      <c r="AH108" s="549"/>
      <c r="AI108" s="549"/>
      <c r="AJ108" s="549"/>
      <c r="AK108" s="549"/>
      <c r="AL108" s="550"/>
      <c r="AM108" s="549"/>
      <c r="AN108" s="549"/>
      <c r="AO108" s="549"/>
      <c r="AP108" s="549"/>
      <c r="AQ108" s="550"/>
      <c r="AR108" s="549"/>
      <c r="AS108" s="549"/>
      <c r="AT108" s="549"/>
      <c r="AU108" s="549"/>
      <c r="AV108" s="550"/>
      <c r="AW108" s="549"/>
      <c r="AX108" s="549"/>
      <c r="AY108" s="549"/>
      <c r="AZ108" s="549"/>
      <c r="BA108" s="550"/>
      <c r="BB108" s="549"/>
      <c r="BC108" s="549"/>
      <c r="BD108" s="549"/>
      <c r="BE108" s="549"/>
      <c r="BF108" s="550"/>
      <c r="BG108" s="549"/>
      <c r="BH108" s="549"/>
      <c r="BI108" s="111"/>
      <c r="BJ108" s="549"/>
      <c r="BK108" s="550"/>
      <c r="BL108" s="549"/>
      <c r="BM108" s="549"/>
      <c r="BN108" s="549"/>
      <c r="BO108" s="549"/>
      <c r="BP108" s="232"/>
      <c r="BQ108" s="549"/>
      <c r="BR108" s="549"/>
      <c r="BS108" s="549"/>
      <c r="BT108" s="549"/>
      <c r="BU108" s="112"/>
      <c r="BV108" s="549"/>
      <c r="BW108" s="549"/>
      <c r="BX108" s="549"/>
      <c r="BY108" s="549"/>
      <c r="BZ108" s="112"/>
      <c r="CA108" s="549"/>
      <c r="CB108" s="549"/>
      <c r="CC108" s="549"/>
      <c r="CD108" s="549"/>
      <c r="CE108" s="232" t="s">
        <v>126</v>
      </c>
      <c r="CF108" s="549"/>
      <c r="CG108" s="549"/>
      <c r="CH108" s="549"/>
      <c r="CI108" s="549"/>
      <c r="CJ108" s="112">
        <f t="shared" ref="CJ108" si="309">(1+CJ106)/(1+CJ107)-1</f>
        <v>-1.0828781580765501E-2</v>
      </c>
      <c r="CK108" s="549"/>
      <c r="CL108" s="549"/>
      <c r="CM108" s="549"/>
      <c r="CN108" s="549"/>
      <c r="CO108" s="112">
        <f t="shared" ref="CO108" si="310">(1+CO106)/(1+CO107)-1</f>
        <v>-1.306904150207655E-2</v>
      </c>
      <c r="CP108" s="549"/>
      <c r="CQ108" s="549"/>
      <c r="CR108" s="549"/>
      <c r="CS108" s="549"/>
      <c r="CT108" s="112"/>
      <c r="CU108" s="549"/>
      <c r="CV108" s="549"/>
      <c r="CW108" s="549"/>
      <c r="CX108" s="549"/>
      <c r="CY108" s="550"/>
      <c r="CZ108" s="549"/>
      <c r="DA108" s="549"/>
      <c r="DB108" s="549"/>
      <c r="DC108" s="549"/>
      <c r="DD108" s="550"/>
      <c r="DE108" s="549"/>
      <c r="DF108" s="549"/>
      <c r="DG108" s="549"/>
      <c r="DH108" s="549"/>
      <c r="DI108" s="550"/>
    </row>
    <row r="109" spans="1:113" ht="12" hidden="1" customHeight="1" outlineLevel="1">
      <c r="A109" s="219"/>
      <c r="B109" s="491" t="s">
        <v>338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6"/>
      <c r="Q109" s="79"/>
      <c r="R109" s="6"/>
      <c r="S109" s="6"/>
      <c r="T109" s="6"/>
      <c r="U109" s="6"/>
      <c r="V109" s="79"/>
      <c r="W109" s="6"/>
      <c r="X109" s="6"/>
      <c r="Y109" s="6"/>
      <c r="Z109" s="6"/>
      <c r="AA109" s="79"/>
      <c r="AB109" s="79"/>
      <c r="AC109" s="6"/>
      <c r="AD109" s="6"/>
      <c r="AE109" s="6"/>
      <c r="AF109" s="6"/>
      <c r="AG109" s="79"/>
      <c r="AH109" s="6"/>
      <c r="AI109" s="6"/>
      <c r="AJ109" s="6"/>
      <c r="AK109" s="6"/>
      <c r="AL109" s="79"/>
      <c r="AM109" s="6"/>
      <c r="AN109" s="6"/>
      <c r="AO109" s="6"/>
      <c r="AP109" s="6"/>
      <c r="AQ109" s="79"/>
      <c r="AR109" s="6"/>
      <c r="AS109" s="6"/>
      <c r="AT109" s="6"/>
      <c r="AU109" s="6"/>
      <c r="AV109" s="79"/>
      <c r="AW109" s="6"/>
      <c r="AX109" s="6"/>
      <c r="AY109" s="6"/>
      <c r="AZ109" s="6"/>
      <c r="BA109" s="79"/>
      <c r="BB109" s="6"/>
      <c r="BC109" s="6"/>
      <c r="BD109" s="6"/>
      <c r="BE109" s="6"/>
      <c r="BF109" s="79"/>
      <c r="BG109" s="6"/>
      <c r="BH109" s="6"/>
      <c r="BI109" s="82"/>
      <c r="BJ109" s="6"/>
      <c r="BK109" s="79"/>
      <c r="BL109" s="6"/>
      <c r="BM109" s="6"/>
      <c r="BN109" s="6"/>
      <c r="BO109" s="6"/>
      <c r="BP109" s="112"/>
      <c r="BQ109" s="6"/>
      <c r="BR109" s="6"/>
      <c r="BS109" s="6"/>
      <c r="BT109" s="6"/>
      <c r="BU109" s="112"/>
      <c r="BV109" s="6"/>
      <c r="BW109" s="6"/>
      <c r="BX109" s="6"/>
      <c r="BY109" s="6"/>
      <c r="BZ109" s="112"/>
      <c r="CA109" s="6"/>
      <c r="CB109" s="6"/>
      <c r="CC109" s="6"/>
      <c r="CD109" s="6"/>
      <c r="CE109" s="112">
        <f>CE105/CE$128</f>
        <v>0.21069253327317844</v>
      </c>
      <c r="CF109" s="6"/>
      <c r="CG109" s="6"/>
      <c r="CH109" s="6"/>
      <c r="CI109" s="6"/>
      <c r="CJ109" s="112">
        <f>CJ105/CJ$128</f>
        <v>0.21016990389684118</v>
      </c>
      <c r="CK109" s="6"/>
      <c r="CL109" s="6"/>
      <c r="CM109" s="6"/>
      <c r="CN109" s="6"/>
      <c r="CO109" s="112">
        <f>CO105/CO$128</f>
        <v>0.21735921635282016</v>
      </c>
      <c r="CP109" s="6"/>
      <c r="CQ109" s="6"/>
      <c r="CR109" s="6"/>
      <c r="CS109" s="6"/>
      <c r="CT109" s="112"/>
      <c r="CU109" s="6"/>
      <c r="CV109" s="6"/>
      <c r="CW109" s="6"/>
      <c r="CX109" s="6"/>
      <c r="CY109" s="79"/>
      <c r="CZ109" s="6"/>
      <c r="DA109" s="6"/>
      <c r="DB109" s="6"/>
      <c r="DC109" s="6"/>
      <c r="DD109" s="79"/>
      <c r="DE109" s="6"/>
      <c r="DF109" s="6"/>
      <c r="DG109" s="6"/>
      <c r="DH109" s="6"/>
      <c r="DI109" s="79"/>
    </row>
    <row r="110" spans="1:113" ht="12" hidden="1" customHeight="1" outlineLevel="1">
      <c r="A110" s="219"/>
      <c r="B110" s="17" t="s">
        <v>336</v>
      </c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6"/>
      <c r="Q110" s="79"/>
      <c r="R110" s="6"/>
      <c r="S110" s="6"/>
      <c r="T110" s="6"/>
      <c r="U110" s="6"/>
      <c r="V110" s="79"/>
      <c r="W110" s="6"/>
      <c r="X110" s="6"/>
      <c r="Y110" s="6"/>
      <c r="Z110" s="6"/>
      <c r="AA110" s="79"/>
      <c r="AB110" s="79"/>
      <c r="AC110" s="6"/>
      <c r="AD110" s="6"/>
      <c r="AE110" s="6"/>
      <c r="AF110" s="6"/>
      <c r="AG110" s="79"/>
      <c r="AH110" s="6"/>
      <c r="AI110" s="6"/>
      <c r="AJ110" s="6"/>
      <c r="AK110" s="6"/>
      <c r="AL110" s="79"/>
      <c r="AM110" s="6"/>
      <c r="AN110" s="6"/>
      <c r="AO110" s="6"/>
      <c r="AP110" s="6"/>
      <c r="AQ110" s="79"/>
      <c r="AR110" s="6"/>
      <c r="AS110" s="6"/>
      <c r="AT110" s="6"/>
      <c r="AU110" s="6"/>
      <c r="AV110" s="79"/>
      <c r="AW110" s="6"/>
      <c r="AX110" s="6"/>
      <c r="AY110" s="6"/>
      <c r="AZ110" s="6"/>
      <c r="BA110" s="79"/>
      <c r="BB110" s="6"/>
      <c r="BC110" s="6"/>
      <c r="BD110" s="6"/>
      <c r="BE110" s="6"/>
      <c r="BF110" s="79"/>
      <c r="BG110" s="6"/>
      <c r="BH110" s="6"/>
      <c r="BI110" s="82"/>
      <c r="BJ110" s="6"/>
      <c r="BK110" s="79"/>
      <c r="BL110" s="6"/>
      <c r="BM110" s="6"/>
      <c r="BN110" s="6"/>
      <c r="BO110" s="6"/>
      <c r="BP110" s="36"/>
      <c r="BQ110" s="6"/>
      <c r="BR110" s="6"/>
      <c r="BS110" s="6"/>
      <c r="BT110" s="6"/>
      <c r="BU110" s="36"/>
      <c r="BV110" s="6"/>
      <c r="BW110" s="6"/>
      <c r="BX110" s="6"/>
      <c r="BY110" s="6"/>
      <c r="BZ110" s="36"/>
      <c r="CA110" s="6"/>
      <c r="CB110" s="6"/>
      <c r="CC110" s="6"/>
      <c r="CD110" s="6"/>
      <c r="CE110" s="36">
        <v>5889</v>
      </c>
      <c r="CF110" s="6"/>
      <c r="CG110" s="6"/>
      <c r="CH110" s="6"/>
      <c r="CI110" s="6"/>
      <c r="CJ110" s="36">
        <v>6019</v>
      </c>
      <c r="CK110" s="6"/>
      <c r="CL110" s="6"/>
      <c r="CM110" s="6"/>
      <c r="CN110" s="6"/>
      <c r="CO110" s="36">
        <v>5695</v>
      </c>
      <c r="CP110" s="6"/>
      <c r="CQ110" s="6"/>
      <c r="CR110" s="6"/>
      <c r="CS110" s="6"/>
      <c r="CT110" s="36"/>
      <c r="CU110" s="6"/>
      <c r="CV110" s="6"/>
      <c r="CW110" s="6"/>
      <c r="CX110" s="6"/>
      <c r="CY110" s="79"/>
      <c r="CZ110" s="6"/>
      <c r="DA110" s="6"/>
      <c r="DB110" s="6"/>
      <c r="DC110" s="6"/>
      <c r="DD110" s="79"/>
      <c r="DE110" s="6"/>
      <c r="DF110" s="6"/>
      <c r="DG110" s="6"/>
      <c r="DH110" s="6"/>
      <c r="DI110" s="79"/>
    </row>
    <row r="111" spans="1:113" ht="12" hidden="1" customHeight="1" outlineLevel="1">
      <c r="A111" s="219"/>
      <c r="B111" s="547" t="s">
        <v>171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6"/>
      <c r="Q111" s="79"/>
      <c r="R111" s="6"/>
      <c r="S111" s="6"/>
      <c r="T111" s="6"/>
      <c r="U111" s="6"/>
      <c r="V111" s="79"/>
      <c r="W111" s="6"/>
      <c r="X111" s="6"/>
      <c r="Y111" s="6"/>
      <c r="Z111" s="6"/>
      <c r="AA111" s="79"/>
      <c r="AB111" s="79"/>
      <c r="AC111" s="6"/>
      <c r="AD111" s="6"/>
      <c r="AE111" s="6"/>
      <c r="AF111" s="6"/>
      <c r="AG111" s="79"/>
      <c r="AH111" s="6"/>
      <c r="AI111" s="6"/>
      <c r="AJ111" s="6"/>
      <c r="AK111" s="6"/>
      <c r="AL111" s="79"/>
      <c r="AM111" s="6"/>
      <c r="AN111" s="6"/>
      <c r="AO111" s="6"/>
      <c r="AP111" s="6"/>
      <c r="AQ111" s="79"/>
      <c r="AR111" s="6"/>
      <c r="AS111" s="6"/>
      <c r="AT111" s="6"/>
      <c r="AU111" s="6"/>
      <c r="AV111" s="79"/>
      <c r="AW111" s="6"/>
      <c r="AX111" s="6"/>
      <c r="AY111" s="6"/>
      <c r="AZ111" s="6"/>
      <c r="BA111" s="79"/>
      <c r="BB111" s="6"/>
      <c r="BC111" s="6"/>
      <c r="BD111" s="6"/>
      <c r="BE111" s="6"/>
      <c r="BF111" s="79"/>
      <c r="BG111" s="6"/>
      <c r="BH111" s="6"/>
      <c r="BI111" s="82"/>
      <c r="BJ111" s="6"/>
      <c r="BK111" s="79"/>
      <c r="BL111" s="6"/>
      <c r="BM111" s="6"/>
      <c r="BN111" s="6"/>
      <c r="BO111" s="6"/>
      <c r="BP111" s="232"/>
      <c r="BQ111" s="6"/>
      <c r="BR111" s="6"/>
      <c r="BS111" s="6"/>
      <c r="BT111" s="6"/>
      <c r="BU111" s="112"/>
      <c r="BV111" s="6"/>
      <c r="BW111" s="6"/>
      <c r="BX111" s="6"/>
      <c r="BY111" s="6"/>
      <c r="BZ111" s="112"/>
      <c r="CA111" s="6"/>
      <c r="CB111" s="6"/>
      <c r="CC111" s="6"/>
      <c r="CD111" s="6"/>
      <c r="CE111" s="232" t="s">
        <v>126</v>
      </c>
      <c r="CF111" s="6"/>
      <c r="CG111" s="6"/>
      <c r="CH111" s="6"/>
      <c r="CI111" s="6"/>
      <c r="CJ111" s="112">
        <f t="shared" ref="CJ111" si="311">+CJ110/CE110-1</f>
        <v>2.207505518763786E-2</v>
      </c>
      <c r="CK111" s="6"/>
      <c r="CL111" s="6"/>
      <c r="CM111" s="6"/>
      <c r="CN111" s="6"/>
      <c r="CO111" s="112">
        <f t="shared" ref="CO111" si="312">+CO110/CJ110-1</f>
        <v>-5.382953979066285E-2</v>
      </c>
      <c r="CP111" s="6"/>
      <c r="CQ111" s="6"/>
      <c r="CR111" s="6"/>
      <c r="CS111" s="6"/>
      <c r="CT111" s="112"/>
      <c r="CU111" s="6"/>
      <c r="CV111" s="6"/>
      <c r="CW111" s="6"/>
      <c r="CX111" s="6"/>
      <c r="CY111" s="79"/>
      <c r="CZ111" s="6"/>
      <c r="DA111" s="6"/>
      <c r="DB111" s="6"/>
      <c r="DC111" s="6"/>
      <c r="DD111" s="79"/>
      <c r="DE111" s="6"/>
      <c r="DF111" s="6"/>
      <c r="DG111" s="6"/>
      <c r="DH111" s="6"/>
      <c r="DI111" s="79"/>
    </row>
    <row r="112" spans="1:113" ht="12" hidden="1" customHeight="1" outlineLevel="1">
      <c r="A112" s="219"/>
      <c r="B112" s="491" t="s">
        <v>173</v>
      </c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6"/>
      <c r="Q112" s="79"/>
      <c r="R112" s="6"/>
      <c r="S112" s="6"/>
      <c r="T112" s="6"/>
      <c r="U112" s="6"/>
      <c r="V112" s="79"/>
      <c r="W112" s="6"/>
      <c r="X112" s="6"/>
      <c r="Y112" s="6"/>
      <c r="Z112" s="6"/>
      <c r="AA112" s="79"/>
      <c r="AB112" s="79"/>
      <c r="AC112" s="6"/>
      <c r="AD112" s="6"/>
      <c r="AE112" s="6"/>
      <c r="AF112" s="6"/>
      <c r="AG112" s="79"/>
      <c r="AH112" s="6"/>
      <c r="AI112" s="6"/>
      <c r="AJ112" s="6"/>
      <c r="AK112" s="6"/>
      <c r="AL112" s="79"/>
      <c r="AM112" s="6"/>
      <c r="AN112" s="6"/>
      <c r="AO112" s="6"/>
      <c r="AP112" s="6"/>
      <c r="AQ112" s="79"/>
      <c r="AR112" s="6"/>
      <c r="AS112" s="6"/>
      <c r="AT112" s="6"/>
      <c r="AU112" s="6"/>
      <c r="AV112" s="79"/>
      <c r="AW112" s="6"/>
      <c r="AX112" s="6"/>
      <c r="AY112" s="6"/>
      <c r="AZ112" s="6"/>
      <c r="BA112" s="79"/>
      <c r="BB112" s="6"/>
      <c r="BC112" s="6"/>
      <c r="BD112" s="6"/>
      <c r="BE112" s="6"/>
      <c r="BF112" s="79"/>
      <c r="BG112" s="6"/>
      <c r="BH112" s="6"/>
      <c r="BI112" s="82"/>
      <c r="BJ112" s="6"/>
      <c r="BK112" s="79"/>
      <c r="BL112" s="6"/>
      <c r="BM112" s="6"/>
      <c r="BN112" s="6"/>
      <c r="BO112" s="6"/>
      <c r="BP112" s="232"/>
      <c r="BQ112" s="6"/>
      <c r="BR112" s="6"/>
      <c r="BS112" s="6"/>
      <c r="BT112" s="6"/>
      <c r="BU112" s="492"/>
      <c r="BV112" s="6"/>
      <c r="BW112" s="6"/>
      <c r="BX112" s="6"/>
      <c r="BY112" s="6"/>
      <c r="BZ112" s="492"/>
      <c r="CA112" s="6"/>
      <c r="CB112" s="6"/>
      <c r="CC112" s="6"/>
      <c r="CD112" s="6"/>
      <c r="CE112" s="232" t="s">
        <v>126</v>
      </c>
      <c r="CF112" s="6"/>
      <c r="CG112" s="6"/>
      <c r="CH112" s="6"/>
      <c r="CI112" s="6"/>
      <c r="CJ112" s="492">
        <v>0.02</v>
      </c>
      <c r="CK112" s="6"/>
      <c r="CL112" s="6"/>
      <c r="CM112" s="6"/>
      <c r="CN112" s="6"/>
      <c r="CO112" s="492">
        <v>-0.05</v>
      </c>
      <c r="CP112" s="6"/>
      <c r="CQ112" s="6"/>
      <c r="CR112" s="6"/>
      <c r="CS112" s="6"/>
      <c r="CT112" s="492"/>
      <c r="CU112" s="6"/>
      <c r="CV112" s="6"/>
      <c r="CW112" s="6"/>
      <c r="CX112" s="6"/>
      <c r="CY112" s="79"/>
      <c r="CZ112" s="6"/>
      <c r="DA112" s="6"/>
      <c r="DB112" s="6"/>
      <c r="DC112" s="6"/>
      <c r="DD112" s="79"/>
      <c r="DE112" s="6"/>
      <c r="DF112" s="6"/>
      <c r="DG112" s="6"/>
      <c r="DH112" s="6"/>
      <c r="DI112" s="79"/>
    </row>
    <row r="113" spans="1:113" s="3" customFormat="1" ht="12" hidden="1" customHeight="1" outlineLevel="1">
      <c r="A113" s="490"/>
      <c r="B113" s="491" t="s">
        <v>141</v>
      </c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  <c r="N113" s="550"/>
      <c r="O113" s="550"/>
      <c r="P113" s="549"/>
      <c r="Q113" s="550"/>
      <c r="R113" s="549"/>
      <c r="S113" s="549"/>
      <c r="T113" s="549"/>
      <c r="U113" s="549"/>
      <c r="V113" s="550"/>
      <c r="W113" s="549"/>
      <c r="X113" s="549"/>
      <c r="Y113" s="549"/>
      <c r="Z113" s="549"/>
      <c r="AA113" s="550"/>
      <c r="AB113" s="550"/>
      <c r="AC113" s="549"/>
      <c r="AD113" s="549"/>
      <c r="AE113" s="549"/>
      <c r="AF113" s="549"/>
      <c r="AG113" s="550"/>
      <c r="AH113" s="549"/>
      <c r="AI113" s="549"/>
      <c r="AJ113" s="549"/>
      <c r="AK113" s="549"/>
      <c r="AL113" s="550"/>
      <c r="AM113" s="549"/>
      <c r="AN113" s="549"/>
      <c r="AO113" s="549"/>
      <c r="AP113" s="549"/>
      <c r="AQ113" s="550"/>
      <c r="AR113" s="549"/>
      <c r="AS113" s="549"/>
      <c r="AT113" s="549"/>
      <c r="AU113" s="549"/>
      <c r="AV113" s="550"/>
      <c r="AW113" s="549"/>
      <c r="AX113" s="549"/>
      <c r="AY113" s="549"/>
      <c r="AZ113" s="549"/>
      <c r="BA113" s="550"/>
      <c r="BB113" s="549"/>
      <c r="BC113" s="549"/>
      <c r="BD113" s="549"/>
      <c r="BE113" s="549"/>
      <c r="BF113" s="550"/>
      <c r="BG113" s="549"/>
      <c r="BH113" s="549"/>
      <c r="BI113" s="111"/>
      <c r="BJ113" s="549"/>
      <c r="BK113" s="550"/>
      <c r="BL113" s="549"/>
      <c r="BM113" s="549"/>
      <c r="BN113" s="549"/>
      <c r="BO113" s="549"/>
      <c r="BP113" s="232"/>
      <c r="BQ113" s="549"/>
      <c r="BR113" s="549"/>
      <c r="BS113" s="549"/>
      <c r="BT113" s="549"/>
      <c r="BU113" s="112"/>
      <c r="BV113" s="549"/>
      <c r="BW113" s="549"/>
      <c r="BX113" s="549"/>
      <c r="BY113" s="549"/>
      <c r="BZ113" s="112"/>
      <c r="CA113" s="549"/>
      <c r="CB113" s="549"/>
      <c r="CC113" s="549"/>
      <c r="CD113" s="549"/>
      <c r="CE113" s="232" t="s">
        <v>126</v>
      </c>
      <c r="CF113" s="549"/>
      <c r="CG113" s="549"/>
      <c r="CH113" s="549"/>
      <c r="CI113" s="549"/>
      <c r="CJ113" s="112">
        <f t="shared" ref="CJ113" si="313">(1+CJ111)/(1+CJ112)-1</f>
        <v>2.034367831017514E-3</v>
      </c>
      <c r="CK113" s="549"/>
      <c r="CL113" s="549"/>
      <c r="CM113" s="549"/>
      <c r="CN113" s="549"/>
      <c r="CO113" s="112">
        <f t="shared" ref="CO113" si="314">(1+CO111)/(1+CO112)-1</f>
        <v>-4.0310945164871992E-3</v>
      </c>
      <c r="CP113" s="549"/>
      <c r="CQ113" s="549"/>
      <c r="CR113" s="549"/>
      <c r="CS113" s="549"/>
      <c r="CT113" s="112"/>
      <c r="CU113" s="549"/>
      <c r="CV113" s="549"/>
      <c r="CW113" s="549"/>
      <c r="CX113" s="549"/>
      <c r="CY113" s="550"/>
      <c r="CZ113" s="549"/>
      <c r="DA113" s="549"/>
      <c r="DB113" s="549"/>
      <c r="DC113" s="549"/>
      <c r="DD113" s="550"/>
      <c r="DE113" s="549"/>
      <c r="DF113" s="549"/>
      <c r="DG113" s="549"/>
      <c r="DH113" s="549"/>
      <c r="DI113" s="550"/>
    </row>
    <row r="114" spans="1:113" ht="12" hidden="1" customHeight="1" outlineLevel="1">
      <c r="A114" s="219"/>
      <c r="B114" s="491" t="s">
        <v>339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6"/>
      <c r="Q114" s="79"/>
      <c r="R114" s="6"/>
      <c r="S114" s="6"/>
      <c r="T114" s="6"/>
      <c r="U114" s="6"/>
      <c r="V114" s="79"/>
      <c r="W114" s="6"/>
      <c r="X114" s="6"/>
      <c r="Y114" s="6"/>
      <c r="Z114" s="6"/>
      <c r="AA114" s="79"/>
      <c r="AB114" s="79"/>
      <c r="AC114" s="6"/>
      <c r="AD114" s="6"/>
      <c r="AE114" s="6"/>
      <c r="AF114" s="6"/>
      <c r="AG114" s="79"/>
      <c r="AH114" s="6"/>
      <c r="AI114" s="6"/>
      <c r="AJ114" s="6"/>
      <c r="AK114" s="6"/>
      <c r="AL114" s="79"/>
      <c r="AM114" s="6"/>
      <c r="AN114" s="6"/>
      <c r="AO114" s="6"/>
      <c r="AP114" s="6"/>
      <c r="AQ114" s="79"/>
      <c r="AR114" s="6"/>
      <c r="AS114" s="6"/>
      <c r="AT114" s="6"/>
      <c r="AU114" s="6"/>
      <c r="AV114" s="79"/>
      <c r="AW114" s="6"/>
      <c r="AX114" s="6"/>
      <c r="AY114" s="6"/>
      <c r="AZ114" s="6"/>
      <c r="BA114" s="79"/>
      <c r="BB114" s="6"/>
      <c r="BC114" s="6"/>
      <c r="BD114" s="6"/>
      <c r="BE114" s="6"/>
      <c r="BF114" s="79"/>
      <c r="BG114" s="6"/>
      <c r="BH114" s="6"/>
      <c r="BI114" s="82"/>
      <c r="BJ114" s="6"/>
      <c r="BK114" s="79"/>
      <c r="BL114" s="6"/>
      <c r="BM114" s="6"/>
      <c r="BN114" s="6"/>
      <c r="BO114" s="6"/>
      <c r="BP114" s="112"/>
      <c r="BQ114" s="6"/>
      <c r="BR114" s="6"/>
      <c r="BS114" s="6"/>
      <c r="BT114" s="6"/>
      <c r="BU114" s="112"/>
      <c r="BV114" s="6"/>
      <c r="BW114" s="6"/>
      <c r="BX114" s="6"/>
      <c r="BY114" s="6"/>
      <c r="BZ114" s="112"/>
      <c r="CA114" s="6"/>
      <c r="CB114" s="6"/>
      <c r="CC114" s="6"/>
      <c r="CD114" s="6"/>
      <c r="CE114" s="112">
        <f>CE110/CE$128</f>
        <v>0.12076779525459877</v>
      </c>
      <c r="CF114" s="6"/>
      <c r="CG114" s="6"/>
      <c r="CH114" s="6"/>
      <c r="CI114" s="6"/>
      <c r="CJ114" s="112">
        <f>CJ110/CJ$128</f>
        <v>0.1220347917764892</v>
      </c>
      <c r="CK114" s="6"/>
      <c r="CL114" s="6"/>
      <c r="CM114" s="6"/>
      <c r="CN114" s="6"/>
      <c r="CO114" s="112">
        <f>CO110/CO$128</f>
        <v>0.12736503108646061</v>
      </c>
      <c r="CP114" s="6"/>
      <c r="CQ114" s="6"/>
      <c r="CR114" s="6"/>
      <c r="CS114" s="6"/>
      <c r="CT114" s="112"/>
      <c r="CU114" s="6"/>
      <c r="CV114" s="6"/>
      <c r="CW114" s="6"/>
      <c r="CX114" s="6"/>
      <c r="CY114" s="79"/>
      <c r="CZ114" s="6"/>
      <c r="DA114" s="6"/>
      <c r="DB114" s="6"/>
      <c r="DC114" s="6"/>
      <c r="DD114" s="79"/>
      <c r="DE114" s="6"/>
      <c r="DF114" s="6"/>
      <c r="DG114" s="6"/>
      <c r="DH114" s="6"/>
      <c r="DI114" s="79"/>
    </row>
    <row r="115" spans="1:113" ht="12" hidden="1" customHeight="1" outlineLevel="1">
      <c r="A115" s="219"/>
      <c r="B115" s="17" t="s">
        <v>136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6"/>
      <c r="Q115" s="79"/>
      <c r="R115" s="6"/>
      <c r="S115" s="6"/>
      <c r="T115" s="6"/>
      <c r="U115" s="6"/>
      <c r="V115" s="79"/>
      <c r="W115" s="6"/>
      <c r="X115" s="6"/>
      <c r="Y115" s="6"/>
      <c r="Z115" s="6"/>
      <c r="AA115" s="79"/>
      <c r="AB115" s="79"/>
      <c r="AC115" s="6"/>
      <c r="AD115" s="6"/>
      <c r="AE115" s="6"/>
      <c r="AF115" s="6"/>
      <c r="AG115" s="79"/>
      <c r="AH115" s="6"/>
      <c r="AI115" s="6"/>
      <c r="AJ115" s="6"/>
      <c r="AK115" s="6"/>
      <c r="AL115" s="79"/>
      <c r="AM115" s="6"/>
      <c r="AN115" s="6"/>
      <c r="AO115" s="6"/>
      <c r="AP115" s="6"/>
      <c r="AQ115" s="79"/>
      <c r="AR115" s="6"/>
      <c r="AS115" s="6"/>
      <c r="AT115" s="6"/>
      <c r="AU115" s="6"/>
      <c r="AV115" s="79"/>
      <c r="AW115" s="6"/>
      <c r="AX115" s="6"/>
      <c r="AY115" s="6"/>
      <c r="AZ115" s="6"/>
      <c r="BA115" s="79"/>
      <c r="BB115" s="6"/>
      <c r="BC115" s="6"/>
      <c r="BD115" s="6"/>
      <c r="BE115" s="6"/>
      <c r="BF115" s="79"/>
      <c r="BG115" s="6"/>
      <c r="BH115" s="6"/>
      <c r="BI115" s="82"/>
      <c r="BJ115" s="6"/>
      <c r="BK115" s="79"/>
      <c r="BL115" s="6"/>
      <c r="BM115" s="6"/>
      <c r="BN115" s="6"/>
      <c r="BO115" s="6"/>
      <c r="BP115" s="36"/>
      <c r="BQ115" s="6"/>
      <c r="BR115" s="6"/>
      <c r="BS115" s="6"/>
      <c r="BT115" s="6"/>
      <c r="BU115" s="36"/>
      <c r="BV115" s="6"/>
      <c r="BW115" s="6"/>
      <c r="BX115" s="6"/>
      <c r="BY115" s="6"/>
      <c r="BZ115" s="36"/>
      <c r="CA115" s="6"/>
      <c r="CB115" s="6"/>
      <c r="CC115" s="6"/>
      <c r="CD115" s="6"/>
      <c r="CE115" s="36">
        <v>8460</v>
      </c>
      <c r="CF115" s="6"/>
      <c r="CG115" s="6"/>
      <c r="CH115" s="6"/>
      <c r="CI115" s="6"/>
      <c r="CJ115" s="36">
        <v>8701</v>
      </c>
      <c r="CK115" s="6"/>
      <c r="CL115" s="6"/>
      <c r="CM115" s="6"/>
      <c r="CN115" s="6"/>
      <c r="CO115" s="36">
        <v>7270</v>
      </c>
      <c r="CP115" s="6"/>
      <c r="CQ115" s="6"/>
      <c r="CR115" s="6"/>
      <c r="CS115" s="6"/>
      <c r="CT115" s="36"/>
      <c r="CU115" s="6"/>
      <c r="CV115" s="6"/>
      <c r="CW115" s="6"/>
      <c r="CX115" s="6"/>
      <c r="CY115" s="79"/>
      <c r="CZ115" s="6"/>
      <c r="DA115" s="6"/>
      <c r="DB115" s="6"/>
      <c r="DC115" s="6"/>
      <c r="DD115" s="79"/>
      <c r="DE115" s="6"/>
      <c r="DF115" s="6"/>
      <c r="DG115" s="6"/>
      <c r="DH115" s="6"/>
      <c r="DI115" s="79"/>
    </row>
    <row r="116" spans="1:113" ht="12" hidden="1" customHeight="1" outlineLevel="1">
      <c r="A116" s="219"/>
      <c r="B116" s="547" t="s">
        <v>171</v>
      </c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6"/>
      <c r="Q116" s="79"/>
      <c r="R116" s="6"/>
      <c r="S116" s="6"/>
      <c r="T116" s="6"/>
      <c r="U116" s="6"/>
      <c r="V116" s="79"/>
      <c r="W116" s="6"/>
      <c r="X116" s="6"/>
      <c r="Y116" s="6"/>
      <c r="Z116" s="6"/>
      <c r="AA116" s="79"/>
      <c r="AB116" s="79"/>
      <c r="AC116" s="6"/>
      <c r="AD116" s="6"/>
      <c r="AE116" s="6"/>
      <c r="AF116" s="6"/>
      <c r="AG116" s="79"/>
      <c r="AH116" s="6"/>
      <c r="AI116" s="6"/>
      <c r="AJ116" s="6"/>
      <c r="AK116" s="6"/>
      <c r="AL116" s="79"/>
      <c r="AM116" s="6"/>
      <c r="AN116" s="6"/>
      <c r="AO116" s="6"/>
      <c r="AP116" s="6"/>
      <c r="AQ116" s="79"/>
      <c r="AR116" s="6"/>
      <c r="AS116" s="6"/>
      <c r="AT116" s="6"/>
      <c r="AU116" s="6"/>
      <c r="AV116" s="79"/>
      <c r="AW116" s="6"/>
      <c r="AX116" s="6"/>
      <c r="AY116" s="6"/>
      <c r="AZ116" s="6"/>
      <c r="BA116" s="79"/>
      <c r="BB116" s="6"/>
      <c r="BC116" s="6"/>
      <c r="BD116" s="6"/>
      <c r="BE116" s="6"/>
      <c r="BF116" s="79"/>
      <c r="BG116" s="6"/>
      <c r="BH116" s="6"/>
      <c r="BI116" s="82"/>
      <c r="BJ116" s="6"/>
      <c r="BK116" s="79"/>
      <c r="BL116" s="6"/>
      <c r="BM116" s="6"/>
      <c r="BN116" s="6"/>
      <c r="BO116" s="6"/>
      <c r="BP116" s="232"/>
      <c r="BQ116" s="6"/>
      <c r="BR116" s="6"/>
      <c r="BS116" s="6"/>
      <c r="BT116" s="6"/>
      <c r="BU116" s="112"/>
      <c r="BV116" s="6"/>
      <c r="BW116" s="6"/>
      <c r="BX116" s="6"/>
      <c r="BY116" s="6"/>
      <c r="BZ116" s="112"/>
      <c r="CA116" s="6"/>
      <c r="CB116" s="6"/>
      <c r="CC116" s="6"/>
      <c r="CD116" s="6"/>
      <c r="CE116" s="232" t="s">
        <v>126</v>
      </c>
      <c r="CF116" s="6"/>
      <c r="CG116" s="6"/>
      <c r="CH116" s="6"/>
      <c r="CI116" s="6"/>
      <c r="CJ116" s="112">
        <f t="shared" ref="CJ116" si="315">+CJ115/CE115-1</f>
        <v>2.8486997635933875E-2</v>
      </c>
      <c r="CK116" s="6"/>
      <c r="CL116" s="6"/>
      <c r="CM116" s="6"/>
      <c r="CN116" s="6"/>
      <c r="CO116" s="112">
        <f t="shared" ref="CO116" si="316">+CO115/CJ115-1</f>
        <v>-0.16446385472934144</v>
      </c>
      <c r="CP116" s="6"/>
      <c r="CQ116" s="6"/>
      <c r="CR116" s="6"/>
      <c r="CS116" s="6"/>
      <c r="CT116" s="112"/>
      <c r="CU116" s="6"/>
      <c r="CV116" s="6"/>
      <c r="CW116" s="6"/>
      <c r="CX116" s="6"/>
      <c r="CY116" s="79"/>
      <c r="CZ116" s="6"/>
      <c r="DA116" s="6"/>
      <c r="DB116" s="6"/>
      <c r="DC116" s="6"/>
      <c r="DD116" s="79"/>
      <c r="DE116" s="6"/>
      <c r="DF116" s="6"/>
      <c r="DG116" s="6"/>
      <c r="DH116" s="6"/>
      <c r="DI116" s="79"/>
    </row>
    <row r="117" spans="1:113" ht="12" hidden="1" customHeight="1" outlineLevel="1">
      <c r="A117" s="219"/>
      <c r="B117" s="491" t="s">
        <v>173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6"/>
      <c r="Q117" s="79"/>
      <c r="R117" s="6"/>
      <c r="S117" s="6"/>
      <c r="T117" s="6"/>
      <c r="U117" s="6"/>
      <c r="V117" s="79"/>
      <c r="W117" s="6"/>
      <c r="X117" s="6"/>
      <c r="Y117" s="6"/>
      <c r="Z117" s="6"/>
      <c r="AA117" s="79"/>
      <c r="AB117" s="79"/>
      <c r="AC117" s="6"/>
      <c r="AD117" s="6"/>
      <c r="AE117" s="6"/>
      <c r="AF117" s="6"/>
      <c r="AG117" s="79"/>
      <c r="AH117" s="6"/>
      <c r="AI117" s="6"/>
      <c r="AJ117" s="6"/>
      <c r="AK117" s="6"/>
      <c r="AL117" s="79"/>
      <c r="AM117" s="6"/>
      <c r="AN117" s="6"/>
      <c r="AO117" s="6"/>
      <c r="AP117" s="6"/>
      <c r="AQ117" s="79"/>
      <c r="AR117" s="6"/>
      <c r="AS117" s="6"/>
      <c r="AT117" s="6"/>
      <c r="AU117" s="6"/>
      <c r="AV117" s="79"/>
      <c r="AW117" s="6"/>
      <c r="AX117" s="6"/>
      <c r="AY117" s="6"/>
      <c r="AZ117" s="6"/>
      <c r="BA117" s="79"/>
      <c r="BB117" s="6"/>
      <c r="BC117" s="6"/>
      <c r="BD117" s="6"/>
      <c r="BE117" s="6"/>
      <c r="BF117" s="79"/>
      <c r="BG117" s="6"/>
      <c r="BH117" s="6"/>
      <c r="BI117" s="82"/>
      <c r="BJ117" s="6"/>
      <c r="BK117" s="79"/>
      <c r="BL117" s="6"/>
      <c r="BM117" s="6"/>
      <c r="BN117" s="6"/>
      <c r="BO117" s="6"/>
      <c r="BP117" s="232"/>
      <c r="BQ117" s="6"/>
      <c r="BR117" s="6"/>
      <c r="BS117" s="6"/>
      <c r="BT117" s="6"/>
      <c r="BU117" s="492"/>
      <c r="BV117" s="6"/>
      <c r="BW117" s="6"/>
      <c r="BX117" s="6"/>
      <c r="BY117" s="6"/>
      <c r="BZ117" s="492"/>
      <c r="CA117" s="6"/>
      <c r="CB117" s="6"/>
      <c r="CC117" s="6"/>
      <c r="CD117" s="6"/>
      <c r="CE117" s="232" t="s">
        <v>126</v>
      </c>
      <c r="CF117" s="6"/>
      <c r="CG117" s="6"/>
      <c r="CH117" s="6"/>
      <c r="CI117" s="6"/>
      <c r="CJ117" s="492">
        <v>0.03</v>
      </c>
      <c r="CK117" s="6"/>
      <c r="CL117" s="6"/>
      <c r="CM117" s="6"/>
      <c r="CN117" s="6"/>
      <c r="CO117" s="492">
        <v>-0.16</v>
      </c>
      <c r="CP117" s="6"/>
      <c r="CQ117" s="6"/>
      <c r="CR117" s="6"/>
      <c r="CS117" s="6"/>
      <c r="CT117" s="492"/>
      <c r="CU117" s="6"/>
      <c r="CV117" s="6"/>
      <c r="CW117" s="6"/>
      <c r="CX117" s="6"/>
      <c r="CY117" s="79"/>
      <c r="CZ117" s="6"/>
      <c r="DA117" s="6"/>
      <c r="DB117" s="6"/>
      <c r="DC117" s="6"/>
      <c r="DD117" s="79"/>
      <c r="DE117" s="6"/>
      <c r="DF117" s="6"/>
      <c r="DG117" s="6"/>
      <c r="DH117" s="6"/>
      <c r="DI117" s="79"/>
    </row>
    <row r="118" spans="1:113" s="3" customFormat="1" ht="12" hidden="1" customHeight="1" outlineLevel="1">
      <c r="A118" s="490"/>
      <c r="B118" s="491" t="s">
        <v>141</v>
      </c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50"/>
      <c r="P118" s="549"/>
      <c r="Q118" s="550"/>
      <c r="R118" s="549"/>
      <c r="S118" s="549"/>
      <c r="T118" s="549"/>
      <c r="U118" s="549"/>
      <c r="V118" s="550"/>
      <c r="W118" s="549"/>
      <c r="X118" s="549"/>
      <c r="Y118" s="549"/>
      <c r="Z118" s="549"/>
      <c r="AA118" s="550"/>
      <c r="AB118" s="550"/>
      <c r="AC118" s="549"/>
      <c r="AD118" s="549"/>
      <c r="AE118" s="549"/>
      <c r="AF118" s="549"/>
      <c r="AG118" s="550"/>
      <c r="AH118" s="549"/>
      <c r="AI118" s="549"/>
      <c r="AJ118" s="549"/>
      <c r="AK118" s="549"/>
      <c r="AL118" s="550"/>
      <c r="AM118" s="549"/>
      <c r="AN118" s="549"/>
      <c r="AO118" s="549"/>
      <c r="AP118" s="549"/>
      <c r="AQ118" s="550"/>
      <c r="AR118" s="549"/>
      <c r="AS118" s="549"/>
      <c r="AT118" s="549"/>
      <c r="AU118" s="549"/>
      <c r="AV118" s="550"/>
      <c r="AW118" s="549"/>
      <c r="AX118" s="549"/>
      <c r="AY118" s="549"/>
      <c r="AZ118" s="549"/>
      <c r="BA118" s="550"/>
      <c r="BB118" s="549"/>
      <c r="BC118" s="549"/>
      <c r="BD118" s="549"/>
      <c r="BE118" s="549"/>
      <c r="BF118" s="550"/>
      <c r="BG118" s="549"/>
      <c r="BH118" s="549"/>
      <c r="BI118" s="111"/>
      <c r="BJ118" s="549"/>
      <c r="BK118" s="550"/>
      <c r="BL118" s="549"/>
      <c r="BM118" s="549"/>
      <c r="BN118" s="549"/>
      <c r="BO118" s="549"/>
      <c r="BP118" s="232"/>
      <c r="BQ118" s="549"/>
      <c r="BR118" s="549"/>
      <c r="BS118" s="549"/>
      <c r="BT118" s="549"/>
      <c r="BU118" s="112"/>
      <c r="BV118" s="549"/>
      <c r="BW118" s="549"/>
      <c r="BX118" s="549"/>
      <c r="BY118" s="549"/>
      <c r="BZ118" s="112"/>
      <c r="CA118" s="549"/>
      <c r="CB118" s="549"/>
      <c r="CC118" s="549"/>
      <c r="CD118" s="549"/>
      <c r="CE118" s="232" t="s">
        <v>126</v>
      </c>
      <c r="CF118" s="549"/>
      <c r="CG118" s="549"/>
      <c r="CH118" s="549"/>
      <c r="CI118" s="549"/>
      <c r="CJ118" s="112">
        <f t="shared" ref="CJ118" si="317">(1+CJ116)/(1+CJ117)-1</f>
        <v>-1.4689343340448247E-3</v>
      </c>
      <c r="CK118" s="549"/>
      <c r="CL118" s="549"/>
      <c r="CM118" s="549"/>
      <c r="CN118" s="549"/>
      <c r="CO118" s="112">
        <f t="shared" ref="CO118" si="318">(1+CO116)/(1+CO117)-1</f>
        <v>-5.3141127730255144E-3</v>
      </c>
      <c r="CP118" s="549"/>
      <c r="CQ118" s="549"/>
      <c r="CR118" s="549"/>
      <c r="CS118" s="549"/>
      <c r="CT118" s="112"/>
      <c r="CU118" s="549"/>
      <c r="CV118" s="549"/>
      <c r="CW118" s="549"/>
      <c r="CX118" s="549"/>
      <c r="CY118" s="550"/>
      <c r="CZ118" s="549"/>
      <c r="DA118" s="549"/>
      <c r="DB118" s="549"/>
      <c r="DC118" s="549"/>
      <c r="DD118" s="550"/>
      <c r="DE118" s="549"/>
      <c r="DF118" s="549"/>
      <c r="DG118" s="549"/>
      <c r="DH118" s="549"/>
      <c r="DI118" s="550"/>
    </row>
    <row r="119" spans="1:113" ht="12" hidden="1" customHeight="1" outlineLevel="1">
      <c r="A119" s="219"/>
      <c r="B119" s="491" t="s">
        <v>340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6"/>
      <c r="Q119" s="79"/>
      <c r="R119" s="6"/>
      <c r="S119" s="6"/>
      <c r="T119" s="6"/>
      <c r="U119" s="6"/>
      <c r="V119" s="79"/>
      <c r="W119" s="6"/>
      <c r="X119" s="6"/>
      <c r="Y119" s="6"/>
      <c r="Z119" s="6"/>
      <c r="AA119" s="79"/>
      <c r="AB119" s="79"/>
      <c r="AC119" s="6"/>
      <c r="AD119" s="6"/>
      <c r="AE119" s="6"/>
      <c r="AF119" s="6"/>
      <c r="AG119" s="79"/>
      <c r="AH119" s="6"/>
      <c r="AI119" s="6"/>
      <c r="AJ119" s="6"/>
      <c r="AK119" s="6"/>
      <c r="AL119" s="79"/>
      <c r="AM119" s="6"/>
      <c r="AN119" s="6"/>
      <c r="AO119" s="6"/>
      <c r="AP119" s="6"/>
      <c r="AQ119" s="79"/>
      <c r="AR119" s="6"/>
      <c r="AS119" s="6"/>
      <c r="AT119" s="6"/>
      <c r="AU119" s="6"/>
      <c r="AV119" s="79"/>
      <c r="AW119" s="6"/>
      <c r="AX119" s="6"/>
      <c r="AY119" s="6"/>
      <c r="AZ119" s="6"/>
      <c r="BA119" s="79"/>
      <c r="BB119" s="6"/>
      <c r="BC119" s="6"/>
      <c r="BD119" s="6"/>
      <c r="BE119" s="6"/>
      <c r="BF119" s="79"/>
      <c r="BG119" s="6"/>
      <c r="BH119" s="6"/>
      <c r="BI119" s="82"/>
      <c r="BJ119" s="6"/>
      <c r="BK119" s="79"/>
      <c r="BL119" s="6"/>
      <c r="BM119" s="6"/>
      <c r="BN119" s="6"/>
      <c r="BO119" s="6"/>
      <c r="BP119" s="112"/>
      <c r="BQ119" s="6"/>
      <c r="BR119" s="6"/>
      <c r="BS119" s="6"/>
      <c r="BT119" s="6"/>
      <c r="BU119" s="112"/>
      <c r="BV119" s="6"/>
      <c r="BW119" s="6"/>
      <c r="BX119" s="6"/>
      <c r="BY119" s="6"/>
      <c r="BZ119" s="112"/>
      <c r="CA119" s="6"/>
      <c r="CB119" s="6"/>
      <c r="CC119" s="6"/>
      <c r="CD119" s="6"/>
      <c r="CE119" s="112">
        <f>CE115/CE$128</f>
        <v>0.17349219695260751</v>
      </c>
      <c r="CF119" s="6"/>
      <c r="CG119" s="6"/>
      <c r="CH119" s="6"/>
      <c r="CI119" s="6"/>
      <c r="CJ119" s="112">
        <f>CJ115/CJ$128</f>
        <v>0.17641214873687197</v>
      </c>
      <c r="CK119" s="6"/>
      <c r="CL119" s="6"/>
      <c r="CM119" s="6"/>
      <c r="CN119" s="6"/>
      <c r="CO119" s="112">
        <f>CO115/CO$128</f>
        <v>0.16258889833161874</v>
      </c>
      <c r="CP119" s="6"/>
      <c r="CQ119" s="6"/>
      <c r="CR119" s="6"/>
      <c r="CS119" s="6"/>
      <c r="CT119" s="112"/>
      <c r="CU119" s="6"/>
      <c r="CV119" s="6"/>
      <c r="CW119" s="6"/>
      <c r="CX119" s="6"/>
      <c r="CY119" s="79"/>
      <c r="CZ119" s="6"/>
      <c r="DA119" s="6"/>
      <c r="DB119" s="6"/>
      <c r="DC119" s="6"/>
      <c r="DD119" s="79"/>
      <c r="DE119" s="6"/>
      <c r="DF119" s="6"/>
      <c r="DG119" s="6"/>
      <c r="DH119" s="6"/>
      <c r="DI119" s="79"/>
    </row>
    <row r="120" spans="1:113" ht="12" hidden="1" customHeight="1" outlineLevel="1">
      <c r="A120" s="219"/>
      <c r="B120" s="17" t="s">
        <v>109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6"/>
      <c r="Q120" s="79"/>
      <c r="R120" s="6"/>
      <c r="S120" s="6"/>
      <c r="T120" s="6"/>
      <c r="U120" s="6"/>
      <c r="V120" s="79"/>
      <c r="W120" s="6"/>
      <c r="X120" s="6"/>
      <c r="Y120" s="6"/>
      <c r="Z120" s="6"/>
      <c r="AA120" s="79"/>
      <c r="AB120" s="79"/>
      <c r="AC120" s="6"/>
      <c r="AD120" s="6"/>
      <c r="AE120" s="6"/>
      <c r="AF120" s="6"/>
      <c r="AG120" s="79"/>
      <c r="AH120" s="6"/>
      <c r="AI120" s="6"/>
      <c r="AJ120" s="6"/>
      <c r="AK120" s="6"/>
      <c r="AL120" s="79"/>
      <c r="AM120" s="6"/>
      <c r="AN120" s="6"/>
      <c r="AO120" s="6"/>
      <c r="AP120" s="6"/>
      <c r="AQ120" s="79"/>
      <c r="AR120" s="6"/>
      <c r="AS120" s="6"/>
      <c r="AT120" s="6"/>
      <c r="AU120" s="6"/>
      <c r="AV120" s="79"/>
      <c r="AW120" s="6"/>
      <c r="AX120" s="6"/>
      <c r="AY120" s="6"/>
      <c r="AZ120" s="6"/>
      <c r="BA120" s="79"/>
      <c r="BB120" s="6"/>
      <c r="BC120" s="6"/>
      <c r="BD120" s="6"/>
      <c r="BE120" s="6"/>
      <c r="BF120" s="79"/>
      <c r="BG120" s="6"/>
      <c r="BH120" s="6"/>
      <c r="BI120" s="82"/>
      <c r="BJ120" s="6"/>
      <c r="BK120" s="79"/>
      <c r="BL120" s="6"/>
      <c r="BM120" s="6"/>
      <c r="BN120" s="6"/>
      <c r="BO120" s="6"/>
      <c r="BP120" s="36"/>
      <c r="BQ120" s="6"/>
      <c r="BR120" s="6"/>
      <c r="BS120" s="6"/>
      <c r="BT120" s="6"/>
      <c r="BU120" s="36"/>
      <c r="BV120" s="6"/>
      <c r="BW120" s="6"/>
      <c r="BX120" s="6"/>
      <c r="BY120" s="6"/>
      <c r="BZ120" s="36"/>
      <c r="CA120" s="6"/>
      <c r="CB120" s="6"/>
      <c r="CC120" s="6"/>
      <c r="CD120" s="6"/>
      <c r="CE120" s="36">
        <v>-363</v>
      </c>
      <c r="CF120" s="6"/>
      <c r="CG120" s="6"/>
      <c r="CH120" s="6"/>
      <c r="CI120" s="6"/>
      <c r="CJ120" s="36">
        <v>-594</v>
      </c>
      <c r="CK120" s="6"/>
      <c r="CL120" s="6"/>
      <c r="CM120" s="6"/>
      <c r="CN120" s="6"/>
      <c r="CO120" s="36">
        <v>-1234</v>
      </c>
      <c r="CP120" s="6"/>
      <c r="CQ120" s="6"/>
      <c r="CR120" s="6"/>
      <c r="CS120" s="6"/>
      <c r="CT120" s="36"/>
      <c r="CU120" s="6"/>
      <c r="CV120" s="6"/>
      <c r="CW120" s="6"/>
      <c r="CX120" s="6"/>
      <c r="CY120" s="79"/>
      <c r="CZ120" s="6"/>
      <c r="DA120" s="6"/>
      <c r="DB120" s="6"/>
      <c r="DC120" s="6"/>
      <c r="DD120" s="79"/>
      <c r="DE120" s="6"/>
      <c r="DF120" s="6"/>
      <c r="DG120" s="6"/>
      <c r="DH120" s="6"/>
      <c r="DI120" s="79"/>
    </row>
    <row r="121" spans="1:113" ht="12" hidden="1" customHeight="1" outlineLevel="1">
      <c r="A121" s="219"/>
      <c r="B121" s="547" t="s">
        <v>171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6"/>
      <c r="Q121" s="79"/>
      <c r="R121" s="6"/>
      <c r="S121" s="6"/>
      <c r="T121" s="6"/>
      <c r="U121" s="6"/>
      <c r="V121" s="79"/>
      <c r="W121" s="6"/>
      <c r="X121" s="6"/>
      <c r="Y121" s="6"/>
      <c r="Z121" s="6"/>
      <c r="AA121" s="79"/>
      <c r="AB121" s="79"/>
      <c r="AC121" s="6"/>
      <c r="AD121" s="6"/>
      <c r="AE121" s="6"/>
      <c r="AF121" s="6"/>
      <c r="AG121" s="79"/>
      <c r="AH121" s="6"/>
      <c r="AI121" s="6"/>
      <c r="AJ121" s="6"/>
      <c r="AK121" s="6"/>
      <c r="AL121" s="79"/>
      <c r="AM121" s="6"/>
      <c r="AN121" s="6"/>
      <c r="AO121" s="6"/>
      <c r="AP121" s="6"/>
      <c r="AQ121" s="79"/>
      <c r="AR121" s="6"/>
      <c r="AS121" s="6"/>
      <c r="AT121" s="6"/>
      <c r="AU121" s="6"/>
      <c r="AV121" s="79"/>
      <c r="AW121" s="6"/>
      <c r="AX121" s="6"/>
      <c r="AY121" s="6"/>
      <c r="AZ121" s="6"/>
      <c r="BA121" s="79"/>
      <c r="BB121" s="6"/>
      <c r="BC121" s="6"/>
      <c r="BD121" s="6"/>
      <c r="BE121" s="6"/>
      <c r="BF121" s="79"/>
      <c r="BG121" s="6"/>
      <c r="BH121" s="6"/>
      <c r="BI121" s="82"/>
      <c r="BJ121" s="6"/>
      <c r="BK121" s="79"/>
      <c r="BL121" s="6"/>
      <c r="BM121" s="6"/>
      <c r="BN121" s="6"/>
      <c r="BO121" s="6"/>
      <c r="BP121" s="232"/>
      <c r="BQ121" s="6"/>
      <c r="BR121" s="6"/>
      <c r="BS121" s="6"/>
      <c r="BT121" s="6"/>
      <c r="BU121" s="112"/>
      <c r="BV121" s="6"/>
      <c r="BW121" s="6"/>
      <c r="BX121" s="6"/>
      <c r="BY121" s="6"/>
      <c r="BZ121" s="112"/>
      <c r="CA121" s="6"/>
      <c r="CB121" s="6"/>
      <c r="CC121" s="6"/>
      <c r="CD121" s="6"/>
      <c r="CE121" s="232" t="s">
        <v>126</v>
      </c>
      <c r="CF121" s="6"/>
      <c r="CG121" s="6"/>
      <c r="CH121" s="6"/>
      <c r="CI121" s="6"/>
      <c r="CJ121" s="112">
        <f t="shared" ref="CJ121" si="319">+CJ120/CE120-1</f>
        <v>0.63636363636363646</v>
      </c>
      <c r="CK121" s="6"/>
      <c r="CL121" s="6"/>
      <c r="CM121" s="6"/>
      <c r="CN121" s="6"/>
      <c r="CO121" s="112">
        <f t="shared" ref="CO121" si="320">+CO120/CJ120-1</f>
        <v>1.0774410774410774</v>
      </c>
      <c r="CP121" s="6"/>
      <c r="CQ121" s="6"/>
      <c r="CR121" s="6"/>
      <c r="CS121" s="6"/>
      <c r="CT121" s="112"/>
      <c r="CU121" s="6"/>
      <c r="CV121" s="6"/>
      <c r="CW121" s="6"/>
      <c r="CX121" s="6"/>
      <c r="CY121" s="79"/>
      <c r="CZ121" s="6"/>
      <c r="DA121" s="6"/>
      <c r="DB121" s="6"/>
      <c r="DC121" s="6"/>
      <c r="DD121" s="79"/>
      <c r="DE121" s="6"/>
      <c r="DF121" s="6"/>
      <c r="DG121" s="6"/>
      <c r="DH121" s="6"/>
      <c r="DI121" s="79"/>
    </row>
    <row r="122" spans="1:113" ht="12" hidden="1" customHeight="1" outlineLevel="1">
      <c r="A122" s="219"/>
      <c r="B122" s="491" t="s">
        <v>173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6"/>
      <c r="Q122" s="79"/>
      <c r="R122" s="6"/>
      <c r="S122" s="6"/>
      <c r="T122" s="6"/>
      <c r="U122" s="6"/>
      <c r="V122" s="79"/>
      <c r="W122" s="6"/>
      <c r="X122" s="6"/>
      <c r="Y122" s="6"/>
      <c r="Z122" s="6"/>
      <c r="AA122" s="79"/>
      <c r="AB122" s="79"/>
      <c r="AC122" s="6"/>
      <c r="AD122" s="6"/>
      <c r="AE122" s="6"/>
      <c r="AF122" s="6"/>
      <c r="AG122" s="79"/>
      <c r="AH122" s="6"/>
      <c r="AI122" s="6"/>
      <c r="AJ122" s="6"/>
      <c r="AK122" s="6"/>
      <c r="AL122" s="79"/>
      <c r="AM122" s="6"/>
      <c r="AN122" s="6"/>
      <c r="AO122" s="6"/>
      <c r="AP122" s="6"/>
      <c r="AQ122" s="79"/>
      <c r="AR122" s="6"/>
      <c r="AS122" s="6"/>
      <c r="AT122" s="6"/>
      <c r="AU122" s="6"/>
      <c r="AV122" s="79"/>
      <c r="AW122" s="6"/>
      <c r="AX122" s="6"/>
      <c r="AY122" s="6"/>
      <c r="AZ122" s="6"/>
      <c r="BA122" s="79"/>
      <c r="BB122" s="6"/>
      <c r="BC122" s="6"/>
      <c r="BD122" s="6"/>
      <c r="BE122" s="6"/>
      <c r="BF122" s="79"/>
      <c r="BG122" s="6"/>
      <c r="BH122" s="6"/>
      <c r="BI122" s="82"/>
      <c r="BJ122" s="6"/>
      <c r="BK122" s="79"/>
      <c r="BL122" s="6"/>
      <c r="BM122" s="6"/>
      <c r="BN122" s="6"/>
      <c r="BO122" s="6"/>
      <c r="BP122" s="232"/>
      <c r="BQ122" s="6"/>
      <c r="BR122" s="6"/>
      <c r="BS122" s="6"/>
      <c r="BT122" s="6"/>
      <c r="BU122" s="492"/>
      <c r="BV122" s="6"/>
      <c r="BW122" s="6"/>
      <c r="BX122" s="6"/>
      <c r="BY122" s="6"/>
      <c r="BZ122" s="492"/>
      <c r="CA122" s="6"/>
      <c r="CB122" s="6"/>
      <c r="CC122" s="6"/>
      <c r="CD122" s="6"/>
      <c r="CE122" s="232" t="s">
        <v>126</v>
      </c>
      <c r="CF122" s="6"/>
      <c r="CG122" s="6"/>
      <c r="CH122" s="6"/>
      <c r="CI122" s="6"/>
      <c r="CJ122" s="492">
        <v>0.67</v>
      </c>
      <c r="CK122" s="6"/>
      <c r="CL122" s="6"/>
      <c r="CM122" s="6"/>
      <c r="CN122" s="6"/>
      <c r="CO122" s="492">
        <v>-1.06</v>
      </c>
      <c r="CP122" s="6"/>
      <c r="CQ122" s="6"/>
      <c r="CR122" s="6"/>
      <c r="CS122" s="6"/>
      <c r="CT122" s="492"/>
      <c r="CU122" s="6"/>
      <c r="CV122" s="6"/>
      <c r="CW122" s="6"/>
      <c r="CX122" s="6"/>
      <c r="CY122" s="79"/>
      <c r="CZ122" s="6"/>
      <c r="DA122" s="6"/>
      <c r="DB122" s="6"/>
      <c r="DC122" s="6"/>
      <c r="DD122" s="79"/>
      <c r="DE122" s="6"/>
      <c r="DF122" s="6"/>
      <c r="DG122" s="6"/>
      <c r="DH122" s="6"/>
      <c r="DI122" s="79"/>
    </row>
    <row r="123" spans="1:113" ht="12" hidden="1" customHeight="1" outlineLevel="1">
      <c r="A123" s="219"/>
      <c r="B123" s="491" t="s">
        <v>341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6"/>
      <c r="Q123" s="79"/>
      <c r="R123" s="6"/>
      <c r="S123" s="6"/>
      <c r="T123" s="6"/>
      <c r="U123" s="6"/>
      <c r="V123" s="79"/>
      <c r="W123" s="6"/>
      <c r="X123" s="6"/>
      <c r="Y123" s="6"/>
      <c r="Z123" s="6"/>
      <c r="AA123" s="79"/>
      <c r="AB123" s="79"/>
      <c r="AC123" s="6"/>
      <c r="AD123" s="6"/>
      <c r="AE123" s="6"/>
      <c r="AF123" s="6"/>
      <c r="AG123" s="79"/>
      <c r="AH123" s="6"/>
      <c r="AI123" s="6"/>
      <c r="AJ123" s="6"/>
      <c r="AK123" s="6"/>
      <c r="AL123" s="79"/>
      <c r="AM123" s="6"/>
      <c r="AN123" s="6"/>
      <c r="AO123" s="6"/>
      <c r="AP123" s="6"/>
      <c r="AQ123" s="79"/>
      <c r="AR123" s="6"/>
      <c r="AS123" s="6"/>
      <c r="AT123" s="6"/>
      <c r="AU123" s="6"/>
      <c r="AV123" s="79"/>
      <c r="AW123" s="6"/>
      <c r="AX123" s="6"/>
      <c r="AY123" s="6"/>
      <c r="AZ123" s="6"/>
      <c r="BA123" s="79"/>
      <c r="BB123" s="6"/>
      <c r="BC123" s="6"/>
      <c r="BD123" s="6"/>
      <c r="BE123" s="6"/>
      <c r="BF123" s="79"/>
      <c r="BG123" s="6"/>
      <c r="BH123" s="6"/>
      <c r="BI123" s="82"/>
      <c r="BJ123" s="6"/>
      <c r="BK123" s="79"/>
      <c r="BL123" s="6"/>
      <c r="BM123" s="6"/>
      <c r="BN123" s="6"/>
      <c r="BO123" s="6"/>
      <c r="BP123" s="42"/>
      <c r="BQ123" s="6"/>
      <c r="BR123" s="6"/>
      <c r="BS123" s="6"/>
      <c r="BT123" s="6"/>
      <c r="BU123" s="42"/>
      <c r="BV123" s="6"/>
      <c r="BW123" s="6"/>
      <c r="BX123" s="6"/>
      <c r="BY123" s="6"/>
      <c r="BZ123" s="42"/>
      <c r="CA123" s="376"/>
      <c r="CB123" s="6"/>
      <c r="CC123" s="6"/>
      <c r="CD123" s="6"/>
      <c r="CE123" s="112">
        <f>CE120/CE$128</f>
        <v>-7.4441687344913151E-3</v>
      </c>
      <c r="CF123" s="376"/>
      <c r="CG123" s="6"/>
      <c r="CH123" s="6"/>
      <c r="CI123" s="6"/>
      <c r="CJ123" s="112">
        <f>CJ120/CJ$128</f>
        <v>-1.2043307246259276E-2</v>
      </c>
      <c r="CK123" s="6"/>
      <c r="CL123" s="6"/>
      <c r="CM123" s="6"/>
      <c r="CN123" s="6"/>
      <c r="CO123" s="112">
        <f>CO120/CO$128</f>
        <v>-2.7597620432079438E-2</v>
      </c>
      <c r="CP123" s="6"/>
      <c r="CQ123" s="6"/>
      <c r="CR123" s="6"/>
      <c r="CS123" s="6"/>
      <c r="CT123" s="112"/>
      <c r="CU123" s="6"/>
      <c r="CV123" s="6"/>
      <c r="CW123" s="6"/>
      <c r="CX123" s="6"/>
      <c r="CY123" s="79"/>
      <c r="CZ123" s="6"/>
      <c r="DA123" s="6"/>
      <c r="DB123" s="6"/>
      <c r="DC123" s="6"/>
      <c r="DD123" s="79"/>
      <c r="DE123" s="6"/>
      <c r="DF123" s="6"/>
      <c r="DG123" s="6"/>
      <c r="DH123" s="6"/>
      <c r="DI123" s="79"/>
    </row>
    <row r="124" spans="1:113" ht="12" hidden="1" customHeight="1" outlineLevel="1">
      <c r="A124" s="219"/>
      <c r="B124" s="17" t="s">
        <v>125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6"/>
      <c r="Q124" s="79"/>
      <c r="R124" s="6"/>
      <c r="S124" s="6"/>
      <c r="T124" s="6"/>
      <c r="U124" s="6"/>
      <c r="V124" s="79"/>
      <c r="W124" s="6"/>
      <c r="X124" s="6"/>
      <c r="Y124" s="6"/>
      <c r="Z124" s="6"/>
      <c r="AA124" s="79"/>
      <c r="AB124" s="79"/>
      <c r="AC124" s="6"/>
      <c r="AD124" s="6"/>
      <c r="AE124" s="6"/>
      <c r="AF124" s="6"/>
      <c r="AG124" s="79"/>
      <c r="AH124" s="6"/>
      <c r="AI124" s="6"/>
      <c r="AJ124" s="6"/>
      <c r="AK124" s="6"/>
      <c r="AL124" s="79"/>
      <c r="AM124" s="6"/>
      <c r="AN124" s="6"/>
      <c r="AO124" s="6"/>
      <c r="AP124" s="6"/>
      <c r="AQ124" s="79"/>
      <c r="AR124" s="6"/>
      <c r="AS124" s="6"/>
      <c r="AT124" s="6"/>
      <c r="AU124" s="6"/>
      <c r="AV124" s="79"/>
      <c r="AW124" s="6"/>
      <c r="AX124" s="6"/>
      <c r="AY124" s="6"/>
      <c r="AZ124" s="6"/>
      <c r="BA124" s="79"/>
      <c r="BB124" s="6"/>
      <c r="BC124" s="6"/>
      <c r="BD124" s="6"/>
      <c r="BE124" s="6"/>
      <c r="BF124" s="79"/>
      <c r="BG124" s="6"/>
      <c r="BH124" s="6"/>
      <c r="BI124" s="82"/>
      <c r="BJ124" s="6"/>
      <c r="BK124" s="79"/>
      <c r="BL124" s="6"/>
      <c r="BM124" s="6"/>
      <c r="BN124" s="6"/>
      <c r="BO124" s="6"/>
      <c r="BP124" s="36"/>
      <c r="BQ124" s="6"/>
      <c r="BR124" s="6"/>
      <c r="BS124" s="6"/>
      <c r="BT124" s="6"/>
      <c r="BU124" s="36"/>
      <c r="BV124" s="6"/>
      <c r="BW124" s="6"/>
      <c r="BX124" s="6"/>
      <c r="BY124" s="6"/>
      <c r="BZ124" s="36"/>
      <c r="CA124" s="6"/>
      <c r="CB124" s="6"/>
      <c r="CC124" s="6"/>
      <c r="CD124" s="6"/>
      <c r="CE124" s="36">
        <v>58</v>
      </c>
      <c r="CF124" s="6"/>
      <c r="CG124" s="6"/>
      <c r="CH124" s="6"/>
      <c r="CI124" s="6"/>
      <c r="CJ124" s="36">
        <v>45</v>
      </c>
      <c r="CK124" s="6"/>
      <c r="CL124" s="6"/>
      <c r="CM124" s="6"/>
      <c r="CN124" s="6"/>
      <c r="CO124" s="36">
        <v>48</v>
      </c>
      <c r="CP124" s="6"/>
      <c r="CQ124" s="6"/>
      <c r="CR124" s="6"/>
      <c r="CS124" s="6"/>
      <c r="CT124" s="36">
        <v>49</v>
      </c>
      <c r="CU124" s="6"/>
      <c r="CV124" s="6"/>
      <c r="CW124" s="6"/>
      <c r="CX124" s="6"/>
      <c r="CY124" s="79"/>
      <c r="CZ124" s="6"/>
      <c r="DA124" s="6"/>
      <c r="DB124" s="6"/>
      <c r="DC124" s="6"/>
      <c r="DD124" s="79"/>
      <c r="DE124" s="6"/>
      <c r="DF124" s="6"/>
      <c r="DG124" s="6"/>
      <c r="DH124" s="6"/>
      <c r="DI124" s="79"/>
    </row>
    <row r="125" spans="1:113" ht="12" hidden="1" customHeight="1" outlineLevel="1">
      <c r="A125" s="219"/>
      <c r="B125" s="547" t="s">
        <v>171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6"/>
      <c r="Q125" s="79"/>
      <c r="R125" s="6"/>
      <c r="S125" s="6"/>
      <c r="T125" s="6"/>
      <c r="U125" s="6"/>
      <c r="V125" s="79"/>
      <c r="W125" s="6"/>
      <c r="X125" s="6"/>
      <c r="Y125" s="6"/>
      <c r="Z125" s="6"/>
      <c r="AA125" s="79"/>
      <c r="AB125" s="79"/>
      <c r="AC125" s="6"/>
      <c r="AD125" s="6"/>
      <c r="AE125" s="6"/>
      <c r="AF125" s="6"/>
      <c r="AG125" s="79"/>
      <c r="AH125" s="6"/>
      <c r="AI125" s="6"/>
      <c r="AJ125" s="6"/>
      <c r="AK125" s="6"/>
      <c r="AL125" s="79"/>
      <c r="AM125" s="6"/>
      <c r="AN125" s="6"/>
      <c r="AO125" s="6"/>
      <c r="AP125" s="6"/>
      <c r="AQ125" s="79"/>
      <c r="AR125" s="6"/>
      <c r="AS125" s="6"/>
      <c r="AT125" s="6"/>
      <c r="AU125" s="6"/>
      <c r="AV125" s="79"/>
      <c r="AW125" s="6"/>
      <c r="AX125" s="6"/>
      <c r="AY125" s="6"/>
      <c r="AZ125" s="6"/>
      <c r="BA125" s="79"/>
      <c r="BB125" s="6"/>
      <c r="BC125" s="6"/>
      <c r="BD125" s="6"/>
      <c r="BE125" s="6"/>
      <c r="BF125" s="79"/>
      <c r="BG125" s="6"/>
      <c r="BH125" s="6"/>
      <c r="BI125" s="82"/>
      <c r="BJ125" s="6"/>
      <c r="BK125" s="79"/>
      <c r="BL125" s="6"/>
      <c r="BM125" s="6"/>
      <c r="BN125" s="6"/>
      <c r="BO125" s="6"/>
      <c r="BP125" s="232"/>
      <c r="BQ125" s="6"/>
      <c r="BR125" s="6"/>
      <c r="BS125" s="6"/>
      <c r="BT125" s="6"/>
      <c r="BU125" s="112"/>
      <c r="BV125" s="6"/>
      <c r="BW125" s="6"/>
      <c r="BX125" s="6"/>
      <c r="BY125" s="6"/>
      <c r="BZ125" s="112"/>
      <c r="CA125" s="6"/>
      <c r="CB125" s="6"/>
      <c r="CC125" s="6"/>
      <c r="CD125" s="6"/>
      <c r="CE125" s="112">
        <v>-0.22</v>
      </c>
      <c r="CF125" s="6"/>
      <c r="CG125" s="6"/>
      <c r="CH125" s="6"/>
      <c r="CI125" s="6"/>
      <c r="CJ125" s="112">
        <f t="shared" ref="CJ125" si="321">+CJ124/CE124-1</f>
        <v>-0.22413793103448276</v>
      </c>
      <c r="CK125" s="6"/>
      <c r="CL125" s="6"/>
      <c r="CM125" s="6"/>
      <c r="CN125" s="6"/>
      <c r="CO125" s="112">
        <f t="shared" ref="CO125" si="322">+CO124/CJ124-1</f>
        <v>6.6666666666666652E-2</v>
      </c>
      <c r="CP125" s="6"/>
      <c r="CQ125" s="6"/>
      <c r="CR125" s="6"/>
      <c r="CS125" s="6"/>
      <c r="CT125" s="112">
        <f t="shared" ref="CT125" si="323">+CT124/CO124-1</f>
        <v>2.0833333333333259E-2</v>
      </c>
      <c r="CU125" s="6"/>
      <c r="CV125" s="6"/>
      <c r="CW125" s="6"/>
      <c r="CX125" s="6"/>
      <c r="CY125" s="79"/>
      <c r="CZ125" s="6"/>
      <c r="DA125" s="6"/>
      <c r="DB125" s="6"/>
      <c r="DC125" s="6"/>
      <c r="DD125" s="79"/>
      <c r="DE125" s="6"/>
      <c r="DF125" s="6"/>
      <c r="DG125" s="6"/>
      <c r="DH125" s="6"/>
      <c r="DI125" s="79"/>
    </row>
    <row r="126" spans="1:113" ht="12" hidden="1" customHeight="1" outlineLevel="1">
      <c r="A126" s="219"/>
      <c r="B126" s="491" t="s">
        <v>173</v>
      </c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6"/>
      <c r="Q126" s="79"/>
      <c r="R126" s="6"/>
      <c r="S126" s="6"/>
      <c r="T126" s="6"/>
      <c r="U126" s="6"/>
      <c r="V126" s="79"/>
      <c r="W126" s="6"/>
      <c r="X126" s="6"/>
      <c r="Y126" s="6"/>
      <c r="Z126" s="6"/>
      <c r="AA126" s="79"/>
      <c r="AB126" s="79"/>
      <c r="AC126" s="6"/>
      <c r="AD126" s="6"/>
      <c r="AE126" s="6"/>
      <c r="AF126" s="6"/>
      <c r="AG126" s="79"/>
      <c r="AH126" s="6"/>
      <c r="AI126" s="6"/>
      <c r="AJ126" s="6"/>
      <c r="AK126" s="6"/>
      <c r="AL126" s="79"/>
      <c r="AM126" s="6"/>
      <c r="AN126" s="6"/>
      <c r="AO126" s="6"/>
      <c r="AP126" s="6"/>
      <c r="AQ126" s="79"/>
      <c r="AR126" s="6"/>
      <c r="AS126" s="6"/>
      <c r="AT126" s="6"/>
      <c r="AU126" s="6"/>
      <c r="AV126" s="79"/>
      <c r="AW126" s="6"/>
      <c r="AX126" s="6"/>
      <c r="AY126" s="6"/>
      <c r="AZ126" s="6"/>
      <c r="BA126" s="79"/>
      <c r="BB126" s="6"/>
      <c r="BC126" s="6"/>
      <c r="BD126" s="6"/>
      <c r="BE126" s="6"/>
      <c r="BF126" s="79"/>
      <c r="BG126" s="6"/>
      <c r="BH126" s="6"/>
      <c r="BI126" s="82"/>
      <c r="BJ126" s="6"/>
      <c r="BK126" s="79"/>
      <c r="BL126" s="6"/>
      <c r="BM126" s="6"/>
      <c r="BN126" s="6"/>
      <c r="BO126" s="6"/>
      <c r="BP126" s="232"/>
      <c r="BQ126" s="6"/>
      <c r="BR126" s="6"/>
      <c r="BS126" s="6"/>
      <c r="BT126" s="6"/>
      <c r="BU126" s="492"/>
      <c r="BV126" s="6"/>
      <c r="BW126" s="6"/>
      <c r="BX126" s="6"/>
      <c r="BY126" s="6"/>
      <c r="BZ126" s="492"/>
      <c r="CA126" s="6"/>
      <c r="CB126" s="6"/>
      <c r="CC126" s="6"/>
      <c r="CD126" s="6"/>
      <c r="CE126" s="232" t="s">
        <v>126</v>
      </c>
      <c r="CF126" s="6"/>
      <c r="CG126" s="6"/>
      <c r="CH126" s="6"/>
      <c r="CI126" s="6"/>
      <c r="CJ126" s="492">
        <v>-0.25</v>
      </c>
      <c r="CK126" s="6"/>
      <c r="CL126" s="6"/>
      <c r="CM126" s="6"/>
      <c r="CN126" s="6"/>
      <c r="CO126" s="492">
        <v>-1.06</v>
      </c>
      <c r="CP126" s="6"/>
      <c r="CQ126" s="6"/>
      <c r="CR126" s="6"/>
      <c r="CS126" s="6"/>
      <c r="CT126" s="492">
        <v>0.02</v>
      </c>
      <c r="CU126" s="6"/>
      <c r="CV126" s="6"/>
      <c r="CW126" s="6"/>
      <c r="CX126" s="6"/>
      <c r="CY126" s="79"/>
      <c r="CZ126" s="6"/>
      <c r="DA126" s="6"/>
      <c r="DB126" s="6"/>
      <c r="DC126" s="6"/>
      <c r="DD126" s="79"/>
      <c r="DE126" s="6"/>
      <c r="DF126" s="6"/>
      <c r="DG126" s="6"/>
      <c r="DH126" s="6"/>
      <c r="DI126" s="79"/>
    </row>
    <row r="127" spans="1:113" ht="12" hidden="1" customHeight="1" outlineLevel="1">
      <c r="A127" s="219"/>
      <c r="B127" s="491" t="s">
        <v>375</v>
      </c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6"/>
      <c r="Q127" s="79"/>
      <c r="R127" s="6"/>
      <c r="S127" s="6"/>
      <c r="T127" s="6"/>
      <c r="U127" s="6"/>
      <c r="V127" s="79"/>
      <c r="W127" s="6"/>
      <c r="X127" s="6"/>
      <c r="Y127" s="6"/>
      <c r="Z127" s="6"/>
      <c r="AA127" s="79"/>
      <c r="AB127" s="79"/>
      <c r="AC127" s="6"/>
      <c r="AD127" s="6"/>
      <c r="AE127" s="6"/>
      <c r="AF127" s="6"/>
      <c r="AG127" s="79"/>
      <c r="AH127" s="6"/>
      <c r="AI127" s="6"/>
      <c r="AJ127" s="6"/>
      <c r="AK127" s="6"/>
      <c r="AL127" s="79"/>
      <c r="AM127" s="6"/>
      <c r="AN127" s="6"/>
      <c r="AO127" s="6"/>
      <c r="AP127" s="6"/>
      <c r="AQ127" s="79"/>
      <c r="AR127" s="6"/>
      <c r="AS127" s="6"/>
      <c r="AT127" s="6"/>
      <c r="AU127" s="6"/>
      <c r="AV127" s="79"/>
      <c r="AW127" s="6"/>
      <c r="AX127" s="6"/>
      <c r="AY127" s="6"/>
      <c r="AZ127" s="6"/>
      <c r="BA127" s="79"/>
      <c r="BB127" s="6"/>
      <c r="BC127" s="6"/>
      <c r="BD127" s="6"/>
      <c r="BE127" s="6"/>
      <c r="BF127" s="79"/>
      <c r="BG127" s="6"/>
      <c r="BH127" s="6"/>
      <c r="BI127" s="82"/>
      <c r="BJ127" s="6"/>
      <c r="BK127" s="79"/>
      <c r="BL127" s="6"/>
      <c r="BM127" s="6"/>
      <c r="BN127" s="6"/>
      <c r="BO127" s="6"/>
      <c r="BP127" s="42"/>
      <c r="BQ127" s="6"/>
      <c r="BR127" s="6"/>
      <c r="BS127" s="6"/>
      <c r="BT127" s="6"/>
      <c r="BU127" s="42"/>
      <c r="BV127" s="6"/>
      <c r="BW127" s="6"/>
      <c r="BX127" s="6"/>
      <c r="BY127" s="6"/>
      <c r="BZ127" s="42"/>
      <c r="CA127" s="376"/>
      <c r="CB127" s="6"/>
      <c r="CC127" s="6"/>
      <c r="CD127" s="6"/>
      <c r="CE127" s="112">
        <f>CE124/CE$128</f>
        <v>1.1894264093677584E-3</v>
      </c>
      <c r="CF127" s="376"/>
      <c r="CG127" s="6"/>
      <c r="CH127" s="6"/>
      <c r="CI127" s="6"/>
      <c r="CJ127" s="112">
        <f>CJ124/CJ$128</f>
        <v>9.1237176108024812E-4</v>
      </c>
      <c r="CK127" s="6"/>
      <c r="CL127" s="6"/>
      <c r="CM127" s="6"/>
      <c r="CN127" s="6"/>
      <c r="CO127" s="112">
        <f>CO124/CO$128</f>
        <v>1.0734892874714854E-3</v>
      </c>
      <c r="CP127" s="6"/>
      <c r="CQ127" s="6"/>
      <c r="CR127" s="6"/>
      <c r="CS127" s="6"/>
      <c r="CT127" s="112"/>
      <c r="CU127" s="6"/>
      <c r="CV127" s="6"/>
      <c r="CW127" s="6"/>
      <c r="CX127" s="6"/>
      <c r="CY127" s="79"/>
      <c r="CZ127" s="6"/>
      <c r="DA127" s="6"/>
      <c r="DB127" s="6"/>
      <c r="DC127" s="6"/>
      <c r="DD127" s="79"/>
      <c r="DE127" s="6"/>
      <c r="DF127" s="6"/>
      <c r="DG127" s="6"/>
      <c r="DH127" s="6"/>
      <c r="DI127" s="79"/>
    </row>
    <row r="128" spans="1:113" s="4" customFormat="1" ht="12" hidden="1" customHeight="1" outlineLevel="1">
      <c r="A128" s="560"/>
      <c r="B128" s="75" t="s">
        <v>374</v>
      </c>
      <c r="C128" s="541"/>
      <c r="D128" s="541"/>
      <c r="E128" s="541"/>
      <c r="F128" s="541"/>
      <c r="G128" s="541"/>
      <c r="H128" s="541"/>
      <c r="I128" s="541"/>
      <c r="J128" s="541"/>
      <c r="K128" s="541"/>
      <c r="L128" s="541"/>
      <c r="M128" s="541"/>
      <c r="N128" s="541"/>
      <c r="O128" s="541"/>
      <c r="P128" s="523"/>
      <c r="Q128" s="541"/>
      <c r="R128" s="523"/>
      <c r="S128" s="523"/>
      <c r="T128" s="523"/>
      <c r="U128" s="523"/>
      <c r="V128" s="541"/>
      <c r="W128" s="523"/>
      <c r="X128" s="523"/>
      <c r="Y128" s="523"/>
      <c r="Z128" s="523"/>
      <c r="AA128" s="541"/>
      <c r="AB128" s="541"/>
      <c r="AC128" s="523"/>
      <c r="AD128" s="523"/>
      <c r="AE128" s="523"/>
      <c r="AF128" s="523"/>
      <c r="AG128" s="541"/>
      <c r="AH128" s="523"/>
      <c r="AI128" s="523"/>
      <c r="AJ128" s="523"/>
      <c r="AK128" s="523"/>
      <c r="AL128" s="541"/>
      <c r="AM128" s="523"/>
      <c r="AN128" s="523"/>
      <c r="AO128" s="523"/>
      <c r="AP128" s="523"/>
      <c r="AQ128" s="541"/>
      <c r="AR128" s="523"/>
      <c r="AS128" s="523"/>
      <c r="AT128" s="523"/>
      <c r="AU128" s="523"/>
      <c r="AV128" s="541"/>
      <c r="AW128" s="523"/>
      <c r="AX128" s="523"/>
      <c r="AY128" s="523"/>
      <c r="AZ128" s="523"/>
      <c r="BA128" s="541"/>
      <c r="BB128" s="523"/>
      <c r="BC128" s="523"/>
      <c r="BD128" s="523"/>
      <c r="BE128" s="523"/>
      <c r="BF128" s="541"/>
      <c r="BG128" s="523"/>
      <c r="BH128" s="523"/>
      <c r="BI128" s="561"/>
      <c r="BJ128" s="523"/>
      <c r="BK128" s="541"/>
      <c r="BL128" s="523"/>
      <c r="BM128" s="523"/>
      <c r="BN128" s="523"/>
      <c r="BO128" s="523"/>
      <c r="BP128" s="364"/>
      <c r="BQ128" s="523"/>
      <c r="BR128" s="523"/>
      <c r="BS128" s="523"/>
      <c r="BT128" s="523"/>
      <c r="BU128" s="364"/>
      <c r="BV128" s="523"/>
      <c r="BW128" s="523"/>
      <c r="BX128" s="523"/>
      <c r="BY128" s="523"/>
      <c r="BZ128" s="364"/>
      <c r="CA128" s="539"/>
      <c r="CB128" s="523"/>
      <c r="CC128" s="523"/>
      <c r="CD128" s="523"/>
      <c r="CE128" s="364">
        <f>CE100+CE105+CE110+CE115+CE120+CE124</f>
        <v>48763</v>
      </c>
      <c r="CF128" s="539"/>
      <c r="CG128" s="523"/>
      <c r="CH128" s="523"/>
      <c r="CI128" s="523"/>
      <c r="CJ128" s="364">
        <f>CJ100+CJ105+CJ110+CJ115+CJ120+CJ124</f>
        <v>49322</v>
      </c>
      <c r="CK128" s="523"/>
      <c r="CL128" s="523"/>
      <c r="CM128" s="523"/>
      <c r="CN128" s="523"/>
      <c r="CO128" s="364">
        <f>CO100+CO105+CO110+CO115+CO120+CO124</f>
        <v>44714</v>
      </c>
      <c r="CP128" s="523"/>
      <c r="CQ128" s="523"/>
      <c r="CR128" s="523"/>
      <c r="CS128" s="523"/>
      <c r="CT128" s="364"/>
      <c r="CU128" s="523"/>
      <c r="CV128" s="523"/>
      <c r="CW128" s="523"/>
      <c r="CX128" s="523"/>
      <c r="CY128" s="541"/>
      <c r="CZ128" s="523"/>
      <c r="DA128" s="523"/>
      <c r="DB128" s="523"/>
      <c r="DC128" s="523"/>
      <c r="DD128" s="541"/>
      <c r="DE128" s="523"/>
      <c r="DF128" s="523"/>
      <c r="DG128" s="523"/>
      <c r="DH128" s="523"/>
      <c r="DI128" s="541"/>
    </row>
    <row r="129" spans="1:113" s="4" customFormat="1" ht="12" hidden="1" customHeight="1" outlineLevel="1">
      <c r="A129" s="560"/>
      <c r="B129" s="547" t="s">
        <v>171</v>
      </c>
      <c r="C129" s="541"/>
      <c r="D129" s="541"/>
      <c r="E129" s="541"/>
      <c r="F129" s="541"/>
      <c r="G129" s="541"/>
      <c r="H129" s="541"/>
      <c r="I129" s="541"/>
      <c r="J129" s="541"/>
      <c r="K129" s="541"/>
      <c r="L129" s="541"/>
      <c r="M129" s="541"/>
      <c r="N129" s="541"/>
      <c r="O129" s="541"/>
      <c r="P129" s="523"/>
      <c r="Q129" s="541"/>
      <c r="R129" s="523"/>
      <c r="S129" s="523"/>
      <c r="T129" s="523"/>
      <c r="U129" s="523"/>
      <c r="V129" s="541"/>
      <c r="W129" s="523"/>
      <c r="X129" s="523"/>
      <c r="Y129" s="523"/>
      <c r="Z129" s="523"/>
      <c r="AA129" s="541"/>
      <c r="AB129" s="541"/>
      <c r="AC129" s="523"/>
      <c r="AD129" s="523"/>
      <c r="AE129" s="523"/>
      <c r="AF129" s="523"/>
      <c r="AG129" s="541"/>
      <c r="AH129" s="523"/>
      <c r="AI129" s="523"/>
      <c r="AJ129" s="523"/>
      <c r="AK129" s="523"/>
      <c r="AL129" s="541"/>
      <c r="AM129" s="523"/>
      <c r="AN129" s="523"/>
      <c r="AO129" s="523"/>
      <c r="AP129" s="523"/>
      <c r="AQ129" s="541"/>
      <c r="AR129" s="523"/>
      <c r="AS129" s="523"/>
      <c r="AT129" s="523"/>
      <c r="AU129" s="523"/>
      <c r="AV129" s="541"/>
      <c r="AW129" s="523"/>
      <c r="AX129" s="523"/>
      <c r="AY129" s="523"/>
      <c r="AZ129" s="523"/>
      <c r="BA129" s="541"/>
      <c r="BB129" s="523"/>
      <c r="BC129" s="523"/>
      <c r="BD129" s="523"/>
      <c r="BE129" s="523"/>
      <c r="BF129" s="541"/>
      <c r="BG129" s="523"/>
      <c r="BH129" s="523"/>
      <c r="BI129" s="561"/>
      <c r="BJ129" s="523"/>
      <c r="BK129" s="541"/>
      <c r="BL129" s="523"/>
      <c r="BM129" s="523"/>
      <c r="BN129" s="523"/>
      <c r="BO129" s="523"/>
      <c r="BP129" s="232"/>
      <c r="BQ129" s="523"/>
      <c r="BR129" s="523"/>
      <c r="BS129" s="523"/>
      <c r="BT129" s="523"/>
      <c r="BU129" s="112"/>
      <c r="BV129" s="523"/>
      <c r="BW129" s="523"/>
      <c r="BX129" s="523"/>
      <c r="BY129" s="523"/>
      <c r="BZ129" s="112"/>
      <c r="CA129" s="539"/>
      <c r="CB129" s="523"/>
      <c r="CC129" s="523"/>
      <c r="CD129" s="523"/>
      <c r="CE129" s="232" t="s">
        <v>126</v>
      </c>
      <c r="CF129" s="539"/>
      <c r="CG129" s="523"/>
      <c r="CH129" s="523"/>
      <c r="CI129" s="523"/>
      <c r="CJ129" s="112">
        <f>CJ128/CE128-1</f>
        <v>1.1463609704079003E-2</v>
      </c>
      <c r="CK129" s="523"/>
      <c r="CL129" s="523"/>
      <c r="CM129" s="523"/>
      <c r="CN129" s="523"/>
      <c r="CO129" s="112">
        <f>CO128/CJ128-1</f>
        <v>-9.3426868334617441E-2</v>
      </c>
      <c r="CP129" s="523"/>
      <c r="CQ129" s="523"/>
      <c r="CR129" s="523"/>
      <c r="CS129" s="523"/>
      <c r="CT129" s="112"/>
      <c r="CU129" s="523"/>
      <c r="CV129" s="523"/>
      <c r="CW129" s="523"/>
      <c r="CX129" s="523"/>
      <c r="CY129" s="541"/>
      <c r="CZ129" s="523"/>
      <c r="DA129" s="523"/>
      <c r="DB129" s="523"/>
      <c r="DC129" s="523"/>
      <c r="DD129" s="541"/>
      <c r="DE129" s="523"/>
      <c r="DF129" s="523"/>
      <c r="DG129" s="523"/>
      <c r="DH129" s="523"/>
      <c r="DI129" s="541"/>
    </row>
    <row r="130" spans="1:113" s="3" customFormat="1" ht="12" hidden="1" customHeight="1" outlineLevel="1">
      <c r="A130" s="490"/>
      <c r="B130" s="491" t="s">
        <v>173</v>
      </c>
      <c r="C130" s="550"/>
      <c r="D130" s="550"/>
      <c r="E130" s="550"/>
      <c r="F130" s="550"/>
      <c r="G130" s="550"/>
      <c r="H130" s="550"/>
      <c r="I130" s="550"/>
      <c r="J130" s="550"/>
      <c r="K130" s="550"/>
      <c r="L130" s="550"/>
      <c r="M130" s="550"/>
      <c r="N130" s="550"/>
      <c r="O130" s="550"/>
      <c r="P130" s="549"/>
      <c r="Q130" s="550"/>
      <c r="R130" s="549"/>
      <c r="S130" s="549"/>
      <c r="T130" s="549"/>
      <c r="U130" s="549"/>
      <c r="V130" s="550"/>
      <c r="W130" s="549"/>
      <c r="X130" s="549"/>
      <c r="Y130" s="549"/>
      <c r="Z130" s="549"/>
      <c r="AA130" s="550"/>
      <c r="AB130" s="550"/>
      <c r="AC130" s="549"/>
      <c r="AD130" s="549"/>
      <c r="AE130" s="549"/>
      <c r="AF130" s="549"/>
      <c r="AG130" s="550"/>
      <c r="AH130" s="549"/>
      <c r="AI130" s="549"/>
      <c r="AJ130" s="549"/>
      <c r="AK130" s="549"/>
      <c r="AL130" s="550"/>
      <c r="AM130" s="549"/>
      <c r="AN130" s="549"/>
      <c r="AO130" s="549"/>
      <c r="AP130" s="549"/>
      <c r="AQ130" s="550"/>
      <c r="AR130" s="549"/>
      <c r="AS130" s="549"/>
      <c r="AT130" s="549"/>
      <c r="AU130" s="549"/>
      <c r="AV130" s="550"/>
      <c r="AW130" s="549"/>
      <c r="AX130" s="549"/>
      <c r="AY130" s="549"/>
      <c r="AZ130" s="549"/>
      <c r="BA130" s="550"/>
      <c r="BB130" s="549"/>
      <c r="BC130" s="549"/>
      <c r="BD130" s="549"/>
      <c r="BE130" s="549"/>
      <c r="BF130" s="550"/>
      <c r="BG130" s="549"/>
      <c r="BH130" s="549"/>
      <c r="BI130" s="111"/>
      <c r="BJ130" s="549"/>
      <c r="BK130" s="550"/>
      <c r="BL130" s="549"/>
      <c r="BM130" s="549"/>
      <c r="BN130" s="549"/>
      <c r="BO130" s="549"/>
      <c r="BP130" s="232"/>
      <c r="BQ130" s="549"/>
      <c r="BR130" s="549"/>
      <c r="BS130" s="549"/>
      <c r="BT130" s="549"/>
      <c r="BU130" s="112"/>
      <c r="BV130" s="549"/>
      <c r="BW130" s="549"/>
      <c r="BX130" s="549"/>
      <c r="BY130" s="549"/>
      <c r="BZ130" s="112"/>
      <c r="CA130" s="522"/>
      <c r="CB130" s="549"/>
      <c r="CC130" s="549"/>
      <c r="CD130" s="549"/>
      <c r="CE130" s="232" t="s">
        <v>126</v>
      </c>
      <c r="CF130" s="522"/>
      <c r="CG130" s="549"/>
      <c r="CH130" s="549"/>
      <c r="CI130" s="549"/>
      <c r="CJ130" s="112">
        <v>0.01</v>
      </c>
      <c r="CK130" s="549"/>
      <c r="CL130" s="549"/>
      <c r="CM130" s="549"/>
      <c r="CN130" s="549"/>
      <c r="CO130" s="112">
        <v>0.02</v>
      </c>
      <c r="CP130" s="549"/>
      <c r="CQ130" s="549"/>
      <c r="CR130" s="549"/>
      <c r="CS130" s="549"/>
      <c r="CT130" s="112"/>
      <c r="CU130" s="549"/>
      <c r="CV130" s="549"/>
      <c r="CW130" s="549"/>
      <c r="CX130" s="549"/>
      <c r="CY130" s="550"/>
      <c r="CZ130" s="549"/>
      <c r="DA130" s="549"/>
      <c r="DB130" s="549"/>
      <c r="DC130" s="549"/>
      <c r="DD130" s="550"/>
      <c r="DE130" s="549"/>
      <c r="DF130" s="549"/>
      <c r="DG130" s="549"/>
      <c r="DH130" s="549"/>
      <c r="DI130" s="550"/>
    </row>
    <row r="131" spans="1:113" ht="12" hidden="1" customHeight="1" outlineLevel="1">
      <c r="A131" s="219"/>
      <c r="B131" s="17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6"/>
      <c r="Q131" s="79"/>
      <c r="R131" s="6"/>
      <c r="S131" s="6"/>
      <c r="T131" s="6"/>
      <c r="U131" s="6"/>
      <c r="V131" s="79"/>
      <c r="W131" s="6"/>
      <c r="X131" s="6"/>
      <c r="Y131" s="6"/>
      <c r="Z131" s="6"/>
      <c r="AA131" s="79"/>
      <c r="AB131" s="79"/>
      <c r="AC131" s="6"/>
      <c r="AD131" s="6"/>
      <c r="AE131" s="6"/>
      <c r="AF131" s="6"/>
      <c r="AG131" s="79"/>
      <c r="AH131" s="6"/>
      <c r="AI131" s="6"/>
      <c r="AJ131" s="6"/>
      <c r="AK131" s="6"/>
      <c r="AL131" s="79"/>
      <c r="AM131" s="6"/>
      <c r="AN131" s="6"/>
      <c r="AO131" s="6"/>
      <c r="AP131" s="6"/>
      <c r="AQ131" s="79"/>
      <c r="AR131" s="6"/>
      <c r="AS131" s="6"/>
      <c r="AT131" s="6"/>
      <c r="AU131" s="6"/>
      <c r="AV131" s="79"/>
      <c r="AW131" s="6"/>
      <c r="AX131" s="6"/>
      <c r="AY131" s="6"/>
      <c r="AZ131" s="6"/>
      <c r="BA131" s="79"/>
      <c r="BB131" s="6"/>
      <c r="BC131" s="6"/>
      <c r="BD131" s="6"/>
      <c r="BE131" s="6"/>
      <c r="BF131" s="79"/>
      <c r="BG131" s="6"/>
      <c r="BH131" s="6"/>
      <c r="BI131" s="82"/>
      <c r="BJ131" s="6"/>
      <c r="BK131" s="79"/>
      <c r="BL131" s="6"/>
      <c r="BM131" s="6"/>
      <c r="BN131" s="6"/>
      <c r="BO131" s="6"/>
      <c r="BP131" s="79"/>
      <c r="BQ131" s="6"/>
      <c r="BR131" s="6"/>
      <c r="BS131" s="6"/>
      <c r="BT131" s="6"/>
      <c r="BU131" s="79"/>
      <c r="BV131" s="6"/>
      <c r="BW131" s="6"/>
      <c r="BX131" s="6"/>
      <c r="BY131" s="6"/>
      <c r="BZ131" s="79"/>
      <c r="CA131" s="6"/>
      <c r="CB131" s="6"/>
      <c r="CC131" s="6"/>
      <c r="CD131" s="6"/>
      <c r="CE131" s="79"/>
      <c r="CF131" s="6"/>
      <c r="CG131" s="6"/>
      <c r="CH131" s="6"/>
      <c r="CI131" s="6"/>
      <c r="CJ131" s="79"/>
      <c r="CK131" s="6"/>
      <c r="CL131" s="6"/>
      <c r="CM131" s="6"/>
      <c r="CN131" s="6"/>
      <c r="CO131" s="79"/>
      <c r="CP131" s="6"/>
      <c r="CQ131" s="6"/>
      <c r="CR131" s="6"/>
      <c r="CS131" s="6"/>
      <c r="CT131" s="79"/>
      <c r="CU131" s="6"/>
      <c r="CV131" s="6"/>
      <c r="CW131" s="6"/>
      <c r="CX131" s="6"/>
      <c r="CY131" s="79"/>
      <c r="CZ131" s="6"/>
      <c r="DA131" s="6"/>
      <c r="DB131" s="6"/>
      <c r="DC131" s="6"/>
      <c r="DD131" s="79"/>
      <c r="DE131" s="6"/>
      <c r="DF131" s="6"/>
      <c r="DG131" s="6"/>
      <c r="DH131" s="6"/>
      <c r="DI131" s="79"/>
    </row>
    <row r="132" spans="1:113" s="3" customFormat="1" ht="12" hidden="1" customHeight="1" outlineLevel="1">
      <c r="A132" s="219" t="str">
        <f t="shared" si="0"/>
        <v xml:space="preserve"> </v>
      </c>
      <c r="B132" s="74" t="s">
        <v>61</v>
      </c>
      <c r="C132" s="36">
        <f>'2. Consolidated'!C59</f>
        <v>-3906.7460000000001</v>
      </c>
      <c r="D132" s="36">
        <f>'2. Consolidated'!D59</f>
        <v>-5502.9930000000004</v>
      </c>
      <c r="E132" s="36">
        <f>'2. Consolidated'!E59</f>
        <v>-6065.4</v>
      </c>
      <c r="F132" s="36">
        <f>'2. Consolidated'!F59</f>
        <v>-5493.5</v>
      </c>
      <c r="G132" s="36">
        <f>'2. Consolidated'!G59</f>
        <v>-5403.8</v>
      </c>
      <c r="H132" s="36">
        <f>'2. Consolidated'!H59</f>
        <v>-5784.9</v>
      </c>
      <c r="I132" s="36">
        <f>'2. Consolidated'!I59</f>
        <v>-6004.7</v>
      </c>
      <c r="J132" s="36">
        <f>'2. Consolidated'!J59</f>
        <v>-6313.6</v>
      </c>
      <c r="K132" s="36">
        <f>'2. Consolidated'!K59</f>
        <v>-7001.4</v>
      </c>
      <c r="L132" s="36">
        <f>'2. Consolidated'!L59</f>
        <v>-7624.3</v>
      </c>
      <c r="M132" s="36">
        <f>'2. Consolidated'!M59</f>
        <v>-8367.9</v>
      </c>
      <c r="N132" s="36">
        <f>'2. Consolidated'!N59</f>
        <v>-9165.4</v>
      </c>
      <c r="O132" s="36">
        <f>'2. Consolidated'!O59</f>
        <v>-10239.6</v>
      </c>
      <c r="P132" s="43">
        <f>'2. Consolidated'!P59</f>
        <v>-10571.7</v>
      </c>
      <c r="Q132" s="36">
        <f>'2. Consolidated'!Q59</f>
        <v>-10213.599999999999</v>
      </c>
      <c r="R132" s="43">
        <f>'2. Consolidated'!R59</f>
        <v>-2741</v>
      </c>
      <c r="S132" s="43">
        <f>'2. Consolidated'!S59</f>
        <v>-2649</v>
      </c>
      <c r="T132" s="43">
        <f>'2. Consolidated'!T59</f>
        <v>-2752</v>
      </c>
      <c r="U132" s="43">
        <f>'2. Consolidated'!U59</f>
        <v>-3212</v>
      </c>
      <c r="V132" s="36">
        <f>'2. Consolidated'!V59</f>
        <v>-11354</v>
      </c>
      <c r="W132" s="43">
        <f>'2. Consolidated'!W59</f>
        <v>-3388</v>
      </c>
      <c r="X132" s="43">
        <f>'2. Consolidated'!X59</f>
        <v>-3281</v>
      </c>
      <c r="Y132" s="43">
        <f>'2. Consolidated'!Y59</f>
        <v>-3285</v>
      </c>
      <c r="Z132" s="43">
        <f>'2. Consolidated'!Z59</f>
        <v>-3703</v>
      </c>
      <c r="AA132" s="36">
        <f>'2. Consolidated'!AA59</f>
        <v>-13657</v>
      </c>
      <c r="AB132" s="36">
        <f>'2. Consolidated'!AB59</f>
        <v>-13183</v>
      </c>
      <c r="AC132" s="43">
        <f>'2. Consolidated'!AC59</f>
        <v>-3646</v>
      </c>
      <c r="AD132" s="43">
        <f>'2. Consolidated'!AD59</f>
        <v>-3425</v>
      </c>
      <c r="AE132" s="43">
        <f>'2. Consolidated'!AE59</f>
        <v>-3451</v>
      </c>
      <c r="AF132" s="43">
        <f>'2. Consolidated'!AF59</f>
        <v>-3757</v>
      </c>
      <c r="AG132" s="36">
        <f>'2. Consolidated'!AG59</f>
        <v>-14279</v>
      </c>
      <c r="AH132" s="43">
        <f>'2. Consolidated'!AH59</f>
        <v>-3839</v>
      </c>
      <c r="AI132" s="43">
        <f>'2. Consolidated'!AI59</f>
        <v>-3605</v>
      </c>
      <c r="AJ132" s="43">
        <f>'2. Consolidated'!AJ59</f>
        <v>-3869</v>
      </c>
      <c r="AK132" s="43">
        <f>'2. Consolidated'!AK59</f>
        <v>-4040</v>
      </c>
      <c r="AL132" s="36">
        <f>'2. Consolidated'!AL59</f>
        <v>-15353</v>
      </c>
      <c r="AM132" s="43">
        <f>'2. Consolidated'!AM59</f>
        <v>-4261</v>
      </c>
      <c r="AN132" s="43">
        <f>'2. Consolidated'!AN59</f>
        <v>-4053</v>
      </c>
      <c r="AO132" s="43">
        <f>'2. Consolidated'!AO59</f>
        <v>-4034</v>
      </c>
      <c r="AP132" s="43">
        <f>'2. Consolidated'!AP59</f>
        <v>-4186</v>
      </c>
      <c r="AQ132" s="36">
        <f>'2. Consolidated'!AQ59</f>
        <v>-16534</v>
      </c>
      <c r="AR132" s="43">
        <f>'2. Consolidated'!AR59</f>
        <v>-4419</v>
      </c>
      <c r="AS132" s="43">
        <f>'2. Consolidated'!AS59</f>
        <v>-4185</v>
      </c>
      <c r="AT132" s="43">
        <f>'2. Consolidated'!AT59</f>
        <v>-4343</v>
      </c>
      <c r="AU132" s="43">
        <f>'2. Consolidated'!AU59</f>
        <v>-4458</v>
      </c>
      <c r="AV132" s="36">
        <f>'2. Consolidated'!AV59</f>
        <v>-17405</v>
      </c>
      <c r="AW132" s="43">
        <f>'2. Consolidated'!AW59</f>
        <v>-4938</v>
      </c>
      <c r="AX132" s="43">
        <f>'2. Consolidated'!AX59</f>
        <v>-4564</v>
      </c>
      <c r="AY132" s="43">
        <f>'2. Consolidated'!AY59</f>
        <v>-4682</v>
      </c>
      <c r="AZ132" s="43">
        <f>'2. Consolidated'!AZ59</f>
        <v>-4854</v>
      </c>
      <c r="BA132" s="36">
        <f>'2. Consolidated'!BA59</f>
        <v>-19038</v>
      </c>
      <c r="BB132" s="43">
        <f>'2. Consolidated'!BB59</f>
        <v>-5108</v>
      </c>
      <c r="BC132" s="43">
        <f>'2. Consolidated'!BC59</f>
        <v>-4876</v>
      </c>
      <c r="BD132" s="43">
        <f>'2. Consolidated'!BD59</f>
        <v>-5046</v>
      </c>
      <c r="BE132" s="43">
        <f>'2. Consolidated'!BE59</f>
        <v>-5411</v>
      </c>
      <c r="BF132" s="36">
        <f>'2. Consolidated'!BF59</f>
        <v>-20441</v>
      </c>
      <c r="BG132" s="43">
        <f>'2. Consolidated'!BG59</f>
        <v>-5551</v>
      </c>
      <c r="BH132" s="43">
        <f>'2. Consolidated'!BH59</f>
        <v>-5269</v>
      </c>
      <c r="BI132" s="43">
        <f>'2. Consolidated'!BI59</f>
        <v>-5272</v>
      </c>
      <c r="BJ132" s="43">
        <f>'2. Consolidated'!BJ59</f>
        <v>-5551</v>
      </c>
      <c r="BK132" s="36">
        <f>'2. Consolidated'!BK59</f>
        <v>-21643</v>
      </c>
      <c r="BL132" s="43">
        <f>'2. Consolidated'!BL59</f>
        <v>-5789</v>
      </c>
      <c r="BM132" s="43">
        <f>'2. Consolidated'!BM59</f>
        <v>-5782</v>
      </c>
      <c r="BN132" s="43">
        <f>'2. Consolidated'!BN59</f>
        <v>-5631</v>
      </c>
      <c r="BO132" s="43">
        <f>'2. Consolidated'!BO59</f>
        <v>-3960</v>
      </c>
      <c r="BP132" s="36">
        <f>'2. Consolidated'!BP59</f>
        <v>-21162</v>
      </c>
      <c r="BQ132" s="43">
        <f>'2. Consolidated'!BQ59</f>
        <v>-5853</v>
      </c>
      <c r="BR132" s="43">
        <f>'2. Consolidated'!BR59</f>
        <v>-6396</v>
      </c>
      <c r="BS132" s="43">
        <f>'2. Consolidated'!BS59</f>
        <v>-5638</v>
      </c>
      <c r="BT132" s="43">
        <f>'2. Consolidated'!BT59</f>
        <v>-6689</v>
      </c>
      <c r="BU132" s="36">
        <f>'2. Consolidated'!BU59</f>
        <v>-24576</v>
      </c>
      <c r="BV132" s="43">
        <f>'2. Consolidated'!BV59</f>
        <v>-6552</v>
      </c>
      <c r="BW132" s="43">
        <f>'2. Consolidated'!BW59</f>
        <v>-6144</v>
      </c>
      <c r="BX132" s="43">
        <f>'2. Consolidated'!BX59</f>
        <v>-5804</v>
      </c>
      <c r="BY132" s="43">
        <f>'2. Consolidated'!BY59</f>
        <v>-6731</v>
      </c>
      <c r="BZ132" s="36">
        <f>'2. Consolidated'!BZ59</f>
        <v>-25231</v>
      </c>
      <c r="CA132" s="43">
        <f>'2. Consolidated'!CA59</f>
        <v>-7072</v>
      </c>
      <c r="CB132" s="43">
        <f>'2. Consolidated'!CB59</f>
        <v>-7604</v>
      </c>
      <c r="CC132" s="43">
        <f>'2. Consolidated'!CC59</f>
        <v>-7019</v>
      </c>
      <c r="CD132" s="43">
        <f>'2. Consolidated'!CD59</f>
        <v>-7230</v>
      </c>
      <c r="CE132" s="36">
        <f>'2. Consolidated'!CE59</f>
        <v>-28925</v>
      </c>
      <c r="CF132" s="43">
        <f>'2. Consolidated'!CF59</f>
        <v>-7219</v>
      </c>
      <c r="CG132" s="43">
        <f>'2. Consolidated'!CG59</f>
        <v>-7417</v>
      </c>
      <c r="CH132" s="43">
        <f>'2. Consolidated'!CH59</f>
        <v>-6804</v>
      </c>
      <c r="CI132" s="43">
        <f>'2. Consolidated'!CI59</f>
        <v>-6971</v>
      </c>
      <c r="CJ132" s="36">
        <f>'2. Consolidated'!CJ59</f>
        <v>-28411</v>
      </c>
      <c r="CK132" s="43">
        <f>'2. Consolidated'!CK59</f>
        <v>-6332</v>
      </c>
      <c r="CL132" s="43">
        <f>'2. Consolidated'!CL59</f>
        <v>-6965</v>
      </c>
      <c r="CM132" s="43">
        <f>'2. Consolidated'!CM59</f>
        <v>-6594</v>
      </c>
      <c r="CN132" s="43">
        <f>'2. Consolidated'!CN59</f>
        <v>-6628</v>
      </c>
      <c r="CO132" s="36">
        <f>'2. Consolidated'!CO59</f>
        <v>-26519</v>
      </c>
      <c r="CP132" s="43">
        <f>'2. Consolidated'!CP59</f>
        <v>-6777</v>
      </c>
      <c r="CQ132" s="43">
        <f>'2. Consolidated'!CQ59</f>
        <v>-7382</v>
      </c>
      <c r="CR132" s="43">
        <f>'2. Consolidated'!CR59</f>
        <v>-6749</v>
      </c>
      <c r="CS132" s="43">
        <f>'2. Consolidated'!CS59</f>
        <v>-5579</v>
      </c>
      <c r="CT132" s="36">
        <f>'2. Consolidated'!CT59</f>
        <v>-26487</v>
      </c>
      <c r="CU132" s="43">
        <f>'2. Consolidated'!CU59</f>
        <v>-6415</v>
      </c>
      <c r="CV132" s="43">
        <f>'2. Consolidated'!CV59</f>
        <v>-6445.5899097472793</v>
      </c>
      <c r="CW132" s="43">
        <f>'2. Consolidated'!CW59</f>
        <v>-6218.3071732793633</v>
      </c>
      <c r="CX132" s="43">
        <f>'2. Consolidated'!CX59</f>
        <v>-5913.7480506960983</v>
      </c>
      <c r="CY132" s="36">
        <f>'2. Consolidated'!CY59</f>
        <v>-24992.645133722741</v>
      </c>
      <c r="CZ132" s="43">
        <f>'2. Consolidated'!CZ59</f>
        <v>-5960.4624853868409</v>
      </c>
      <c r="DA132" s="43">
        <f>'2. Consolidated'!DA59</f>
        <v>-6164.5072504690825</v>
      </c>
      <c r="DB132" s="43">
        <f>'2. Consolidated'!DB59</f>
        <v>-6049.1611354469742</v>
      </c>
      <c r="DC132" s="43">
        <f>'2. Consolidated'!DC59</f>
        <v>-5762.0634679617979</v>
      </c>
      <c r="DD132" s="36">
        <f>'2. Consolidated'!DD59</f>
        <v>-23936.194339264697</v>
      </c>
      <c r="DE132" s="43">
        <f>'2. Consolidated'!DE59</f>
        <v>-5927.6529508941621</v>
      </c>
      <c r="DF132" s="43">
        <f>'2. Consolidated'!DF59</f>
        <v>-6139.9022191275726</v>
      </c>
      <c r="DG132" s="43">
        <f>'2. Consolidated'!DG59</f>
        <v>-6055.4901436400942</v>
      </c>
      <c r="DH132" s="43">
        <f>'2. Consolidated'!DH59</f>
        <v>-5769.2890463569183</v>
      </c>
      <c r="DI132" s="36">
        <f>'2. Consolidated'!DI59</f>
        <v>-23892.334360018751</v>
      </c>
    </row>
    <row r="133" spans="1:113" ht="12" hidden="1" customHeight="1" outlineLevel="1">
      <c r="A133" s="219" t="str">
        <f t="shared" si="0"/>
        <v xml:space="preserve"> </v>
      </c>
      <c r="B133" s="75" t="s">
        <v>2</v>
      </c>
      <c r="C133" s="364">
        <f>'2. Consolidated'!C60</f>
        <v>2563.8789999999999</v>
      </c>
      <c r="D133" s="364">
        <f>'2. Consolidated'!D60</f>
        <v>3683.5460000000003</v>
      </c>
      <c r="E133" s="364">
        <f>'2. Consolidated'!E60</f>
        <v>3487.6999999999989</v>
      </c>
      <c r="F133" s="364">
        <f>'2. Consolidated'!F60</f>
        <v>3283.4000000000015</v>
      </c>
      <c r="G133" s="364">
        <f>'2. Consolidated'!G60</f>
        <v>3591.3</v>
      </c>
      <c r="H133" s="364">
        <f>'2. Consolidated'!H60</f>
        <v>3703.8999999999996</v>
      </c>
      <c r="I133" s="364">
        <f>'2. Consolidated'!I60</f>
        <v>3888.3</v>
      </c>
      <c r="J133" s="364">
        <f>'2. Consolidated'!J60</f>
        <v>4383.3999999999996</v>
      </c>
      <c r="K133" s="364">
        <f>'2. Consolidated'!K60</f>
        <v>5251.7000000000007</v>
      </c>
      <c r="L133" s="364">
        <f>'2. Consolidated'!L60</f>
        <v>6115.3999999999987</v>
      </c>
      <c r="M133" s="364">
        <f>'2. Consolidated'!M60</f>
        <v>6587</v>
      </c>
      <c r="N133" s="364">
        <f>'2. Consolidated'!N60</f>
        <v>7160.5000000000018</v>
      </c>
      <c r="O133" s="364">
        <f>'2. Consolidated'!O60</f>
        <v>8387.4</v>
      </c>
      <c r="P133" s="363">
        <f>'2. Consolidated'!P60</f>
        <v>8604.3999999999978</v>
      </c>
      <c r="Q133" s="364">
        <f>'2. Consolidated'!Q60</f>
        <v>8800.4000000000015</v>
      </c>
      <c r="R133" s="363">
        <f>'2. Consolidated'!R60</f>
        <v>2434</v>
      </c>
      <c r="S133" s="363">
        <f>'2. Consolidated'!S60</f>
        <v>2193</v>
      </c>
      <c r="T133" s="363">
        <f>'2. Consolidated'!T60</f>
        <v>2327</v>
      </c>
      <c r="U133" s="363">
        <f>'2. Consolidated'!U60</f>
        <v>2554</v>
      </c>
      <c r="V133" s="364">
        <f>'2. Consolidated'!V60</f>
        <v>9508</v>
      </c>
      <c r="W133" s="363">
        <f>'2. Consolidated'!W60</f>
        <v>2693</v>
      </c>
      <c r="X133" s="363">
        <f>'2. Consolidated'!X60</f>
        <v>2450</v>
      </c>
      <c r="Y133" s="363">
        <f>'2. Consolidated'!Y60</f>
        <v>2561</v>
      </c>
      <c r="Z133" s="363">
        <f>'2. Consolidated'!Z60</f>
        <v>2767</v>
      </c>
      <c r="AA133" s="364">
        <f>'2. Consolidated'!AA60</f>
        <v>10471</v>
      </c>
      <c r="AB133" s="364">
        <f>'2. Consolidated'!AB60</f>
        <v>10148</v>
      </c>
      <c r="AC133" s="363">
        <f>'2. Consolidated'!AC60</f>
        <v>2828</v>
      </c>
      <c r="AD133" s="363">
        <f>'2. Consolidated'!AD60</f>
        <v>2530</v>
      </c>
      <c r="AE133" s="363">
        <f>'2. Consolidated'!AE60</f>
        <v>2736</v>
      </c>
      <c r="AF133" s="363">
        <f>'2. Consolidated'!AF60</f>
        <v>2940</v>
      </c>
      <c r="AG133" s="364">
        <f>'2. Consolidated'!AG60</f>
        <v>11034</v>
      </c>
      <c r="AH133" s="363">
        <f>'2. Consolidated'!AH60</f>
        <v>3132</v>
      </c>
      <c r="AI133" s="363">
        <f>'2. Consolidated'!AI60</f>
        <v>2826</v>
      </c>
      <c r="AJ133" s="363">
        <f>'2. Consolidated'!AJ60</f>
        <v>3103</v>
      </c>
      <c r="AK133" s="363">
        <f>'2. Consolidated'!AK60</f>
        <v>3385</v>
      </c>
      <c r="AL133" s="364">
        <f>'2. Consolidated'!AL60</f>
        <v>12446</v>
      </c>
      <c r="AM133" s="363">
        <f>'2. Consolidated'!AM60</f>
        <v>3721</v>
      </c>
      <c r="AN133" s="363">
        <f>'2. Consolidated'!AN60</f>
        <v>3327</v>
      </c>
      <c r="AO133" s="363">
        <f>'2. Consolidated'!AO60</f>
        <v>3426</v>
      </c>
      <c r="AP133" s="363">
        <f>'2. Consolidated'!AP60</f>
        <v>3593</v>
      </c>
      <c r="AQ133" s="364">
        <f>'2. Consolidated'!AQ60</f>
        <v>14067</v>
      </c>
      <c r="AR133" s="363">
        <f>'2. Consolidated'!AR60</f>
        <v>3995</v>
      </c>
      <c r="AS133" s="363">
        <f>'2. Consolidated'!AS60</f>
        <v>3501</v>
      </c>
      <c r="AT133" s="363">
        <f>'2. Consolidated'!AT60</f>
        <v>3689</v>
      </c>
      <c r="AU133" s="363">
        <f>'2. Consolidated'!AU60</f>
        <v>3786</v>
      </c>
      <c r="AV133" s="364">
        <f>'2. Consolidated'!AV60</f>
        <v>14971</v>
      </c>
      <c r="AW133" s="363">
        <f>'2. Consolidated'!AW60</f>
        <v>4123</v>
      </c>
      <c r="AX133" s="363">
        <f>'2. Consolidated'!AX60</f>
        <v>3616</v>
      </c>
      <c r="AY133" s="363">
        <f>'2. Consolidated'!AY60</f>
        <v>3750</v>
      </c>
      <c r="AZ133" s="363">
        <f>'2. Consolidated'!AZ60</f>
        <v>3823</v>
      </c>
      <c r="BA133" s="364">
        <f>'2. Consolidated'!BA60</f>
        <v>15312</v>
      </c>
      <c r="BB133" s="363">
        <f>'2. Consolidated'!BB60</f>
        <v>3962</v>
      </c>
      <c r="BC133" s="363">
        <f>'2. Consolidated'!BC60</f>
        <v>3678</v>
      </c>
      <c r="BD133" s="363">
        <f>'2. Consolidated'!BD60</f>
        <v>3938</v>
      </c>
      <c r="BE133" s="363">
        <f>'2. Consolidated'!BE60</f>
        <v>4378</v>
      </c>
      <c r="BF133" s="364">
        <f>'2. Consolidated'!BF60</f>
        <v>15956</v>
      </c>
      <c r="BG133" s="363">
        <f>'2. Consolidated'!BG60</f>
        <v>4397</v>
      </c>
      <c r="BH133" s="363">
        <f>'2. Consolidated'!BH60</f>
        <v>4105</v>
      </c>
      <c r="BI133" s="363">
        <f>'2. Consolidated'!BI60</f>
        <v>4339</v>
      </c>
      <c r="BJ133" s="363">
        <f>'2. Consolidated'!BJ60</f>
        <v>4633</v>
      </c>
      <c r="BK133" s="364">
        <f>'2. Consolidated'!BK60</f>
        <v>17474</v>
      </c>
      <c r="BL133" s="363">
        <f>'2. Consolidated'!BL60</f>
        <v>4871</v>
      </c>
      <c r="BM133" s="363">
        <f>'2. Consolidated'!BM60</f>
        <v>4544</v>
      </c>
      <c r="BN133" s="363">
        <f>'2. Consolidated'!BN60</f>
        <v>4473</v>
      </c>
      <c r="BO133" s="363">
        <f>'2. Consolidated'!BO60</f>
        <v>2353</v>
      </c>
      <c r="BP133" s="364">
        <f>'2. Consolidated'!BP60</f>
        <v>16241</v>
      </c>
      <c r="BQ133" s="363">
        <f>'2. Consolidated'!BQ60</f>
        <v>4741</v>
      </c>
      <c r="BR133" s="363">
        <f>'2. Consolidated'!BR60</f>
        <v>4847</v>
      </c>
      <c r="BS133" s="363">
        <f>'2. Consolidated'!BS60</f>
        <v>4719</v>
      </c>
      <c r="BT133" s="363">
        <f>'2. Consolidated'!BT60</f>
        <v>5655</v>
      </c>
      <c r="BU133" s="364">
        <f>'2. Consolidated'!BU60</f>
        <v>19962</v>
      </c>
      <c r="BV133" s="363">
        <f>'2. Consolidated'!BV60</f>
        <v>5696</v>
      </c>
      <c r="BW133" s="363">
        <f>'2. Consolidated'!BW60</f>
        <v>5213</v>
      </c>
      <c r="BX133" s="363">
        <f>'2. Consolidated'!BX60</f>
        <v>5067</v>
      </c>
      <c r="BY133" s="363">
        <f>'2. Consolidated'!BY60</f>
        <v>5503</v>
      </c>
      <c r="BZ133" s="364">
        <f>'2. Consolidated'!BZ60</f>
        <v>21479</v>
      </c>
      <c r="CA133" s="363">
        <f>'2. Consolidated'!CA60</f>
        <v>5615</v>
      </c>
      <c r="CB133" s="363">
        <f>'2. Consolidated'!CB60</f>
        <v>5711</v>
      </c>
      <c r="CC133" s="363">
        <f>'2. Consolidated'!CC60</f>
        <v>5371</v>
      </c>
      <c r="CD133" s="363">
        <f>'2. Consolidated'!CD60</f>
        <v>5595</v>
      </c>
      <c r="CE133" s="364">
        <f>'2. Consolidated'!CE60</f>
        <v>22292</v>
      </c>
      <c r="CF133" s="363">
        <f>'2. Consolidated'!CF60</f>
        <v>5720</v>
      </c>
      <c r="CG133" s="363">
        <f>'2. Consolidated'!CG60</f>
        <v>5971</v>
      </c>
      <c r="CH133" s="363">
        <f>'2. Consolidated'!CH60</f>
        <v>5625</v>
      </c>
      <c r="CI133" s="363">
        <f>'2. Consolidated'!CI60</f>
        <v>5635</v>
      </c>
      <c r="CJ133" s="364">
        <f>'2. Consolidated'!CJ60</f>
        <v>22951</v>
      </c>
      <c r="CK133" s="363">
        <f>'2. Consolidated'!CK60</f>
        <v>5257</v>
      </c>
      <c r="CL133" s="363">
        <f>'2. Consolidated'!CL60</f>
        <v>5389</v>
      </c>
      <c r="CM133" s="363">
        <f>'2. Consolidated'!CM60</f>
        <v>4675</v>
      </c>
      <c r="CN133" s="363">
        <f>'2. Consolidated'!CN60</f>
        <v>4469</v>
      </c>
      <c r="CO133" s="364">
        <f>'2. Consolidated'!CO60</f>
        <v>19790</v>
      </c>
      <c r="CP133" s="363">
        <f>'2. Consolidated'!CP60</f>
        <v>4943</v>
      </c>
      <c r="CQ133" s="363">
        <f>'2. Consolidated'!CQ60</f>
        <v>5045</v>
      </c>
      <c r="CR133" s="363">
        <f>'2. Consolidated'!CR60</f>
        <v>4530</v>
      </c>
      <c r="CS133" s="363">
        <f>'2. Consolidated'!CS60</f>
        <v>5393</v>
      </c>
      <c r="CT133" s="364">
        <f>'2. Consolidated'!CT60</f>
        <v>19911</v>
      </c>
      <c r="CU133" s="363">
        <f>'2. Consolidated'!CU60</f>
        <v>4798</v>
      </c>
      <c r="CV133" s="363">
        <f>'2. Consolidated'!CV60</f>
        <v>4432.5080302527222</v>
      </c>
      <c r="CW133" s="363">
        <f>'2. Consolidated'!CW60</f>
        <v>4087.6760367206348</v>
      </c>
      <c r="CX133" s="363">
        <f>'2. Consolidated'!CX60</f>
        <v>3967.5953193039004</v>
      </c>
      <c r="CY133" s="364">
        <f>'2. Consolidated'!CY60</f>
        <v>17285.779386277252</v>
      </c>
      <c r="CZ133" s="363">
        <f>'2. Consolidated'!CZ60</f>
        <v>4367.7703246131587</v>
      </c>
      <c r="DA133" s="363">
        <f>'2. Consolidated'!DA60</f>
        <v>4195.5019296309156</v>
      </c>
      <c r="DB133" s="363">
        <f>'2. Consolidated'!DB60</f>
        <v>3976.4859352530248</v>
      </c>
      <c r="DC133" s="363">
        <f>'2. Consolidated'!DC60</f>
        <v>3865.8285488381994</v>
      </c>
      <c r="DD133" s="364">
        <f>'2. Consolidated'!DD60</f>
        <v>16405.5867383353</v>
      </c>
      <c r="DE133" s="363">
        <f>'2. Consolidated'!DE60</f>
        <v>4406.4014389058375</v>
      </c>
      <c r="DF133" s="363">
        <f>'2. Consolidated'!DF60</f>
        <v>4239.8101339784243</v>
      </c>
      <c r="DG133" s="363">
        <f>'2. Consolidated'!DG60</f>
        <v>4039.2033307369056</v>
      </c>
      <c r="DH133" s="363">
        <f>'2. Consolidated'!DH60</f>
        <v>3927.3842189790817</v>
      </c>
      <c r="DI133" s="364">
        <f>'2. Consolidated'!DI60</f>
        <v>16612.799122600249</v>
      </c>
    </row>
    <row r="134" spans="1:113" s="4" customFormat="1" ht="12" hidden="1" customHeight="1" outlineLevel="1">
      <c r="A134" s="219" t="str">
        <f t="shared" si="0"/>
        <v xml:space="preserve"> </v>
      </c>
      <c r="B134" s="110" t="s">
        <v>217</v>
      </c>
      <c r="C134" s="112">
        <f t="shared" ref="C134:AH134" si="324">C133/C20</f>
        <v>0.39623359412730608</v>
      </c>
      <c r="D134" s="112">
        <f t="shared" si="324"/>
        <v>0.40097211800875171</v>
      </c>
      <c r="E134" s="112">
        <f t="shared" si="324"/>
        <v>0.36508567899425309</v>
      </c>
      <c r="F134" s="112">
        <f t="shared" si="324"/>
        <v>0.37409563741184254</v>
      </c>
      <c r="G134" s="112">
        <f t="shared" si="324"/>
        <v>0.39925070316060968</v>
      </c>
      <c r="H134" s="112">
        <f t="shared" si="324"/>
        <v>0.39034440603659049</v>
      </c>
      <c r="I134" s="112">
        <f t="shared" si="324"/>
        <v>0.39303547963206309</v>
      </c>
      <c r="J134" s="112">
        <f t="shared" si="324"/>
        <v>0.40977844255398704</v>
      </c>
      <c r="K134" s="112">
        <f t="shared" si="324"/>
        <v>0.42860174160008491</v>
      </c>
      <c r="L134" s="112">
        <f t="shared" si="324"/>
        <v>0.44508977634155034</v>
      </c>
      <c r="M134" s="52">
        <f t="shared" si="324"/>
        <v>0.44045764264555431</v>
      </c>
      <c r="N134" s="112">
        <f t="shared" si="324"/>
        <v>0.43859756583098031</v>
      </c>
      <c r="O134" s="112">
        <f t="shared" si="324"/>
        <v>0.45028184892897405</v>
      </c>
      <c r="P134" s="52">
        <f t="shared" si="324"/>
        <v>0.44870437680237368</v>
      </c>
      <c r="Q134" s="112">
        <f t="shared" si="324"/>
        <v>0.46283790890922477</v>
      </c>
      <c r="R134" s="52">
        <f t="shared" si="324"/>
        <v>0.47033816425120772</v>
      </c>
      <c r="S134" s="52">
        <f t="shared" si="324"/>
        <v>0.45291201982651796</v>
      </c>
      <c r="T134" s="52">
        <f t="shared" si="324"/>
        <v>0.45816105532585155</v>
      </c>
      <c r="U134" s="52">
        <f t="shared" si="324"/>
        <v>0.4429413805064169</v>
      </c>
      <c r="V134" s="112">
        <f t="shared" si="324"/>
        <v>0.45575687853513563</v>
      </c>
      <c r="W134" s="52">
        <f t="shared" si="324"/>
        <v>0.4428547936194705</v>
      </c>
      <c r="X134" s="52">
        <f t="shared" si="324"/>
        <v>0.42749956377595533</v>
      </c>
      <c r="Y134" s="52">
        <f t="shared" si="324"/>
        <v>0.43807731782415327</v>
      </c>
      <c r="Z134" s="52">
        <f t="shared" si="324"/>
        <v>0.42766615146831533</v>
      </c>
      <c r="AA134" s="112">
        <f t="shared" si="324"/>
        <v>0.4339771220159151</v>
      </c>
      <c r="AB134" s="112">
        <f t="shared" si="324"/>
        <v>0.43495778149243497</v>
      </c>
      <c r="AC134" s="52">
        <f t="shared" si="324"/>
        <v>0.43682421995675008</v>
      </c>
      <c r="AD134" s="52">
        <f t="shared" si="324"/>
        <v>0.42485306465155331</v>
      </c>
      <c r="AE134" s="52">
        <f t="shared" si="324"/>
        <v>0.4422175529335704</v>
      </c>
      <c r="AF134" s="52">
        <f t="shared" si="324"/>
        <v>0.43900253845005227</v>
      </c>
      <c r="AG134" s="112">
        <f t="shared" si="324"/>
        <v>0.43590250069134434</v>
      </c>
      <c r="AH134" s="52">
        <f t="shared" si="324"/>
        <v>0.44928991536364943</v>
      </c>
      <c r="AI134" s="52">
        <f t="shared" ref="AI134:BN134" si="325">AI133/AI20</f>
        <v>0.43943399160317215</v>
      </c>
      <c r="AJ134" s="52">
        <f t="shared" si="325"/>
        <v>0.44506597819850829</v>
      </c>
      <c r="AK134" s="52">
        <f t="shared" si="325"/>
        <v>0.4558922558922559</v>
      </c>
      <c r="AL134" s="112">
        <f t="shared" si="325"/>
        <v>0.44771394654483976</v>
      </c>
      <c r="AM134" s="52">
        <f t="shared" si="325"/>
        <v>0.46617389125532449</v>
      </c>
      <c r="AN134" s="52">
        <f t="shared" si="325"/>
        <v>0.45081300813008129</v>
      </c>
      <c r="AO134" s="52">
        <f t="shared" si="325"/>
        <v>0.45924932975871313</v>
      </c>
      <c r="AP134" s="52">
        <f t="shared" si="325"/>
        <v>0.46188456099755754</v>
      </c>
      <c r="AQ134" s="112">
        <f t="shared" si="325"/>
        <v>0.4596908597758243</v>
      </c>
      <c r="AR134" s="52">
        <f t="shared" si="325"/>
        <v>0.47480389826479674</v>
      </c>
      <c r="AS134" s="52">
        <f t="shared" si="325"/>
        <v>0.45550351288056207</v>
      </c>
      <c r="AT134" s="52">
        <f t="shared" si="325"/>
        <v>0.4592878486055777</v>
      </c>
      <c r="AU134" s="52">
        <f t="shared" si="325"/>
        <v>0.45924308588064044</v>
      </c>
      <c r="AV134" s="112">
        <f t="shared" si="325"/>
        <v>0.46241042747714356</v>
      </c>
      <c r="AW134" s="52">
        <f t="shared" si="325"/>
        <v>0.45502703895817237</v>
      </c>
      <c r="AX134" s="52">
        <f t="shared" si="325"/>
        <v>0.44205378973105136</v>
      </c>
      <c r="AY134" s="52">
        <f t="shared" si="325"/>
        <v>0.44473434535104367</v>
      </c>
      <c r="AZ134" s="52">
        <f t="shared" si="325"/>
        <v>0.44059006569090697</v>
      </c>
      <c r="BA134" s="112">
        <f t="shared" si="325"/>
        <v>0.445764192139738</v>
      </c>
      <c r="BB134" s="52">
        <f t="shared" si="325"/>
        <v>0.43682469680264607</v>
      </c>
      <c r="BC134" s="52">
        <f t="shared" si="325"/>
        <v>0.42997428103811081</v>
      </c>
      <c r="BD134" s="52">
        <f t="shared" si="325"/>
        <v>0.4383348174532502</v>
      </c>
      <c r="BE134" s="52">
        <f t="shared" si="325"/>
        <v>0.44723669424864643</v>
      </c>
      <c r="BF134" s="112">
        <f t="shared" si="325"/>
        <v>0.43838777921257244</v>
      </c>
      <c r="BG134" s="52">
        <f t="shared" si="325"/>
        <v>0.44199839163650984</v>
      </c>
      <c r="BH134" s="52">
        <f t="shared" si="325"/>
        <v>0.43791337742692554</v>
      </c>
      <c r="BI134" s="52">
        <f t="shared" si="325"/>
        <v>0.45146186661117471</v>
      </c>
      <c r="BJ134" s="52">
        <f t="shared" si="325"/>
        <v>0.45492930086410055</v>
      </c>
      <c r="BK134" s="112">
        <f t="shared" si="325"/>
        <v>0.44671114860546568</v>
      </c>
      <c r="BL134" s="52">
        <f t="shared" si="325"/>
        <v>0.45694183864915572</v>
      </c>
      <c r="BM134" s="52">
        <f t="shared" si="325"/>
        <v>0.4400542320356382</v>
      </c>
      <c r="BN134" s="52">
        <f t="shared" si="325"/>
        <v>0.44269596199524941</v>
      </c>
      <c r="BO134" s="52">
        <f t="shared" ref="BO134:CT134" si="326">BO133/BO20</f>
        <v>0.37272295263741484</v>
      </c>
      <c r="BP134" s="112">
        <f t="shared" si="326"/>
        <v>0.43421650669732376</v>
      </c>
      <c r="BQ134" s="52">
        <f t="shared" si="326"/>
        <v>0.44751746271474419</v>
      </c>
      <c r="BR134" s="52">
        <f t="shared" si="326"/>
        <v>0.43111269234190164</v>
      </c>
      <c r="BS134" s="52">
        <f t="shared" si="326"/>
        <v>0.45563387081201118</v>
      </c>
      <c r="BT134" s="52">
        <f t="shared" si="326"/>
        <v>0.45811730395333766</v>
      </c>
      <c r="BU134" s="112">
        <f t="shared" si="326"/>
        <v>0.44820153576721</v>
      </c>
      <c r="BV134" s="52">
        <f t="shared" si="326"/>
        <v>0.46505551926845201</v>
      </c>
      <c r="BW134" s="52">
        <f t="shared" si="326"/>
        <v>0.45901206304481817</v>
      </c>
      <c r="BX134" s="52">
        <f t="shared" si="326"/>
        <v>0.4661024744733695</v>
      </c>
      <c r="BY134" s="52">
        <f t="shared" si="326"/>
        <v>0.44981199934608468</v>
      </c>
      <c r="BZ134" s="112">
        <f t="shared" si="326"/>
        <v>0.45983729394134021</v>
      </c>
      <c r="CA134" s="52">
        <f t="shared" si="326"/>
        <v>0.44257901789233073</v>
      </c>
      <c r="CB134" s="52">
        <f t="shared" si="326"/>
        <v>0.42891475779196397</v>
      </c>
      <c r="CC134" s="52">
        <f t="shared" si="326"/>
        <v>0.43349475383373687</v>
      </c>
      <c r="CD134" s="52">
        <f t="shared" si="326"/>
        <v>0.43625730994152045</v>
      </c>
      <c r="CE134" s="112">
        <f t="shared" si="326"/>
        <v>0.43524610969014194</v>
      </c>
      <c r="CF134" s="52">
        <f t="shared" si="326"/>
        <v>0.44207434886776414</v>
      </c>
      <c r="CG134" s="52">
        <f t="shared" si="326"/>
        <v>0.44599641469973111</v>
      </c>
      <c r="CH134" s="52">
        <f t="shared" si="326"/>
        <v>0.45257060101375812</v>
      </c>
      <c r="CI134" s="52">
        <f t="shared" si="326"/>
        <v>0.44700936062192609</v>
      </c>
      <c r="CJ134" s="112">
        <f t="shared" si="326"/>
        <v>0.44684786417974376</v>
      </c>
      <c r="CK134" s="52">
        <f t="shared" si="326"/>
        <v>0.45361981189058592</v>
      </c>
      <c r="CL134" s="52">
        <f t="shared" si="326"/>
        <v>0.43621499109600131</v>
      </c>
      <c r="CM134" s="52">
        <f t="shared" si="326"/>
        <v>0.41485491170467653</v>
      </c>
      <c r="CN134" s="52">
        <f t="shared" si="326"/>
        <v>0.40272145624943678</v>
      </c>
      <c r="CO134" s="112">
        <f t="shared" si="326"/>
        <v>0.42734673605562634</v>
      </c>
      <c r="CP134" s="52">
        <f t="shared" si="326"/>
        <v>0.42175767918088736</v>
      </c>
      <c r="CQ134" s="52">
        <f t="shared" si="326"/>
        <v>0.40597086988009978</v>
      </c>
      <c r="CR134" s="52">
        <f t="shared" si="326"/>
        <v>0.40163135029701214</v>
      </c>
      <c r="CS134" s="52">
        <f t="shared" si="326"/>
        <v>0.49152387896463728</v>
      </c>
      <c r="CT134" s="112">
        <f t="shared" si="326"/>
        <v>0.42913487650329757</v>
      </c>
      <c r="CU134" s="52">
        <f t="shared" ref="CU134:DI134" si="327">CU133/CU20</f>
        <v>0.42789619192009276</v>
      </c>
      <c r="CV134" s="52">
        <f t="shared" si="327"/>
        <v>0.40747086988009978</v>
      </c>
      <c r="CW134" s="52">
        <f t="shared" si="327"/>
        <v>0.39663135029701213</v>
      </c>
      <c r="CX134" s="52">
        <f t="shared" si="327"/>
        <v>0.40152387896463726</v>
      </c>
      <c r="CY134" s="112">
        <f t="shared" si="327"/>
        <v>0.40885580724750364</v>
      </c>
      <c r="CZ134" s="52">
        <f t="shared" si="327"/>
        <v>0.42289619192009276</v>
      </c>
      <c r="DA134" s="52">
        <f t="shared" si="327"/>
        <v>0.40497086988009978</v>
      </c>
      <c r="DB134" s="52">
        <f t="shared" si="327"/>
        <v>0.39663135029701213</v>
      </c>
      <c r="DC134" s="52">
        <f t="shared" si="327"/>
        <v>0.40152387896463726</v>
      </c>
      <c r="DD134" s="112">
        <f t="shared" si="327"/>
        <v>0.40666490918628773</v>
      </c>
      <c r="DE134" s="52">
        <f t="shared" si="327"/>
        <v>0.42639619192009276</v>
      </c>
      <c r="DF134" s="52">
        <f t="shared" si="327"/>
        <v>0.40847086988009984</v>
      </c>
      <c r="DG134" s="52">
        <f t="shared" si="327"/>
        <v>0.40013135029701213</v>
      </c>
      <c r="DH134" s="52">
        <f t="shared" si="327"/>
        <v>0.40502387896463726</v>
      </c>
      <c r="DI134" s="112">
        <f t="shared" si="327"/>
        <v>0.41014058451946356</v>
      </c>
    </row>
    <row r="135" spans="1:113" s="3" customFormat="1" ht="12" hidden="1" customHeight="1" outlineLevel="1">
      <c r="A135" s="219" t="str">
        <f t="shared" si="0"/>
        <v xml:space="preserve"> </v>
      </c>
      <c r="B135" s="110" t="s">
        <v>275</v>
      </c>
      <c r="C135" s="403" t="s">
        <v>126</v>
      </c>
      <c r="D135" s="220">
        <f>+(D134-C134)*100*100</f>
        <v>47.385238814456329</v>
      </c>
      <c r="E135" s="220">
        <f t="shared" ref="E135:Q135" si="328">+(E134-D134)*100*100</f>
        <v>-358.86439014498615</v>
      </c>
      <c r="F135" s="220">
        <f t="shared" si="328"/>
        <v>90.099584175894478</v>
      </c>
      <c r="G135" s="220">
        <f t="shared" si="328"/>
        <v>251.55065748767134</v>
      </c>
      <c r="H135" s="220">
        <f t="shared" si="328"/>
        <v>-89.062971240191914</v>
      </c>
      <c r="I135" s="220">
        <f t="shared" si="328"/>
        <v>26.910735954726039</v>
      </c>
      <c r="J135" s="220">
        <f t="shared" si="328"/>
        <v>167.42962921923953</v>
      </c>
      <c r="K135" s="220">
        <f t="shared" si="328"/>
        <v>188.23299046097864</v>
      </c>
      <c r="L135" s="220">
        <f t="shared" si="328"/>
        <v>164.8803474146543</v>
      </c>
      <c r="M135" s="220">
        <f t="shared" si="328"/>
        <v>-46.321336959960213</v>
      </c>
      <c r="N135" s="220">
        <f t="shared" si="328"/>
        <v>-18.600768145740076</v>
      </c>
      <c r="O135" s="220">
        <f t="shared" si="328"/>
        <v>116.84283097993742</v>
      </c>
      <c r="P135" s="220">
        <f t="shared" si="328"/>
        <v>-15.774721266003656</v>
      </c>
      <c r="Q135" s="220">
        <f t="shared" si="328"/>
        <v>141.33532106851086</v>
      </c>
      <c r="R135" s="485" t="s">
        <v>126</v>
      </c>
      <c r="S135" s="485" t="s">
        <v>126</v>
      </c>
      <c r="T135" s="485" t="s">
        <v>126</v>
      </c>
      <c r="U135" s="485" t="s">
        <v>126</v>
      </c>
      <c r="V135" s="220">
        <f t="shared" ref="V135:AA135" si="329">+(V134-Q134)*100*100</f>
        <v>-70.810303740891371</v>
      </c>
      <c r="W135" s="184">
        <f t="shared" si="329"/>
        <v>-274.83370631737228</v>
      </c>
      <c r="X135" s="184">
        <f t="shared" si="329"/>
        <v>-254.12456050562636</v>
      </c>
      <c r="Y135" s="184">
        <f t="shared" si="329"/>
        <v>-200.83737501698283</v>
      </c>
      <c r="Z135" s="185">
        <f t="shared" si="329"/>
        <v>-152.7522903810158</v>
      </c>
      <c r="AA135" s="185">
        <f t="shared" si="329"/>
        <v>-217.79756519220541</v>
      </c>
      <c r="AB135" s="220"/>
      <c r="AC135" s="202">
        <f>+(AC134-W134)*100*100</f>
        <v>-60.305736627204176</v>
      </c>
      <c r="AD135" s="184">
        <f>+(AD134-X134)*100*100</f>
        <v>-26.46499124402013</v>
      </c>
      <c r="AE135" s="184">
        <f>+(AE134-Y134)*100*100</f>
        <v>41.402351094171344</v>
      </c>
      <c r="AF135" s="184">
        <f>+(AF134-Z134)*100*100</f>
        <v>113.36386981736946</v>
      </c>
      <c r="AG135" s="220">
        <f>+(AG134-AA134)*100*100</f>
        <v>19.253786754292456</v>
      </c>
      <c r="AH135" s="202">
        <f t="shared" ref="AH135:BA135" si="330">+(AH134-AC134)*100*100</f>
        <v>124.65695406899346</v>
      </c>
      <c r="AI135" s="184">
        <f t="shared" si="330"/>
        <v>145.80926951618832</v>
      </c>
      <c r="AJ135" s="184">
        <f t="shared" si="330"/>
        <v>28.484252649378927</v>
      </c>
      <c r="AK135" s="185">
        <f t="shared" si="330"/>
        <v>168.89717442203633</v>
      </c>
      <c r="AL135" s="185">
        <f t="shared" si="330"/>
        <v>118.11445853495417</v>
      </c>
      <c r="AM135" s="202">
        <f t="shared" si="330"/>
        <v>168.83975891675064</v>
      </c>
      <c r="AN135" s="184">
        <f t="shared" si="330"/>
        <v>113.79016526909147</v>
      </c>
      <c r="AO135" s="184">
        <f t="shared" si="330"/>
        <v>141.83351560204838</v>
      </c>
      <c r="AP135" s="185">
        <f t="shared" si="330"/>
        <v>59.923051053016316</v>
      </c>
      <c r="AQ135" s="185">
        <f t="shared" si="330"/>
        <v>119.76913230984543</v>
      </c>
      <c r="AR135" s="202">
        <f t="shared" si="330"/>
        <v>86.300070094722514</v>
      </c>
      <c r="AS135" s="184">
        <f t="shared" si="330"/>
        <v>46.905047504807726</v>
      </c>
      <c r="AT135" s="184">
        <f t="shared" si="330"/>
        <v>0.38518846864565859</v>
      </c>
      <c r="AU135" s="185">
        <f t="shared" si="330"/>
        <v>-26.414751169170913</v>
      </c>
      <c r="AV135" s="185">
        <f t="shared" si="330"/>
        <v>27.195677013192586</v>
      </c>
      <c r="AW135" s="202">
        <f t="shared" si="330"/>
        <v>-197.76859306624374</v>
      </c>
      <c r="AX135" s="184">
        <f t="shared" si="330"/>
        <v>-134.49723149510706</v>
      </c>
      <c r="AY135" s="184">
        <f t="shared" si="330"/>
        <v>-145.53503254534027</v>
      </c>
      <c r="AZ135" s="185">
        <f t="shared" si="330"/>
        <v>-186.53020189733471</v>
      </c>
      <c r="BA135" s="185">
        <f t="shared" si="330"/>
        <v>-166.46235337405557</v>
      </c>
      <c r="BB135" s="202">
        <f t="shared" ref="BB135:BP135" si="331">+(BB134-AW134)*100*100</f>
        <v>-182.02342155526296</v>
      </c>
      <c r="BC135" s="184">
        <f t="shared" si="331"/>
        <v>-120.79508692940554</v>
      </c>
      <c r="BD135" s="184">
        <f t="shared" si="331"/>
        <v>-63.995278977934667</v>
      </c>
      <c r="BE135" s="185">
        <f t="shared" si="331"/>
        <v>66.46628557739453</v>
      </c>
      <c r="BF135" s="185">
        <f t="shared" si="331"/>
        <v>-73.764129271655648</v>
      </c>
      <c r="BG135" s="202">
        <f t="shared" si="331"/>
        <v>51.736948338637625</v>
      </c>
      <c r="BH135" s="184">
        <f t="shared" si="331"/>
        <v>79.390963888147368</v>
      </c>
      <c r="BI135" s="184">
        <f t="shared" si="331"/>
        <v>131.27049157924509</v>
      </c>
      <c r="BJ135" s="185">
        <f t="shared" si="331"/>
        <v>76.926066154541232</v>
      </c>
      <c r="BK135" s="185">
        <f t="shared" si="331"/>
        <v>83.233693928932425</v>
      </c>
      <c r="BL135" s="202">
        <f t="shared" si="331"/>
        <v>149.43447012645882</v>
      </c>
      <c r="BM135" s="184">
        <f t="shared" si="331"/>
        <v>21.408546087126613</v>
      </c>
      <c r="BN135" s="184">
        <f t="shared" si="331"/>
        <v>-87.659046159253023</v>
      </c>
      <c r="BO135" s="185">
        <f t="shared" si="331"/>
        <v>-822.06348226685714</v>
      </c>
      <c r="BP135" s="185">
        <f t="shared" si="331"/>
        <v>-124.94641908141924</v>
      </c>
      <c r="BQ135" s="202">
        <f t="shared" ref="BQ135:BZ135" si="332">+(BQ134-BL134)*100*100</f>
        <v>-94.243759344115333</v>
      </c>
      <c r="BR135" s="184">
        <f t="shared" si="332"/>
        <v>-89.415396937365671</v>
      </c>
      <c r="BS135" s="184">
        <f t="shared" si="332"/>
        <v>129.37908816761768</v>
      </c>
      <c r="BT135" s="185">
        <f t="shared" si="332"/>
        <v>853.94351315922825</v>
      </c>
      <c r="BU135" s="185">
        <f t="shared" si="332"/>
        <v>139.85029069886247</v>
      </c>
      <c r="BV135" s="202">
        <f t="shared" si="332"/>
        <v>175.38056553707827</v>
      </c>
      <c r="BW135" s="184">
        <f t="shared" si="332"/>
        <v>278.99370702916536</v>
      </c>
      <c r="BX135" s="184">
        <f t="shared" si="332"/>
        <v>104.68603661358323</v>
      </c>
      <c r="BY135" s="185">
        <f t="shared" si="332"/>
        <v>-83.053046072529838</v>
      </c>
      <c r="BZ135" s="185">
        <f t="shared" si="332"/>
        <v>116.35758174130206</v>
      </c>
      <c r="CA135" s="202">
        <f t="shared" ref="CA135" si="333">+(CA134-BV134)*100*100</f>
        <v>-224.7650137612128</v>
      </c>
      <c r="CB135" s="184">
        <f t="shared" ref="CB135:CC135" si="334">+(CB134-BW134)*100*100</f>
        <v>-300.97305252854198</v>
      </c>
      <c r="CC135" s="184">
        <f t="shared" si="334"/>
        <v>-326.07720639632635</v>
      </c>
      <c r="CD135" s="185">
        <f t="shared" ref="CD135" si="335">+(CD134-BY134)*100*100</f>
        <v>-135.54689404564223</v>
      </c>
      <c r="CE135" s="185">
        <f t="shared" ref="CE135" si="336">+(CE134-BZ134)*100*100</f>
        <v>-245.91184251198274</v>
      </c>
      <c r="CF135" s="202">
        <f t="shared" ref="CF135" si="337">+(CF134-CA134)*100*100</f>
        <v>-5.0466902456658413</v>
      </c>
      <c r="CG135" s="184">
        <f t="shared" ref="CG135:CH135" si="338">+(CG134-CB134)*100*100</f>
        <v>170.8165690776714</v>
      </c>
      <c r="CH135" s="184">
        <f t="shared" si="338"/>
        <v>190.75847180021256</v>
      </c>
      <c r="CI135" s="185">
        <f t="shared" ref="CI135" si="339">+(CI134-CD134)*100*100</f>
        <v>107.52050680405634</v>
      </c>
      <c r="CJ135" s="185">
        <f t="shared" ref="CJ135:CK135" si="340">+(CJ134-CE134)*100*100</f>
        <v>116.01754489601824</v>
      </c>
      <c r="CK135" s="202">
        <f t="shared" si="340"/>
        <v>115.45463022821778</v>
      </c>
      <c r="CL135" s="184">
        <f t="shared" ref="CL135" si="341">+(CL134-CG134)*100*100</f>
        <v>-97.814236037298002</v>
      </c>
      <c r="CM135" s="184">
        <f t="shared" ref="CM135" si="342">+(CM134-CH134)*100*100</f>
        <v>-377.15689309081586</v>
      </c>
      <c r="CN135" s="185">
        <f t="shared" ref="CN135" si="343">+(CN134-CI134)*100*100</f>
        <v>-442.87904372489305</v>
      </c>
      <c r="CO135" s="185">
        <f t="shared" ref="CO135:CQ135" si="344">+(CO134-CJ134)*100*100</f>
        <v>-195.01128124117417</v>
      </c>
      <c r="CP135" s="202">
        <f t="shared" si="344"/>
        <v>-318.62132709698568</v>
      </c>
      <c r="CQ135" s="184">
        <f t="shared" si="344"/>
        <v>-302.44121215901532</v>
      </c>
      <c r="CR135" s="184">
        <f t="shared" ref="CR135" si="345">+(CR134-CM134)*100*100</f>
        <v>-132.23561407664397</v>
      </c>
      <c r="CS135" s="185">
        <f t="shared" ref="CS135" si="346">+(CS134-CN134)*100*100</f>
        <v>888.02422715200498</v>
      </c>
      <c r="CT135" s="185">
        <f t="shared" ref="CT135" si="347">+(CT134-CO134)*100*100</f>
        <v>17.88140447671227</v>
      </c>
      <c r="CU135" s="202">
        <f t="shared" ref="CU135" si="348">+(CU134-CP134)*100*100</f>
        <v>61.385127392054038</v>
      </c>
      <c r="CV135" s="184">
        <f t="shared" ref="CV135" si="349">+(CV134-CQ134)*100*100</f>
        <v>15.000000000000014</v>
      </c>
      <c r="CW135" s="184">
        <f t="shared" ref="CW135" si="350">+(CW134-CR134)*100*100</f>
        <v>-50.000000000000043</v>
      </c>
      <c r="CX135" s="185">
        <f t="shared" ref="CX135" si="351">+(CX134-CS134)*100*100</f>
        <v>-900.00000000000023</v>
      </c>
      <c r="CY135" s="185">
        <f t="shared" ref="CY135" si="352">+(CY134-CT134)*100*100</f>
        <v>-202.79069255793925</v>
      </c>
      <c r="CZ135" s="202">
        <f t="shared" ref="CZ135" si="353">+(CZ134-CU134)*100*100</f>
        <v>-50.000000000000043</v>
      </c>
      <c r="DA135" s="184">
        <f t="shared" ref="DA135" si="354">+(DA134-CV134)*100*100</f>
        <v>-25.000000000000021</v>
      </c>
      <c r="DB135" s="184">
        <f t="shared" ref="DB135" si="355">+(DB134-CW134)*100*100</f>
        <v>0</v>
      </c>
      <c r="DC135" s="185">
        <f t="shared" ref="DC135" si="356">+(DC134-CX134)*100*100</f>
        <v>0</v>
      </c>
      <c r="DD135" s="185">
        <f t="shared" ref="DD135" si="357">+(DD134-CY134)*100*100</f>
        <v>-21.90898061215918</v>
      </c>
      <c r="DE135" s="202">
        <f t="shared" ref="DE135" si="358">+(DE134-CZ134)*100*100</f>
        <v>35.000000000000028</v>
      </c>
      <c r="DF135" s="184">
        <f t="shared" ref="DF135" si="359">+(DF134-DA134)*100*100</f>
        <v>35.000000000000583</v>
      </c>
      <c r="DG135" s="184">
        <f t="shared" ref="DG135" si="360">+(DG134-DB134)*100*100</f>
        <v>35.000000000000028</v>
      </c>
      <c r="DH135" s="185">
        <f t="shared" ref="DH135" si="361">+(DH134-DC134)*100*100</f>
        <v>35.000000000000028</v>
      </c>
      <c r="DI135" s="185">
        <f t="shared" ref="DI135" si="362">+(DI134-DD134)*100*100</f>
        <v>34.756753331758318</v>
      </c>
    </row>
    <row r="136" spans="1:113" s="3" customFormat="1" ht="12" hidden="1" customHeight="1" outlineLevel="1">
      <c r="A136" s="219" t="str">
        <f t="shared" si="0"/>
        <v xml:space="preserve"> </v>
      </c>
      <c r="B136" s="562" t="s">
        <v>292</v>
      </c>
      <c r="C136" s="217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17"/>
      <c r="S136" s="217"/>
      <c r="T136" s="217"/>
      <c r="U136" s="217"/>
      <c r="V136" s="220"/>
      <c r="W136" s="184"/>
      <c r="X136" s="184"/>
      <c r="Y136" s="184"/>
      <c r="Z136" s="184"/>
      <c r="AA136" s="220"/>
      <c r="AB136" s="112"/>
      <c r="AC136" s="202"/>
      <c r="AD136" s="184"/>
      <c r="AE136" s="184"/>
      <c r="AF136" s="184"/>
      <c r="AG136" s="220"/>
      <c r="AH136" s="202"/>
      <c r="AI136" s="184"/>
      <c r="AJ136" s="184"/>
      <c r="AK136" s="185"/>
      <c r="AL136" s="185"/>
      <c r="AM136" s="202"/>
      <c r="AN136" s="184"/>
      <c r="AO136" s="184"/>
      <c r="AP136" s="185"/>
      <c r="AQ136" s="185"/>
      <c r="AR136" s="202"/>
      <c r="AS136" s="184"/>
      <c r="AT136" s="184"/>
      <c r="AU136" s="185"/>
      <c r="AV136" s="185"/>
      <c r="AW136" s="202"/>
      <c r="AX136" s="184"/>
      <c r="AY136" s="184"/>
      <c r="AZ136" s="185"/>
      <c r="BA136" s="185"/>
      <c r="BB136" s="202"/>
      <c r="BC136" s="184"/>
      <c r="BD136" s="184"/>
      <c r="BE136" s="186"/>
      <c r="BF136" s="220"/>
      <c r="BG136" s="186"/>
      <c r="BH136" s="186"/>
      <c r="BI136" s="186"/>
      <c r="BJ136" s="186"/>
      <c r="BK136" s="220"/>
      <c r="BL136" s="186"/>
      <c r="BM136" s="186"/>
      <c r="BN136" s="186"/>
      <c r="BO136" s="186"/>
      <c r="BP136" s="220"/>
      <c r="BQ136" s="186"/>
      <c r="BR136" s="186"/>
      <c r="BS136" s="186"/>
      <c r="BT136" s="186"/>
      <c r="BU136" s="220"/>
      <c r="BV136" s="243"/>
      <c r="BW136" s="243"/>
      <c r="BX136" s="243"/>
      <c r="BY136" s="243"/>
      <c r="BZ136" s="244"/>
      <c r="CA136" s="243"/>
      <c r="CB136" s="243"/>
      <c r="CC136" s="243"/>
      <c r="CD136" s="243"/>
      <c r="CE136" s="244"/>
      <c r="CF136" s="186"/>
      <c r="CG136" s="186"/>
      <c r="CH136" s="186"/>
      <c r="CI136" s="186"/>
      <c r="CJ136" s="220"/>
      <c r="CK136" s="186"/>
      <c r="CL136" s="186"/>
      <c r="CM136" s="186"/>
      <c r="CN136" s="186"/>
      <c r="CO136" s="220"/>
      <c r="CP136" s="186"/>
      <c r="CQ136" s="186"/>
      <c r="CR136" s="186"/>
      <c r="CS136" s="186"/>
      <c r="CT136" s="220"/>
      <c r="CU136" s="186"/>
      <c r="CV136" s="186"/>
      <c r="CW136" s="186"/>
      <c r="CX136" s="186"/>
      <c r="CY136" s="220"/>
      <c r="CZ136" s="186"/>
      <c r="DA136" s="186"/>
      <c r="DB136" s="186"/>
      <c r="DC136" s="186"/>
      <c r="DD136" s="220"/>
      <c r="DE136" s="186"/>
      <c r="DF136" s="186"/>
      <c r="DG136" s="186"/>
      <c r="DH136" s="186"/>
      <c r="DI136" s="220"/>
    </row>
    <row r="137" spans="1:113" s="3" customFormat="1" ht="12" hidden="1" customHeight="1" outlineLevel="1">
      <c r="A137" s="219" t="str">
        <f t="shared" si="0"/>
        <v xml:space="preserve"> </v>
      </c>
      <c r="B137" s="110" t="s">
        <v>138</v>
      </c>
      <c r="C137" s="485"/>
      <c r="D137" s="220"/>
      <c r="E137" s="184"/>
      <c r="F137" s="220"/>
      <c r="G137" s="220"/>
      <c r="H137" s="220"/>
      <c r="I137" s="184"/>
      <c r="J137" s="220"/>
      <c r="K137" s="184"/>
      <c r="L137" s="220"/>
      <c r="M137" s="184"/>
      <c r="N137" s="220"/>
      <c r="O137" s="220"/>
      <c r="P137" s="184"/>
      <c r="Q137" s="220"/>
      <c r="R137" s="485"/>
      <c r="S137" s="485"/>
      <c r="T137" s="485"/>
      <c r="U137" s="485"/>
      <c r="V137" s="220"/>
      <c r="W137" s="184"/>
      <c r="X137" s="184"/>
      <c r="Y137" s="184"/>
      <c r="Z137" s="184"/>
      <c r="AA137" s="220"/>
      <c r="AB137" s="220"/>
      <c r="AC137" s="184"/>
      <c r="AD137" s="184"/>
      <c r="AE137" s="184"/>
      <c r="AF137" s="184"/>
      <c r="AG137" s="220"/>
      <c r="AH137" s="115">
        <v>40</v>
      </c>
      <c r="AI137" s="115">
        <v>120</v>
      </c>
      <c r="AJ137" s="115">
        <v>180</v>
      </c>
      <c r="AK137" s="115">
        <f>AL137*4-SUM(AH137:AJ137)</f>
        <v>300</v>
      </c>
      <c r="AL137" s="116">
        <v>160</v>
      </c>
      <c r="AM137" s="115">
        <v>280</v>
      </c>
      <c r="AN137" s="115">
        <v>220.00000000000003</v>
      </c>
      <c r="AO137" s="115">
        <v>240</v>
      </c>
      <c r="AP137" s="115">
        <f>AQ137*4-SUM(AM137:AO137)</f>
        <v>260</v>
      </c>
      <c r="AQ137" s="116">
        <v>250</v>
      </c>
      <c r="AR137" s="115">
        <v>220</v>
      </c>
      <c r="AS137" s="115">
        <v>260</v>
      </c>
      <c r="AT137" s="115">
        <v>120</v>
      </c>
      <c r="AU137" s="115">
        <f>AV137*4-SUM(AR137:AT137)</f>
        <v>160</v>
      </c>
      <c r="AV137" s="116">
        <v>190</v>
      </c>
      <c r="AW137" s="115">
        <v>60</v>
      </c>
      <c r="AX137" s="115">
        <v>80</v>
      </c>
      <c r="AY137" s="115">
        <v>80</v>
      </c>
      <c r="AZ137" s="115">
        <f>BA137*4-SUM(AW137:AY137)</f>
        <v>60</v>
      </c>
      <c r="BA137" s="116">
        <v>70</v>
      </c>
      <c r="BB137" s="115">
        <v>-80</v>
      </c>
      <c r="BC137" s="115">
        <v>40</v>
      </c>
      <c r="BD137" s="115">
        <v>-50</v>
      </c>
      <c r="BE137" s="115">
        <f>BF137*4-SUM(BB137:BD137)</f>
        <v>90</v>
      </c>
      <c r="BF137" s="116">
        <v>0</v>
      </c>
      <c r="BG137" s="115">
        <f>100+30</f>
        <v>130</v>
      </c>
      <c r="BH137" s="115">
        <v>200</v>
      </c>
      <c r="BI137" s="115">
        <v>270</v>
      </c>
      <c r="BJ137" s="115">
        <f>BK137*4-SUM(BG137:BI137)</f>
        <v>120</v>
      </c>
      <c r="BK137" s="116">
        <v>180</v>
      </c>
      <c r="BL137" s="115">
        <v>160</v>
      </c>
      <c r="BM137" s="115">
        <v>110</v>
      </c>
      <c r="BN137" s="115">
        <v>-10</v>
      </c>
      <c r="BO137" s="115">
        <f>BP137*4-SUM(BL137:BN137)</f>
        <v>340</v>
      </c>
      <c r="BP137" s="220">
        <v>150</v>
      </c>
      <c r="BQ137" s="115">
        <v>200</v>
      </c>
      <c r="BR137" s="115">
        <v>-70</v>
      </c>
      <c r="BS137" s="115">
        <f>270</f>
        <v>270</v>
      </c>
      <c r="BT137" s="115">
        <f>BU137*4-SUM(BQ137:BS137)</f>
        <v>40</v>
      </c>
      <c r="BU137" s="220">
        <v>110</v>
      </c>
      <c r="BV137" s="115">
        <v>60</v>
      </c>
      <c r="BW137" s="115">
        <v>110</v>
      </c>
      <c r="BX137" s="115">
        <v>70</v>
      </c>
      <c r="BY137" s="115">
        <f>BZ137*4-SUM(BV137:BX137)</f>
        <v>-160</v>
      </c>
      <c r="BZ137" s="220">
        <v>20</v>
      </c>
      <c r="CA137" s="115">
        <v>200</v>
      </c>
      <c r="CB137" s="115">
        <v>410</v>
      </c>
      <c r="CC137" s="115">
        <v>370</v>
      </c>
      <c r="CD137" s="115">
        <f>CE137*4-SUM(CA137:CC137)</f>
        <v>260</v>
      </c>
      <c r="CE137" s="220">
        <v>310</v>
      </c>
      <c r="CF137" s="115">
        <v>300</v>
      </c>
      <c r="CG137" s="115">
        <f>320-20</f>
        <v>300</v>
      </c>
      <c r="CH137" s="115">
        <v>180</v>
      </c>
      <c r="CI137" s="115">
        <f>CJ137*4-SUM(CF137:CH137)</f>
        <v>20</v>
      </c>
      <c r="CJ137" s="220">
        <v>200</v>
      </c>
      <c r="CK137" s="115">
        <v>40</v>
      </c>
      <c r="CL137" s="115">
        <v>-330</v>
      </c>
      <c r="CM137" s="115">
        <v>-150</v>
      </c>
      <c r="CN137" s="115">
        <f>CO137*4-SUM(CK137:CM137)</f>
        <v>-280</v>
      </c>
      <c r="CO137" s="220">
        <v>-180</v>
      </c>
      <c r="CP137" s="115">
        <v>-250</v>
      </c>
      <c r="CQ137" s="115">
        <v>-50</v>
      </c>
      <c r="CR137" s="115">
        <v>80</v>
      </c>
      <c r="CS137" s="115">
        <f>CT137*4-SUM(CP137:CR137)</f>
        <v>220</v>
      </c>
      <c r="CT137" s="220">
        <v>0</v>
      </c>
      <c r="CU137" s="186"/>
      <c r="CV137" s="186"/>
      <c r="CW137" s="186"/>
      <c r="CX137" s="186"/>
      <c r="CY137" s="220"/>
      <c r="CZ137" s="186"/>
      <c r="DA137" s="186"/>
      <c r="DB137" s="186"/>
      <c r="DC137" s="186"/>
      <c r="DD137" s="220"/>
      <c r="DE137" s="186"/>
      <c r="DF137" s="186"/>
      <c r="DG137" s="186"/>
      <c r="DH137" s="186"/>
      <c r="DI137" s="220"/>
    </row>
    <row r="138" spans="1:113" s="3" customFormat="1" ht="12" hidden="1" customHeight="1" outlineLevel="1">
      <c r="A138" s="219" t="str">
        <f t="shared" si="0"/>
        <v xml:space="preserve"> </v>
      </c>
      <c r="B138" s="110" t="s">
        <v>342</v>
      </c>
      <c r="C138" s="485"/>
      <c r="D138" s="220"/>
      <c r="E138" s="184"/>
      <c r="F138" s="220"/>
      <c r="G138" s="184"/>
      <c r="H138" s="220"/>
      <c r="I138" s="184"/>
      <c r="J138" s="220"/>
      <c r="K138" s="184"/>
      <c r="L138" s="220"/>
      <c r="M138" s="184"/>
      <c r="N138" s="220"/>
      <c r="O138" s="220"/>
      <c r="P138" s="184"/>
      <c r="Q138" s="220"/>
      <c r="R138" s="485"/>
      <c r="S138" s="485"/>
      <c r="T138" s="485"/>
      <c r="U138" s="485"/>
      <c r="V138" s="220"/>
      <c r="W138" s="184"/>
      <c r="X138" s="184"/>
      <c r="Y138" s="184"/>
      <c r="Z138" s="184"/>
      <c r="AA138" s="220"/>
      <c r="AB138" s="220"/>
      <c r="AC138" s="184"/>
      <c r="AD138" s="184"/>
      <c r="AE138" s="184"/>
      <c r="AF138" s="184"/>
      <c r="AG138" s="220"/>
      <c r="AH138" s="115">
        <v>20</v>
      </c>
      <c r="AI138" s="115">
        <v>10</v>
      </c>
      <c r="AJ138" s="115">
        <v>70</v>
      </c>
      <c r="AK138" s="115">
        <f>AL138*4-SUM(AH138:AJ138)</f>
        <v>60</v>
      </c>
      <c r="AL138" s="116">
        <v>40</v>
      </c>
      <c r="AM138" s="115">
        <v>50</v>
      </c>
      <c r="AN138" s="115">
        <v>40</v>
      </c>
      <c r="AO138" s="115">
        <v>10</v>
      </c>
      <c r="AP138" s="115">
        <f>AQ138*4-SUM(AM138:AO138)</f>
        <v>60</v>
      </c>
      <c r="AQ138" s="116">
        <v>40</v>
      </c>
      <c r="AR138" s="115">
        <v>40</v>
      </c>
      <c r="AS138" s="115">
        <v>0</v>
      </c>
      <c r="AT138" s="115">
        <v>70</v>
      </c>
      <c r="AU138" s="115">
        <f>AV138*4-SUM(AR138:AT138)</f>
        <v>-30</v>
      </c>
      <c r="AV138" s="116">
        <v>20</v>
      </c>
      <c r="AW138" s="115">
        <v>-60</v>
      </c>
      <c r="AX138" s="115" t="s">
        <v>322</v>
      </c>
      <c r="AY138" s="115">
        <v>-50</v>
      </c>
      <c r="AZ138" s="115">
        <f>BA138*4-SUM(AW138:AY138)</f>
        <v>30</v>
      </c>
      <c r="BA138" s="116">
        <v>-20</v>
      </c>
      <c r="BB138" s="115">
        <v>-90</v>
      </c>
      <c r="BC138" s="115">
        <v>-30</v>
      </c>
      <c r="BD138" s="115">
        <v>30</v>
      </c>
      <c r="BE138" s="115">
        <f>BF138*4-SUM(BB138:BD138)</f>
        <v>50</v>
      </c>
      <c r="BF138" s="179">
        <v>-10</v>
      </c>
      <c r="BG138" s="187">
        <v>20</v>
      </c>
      <c r="BH138" s="187">
        <v>30</v>
      </c>
      <c r="BI138" s="115">
        <v>20</v>
      </c>
      <c r="BJ138" s="115">
        <f>BK138*4-SUM(BG138:BI138)</f>
        <v>10</v>
      </c>
      <c r="BK138" s="179">
        <v>20</v>
      </c>
      <c r="BL138" s="115">
        <v>40</v>
      </c>
      <c r="BM138" s="115">
        <v>20</v>
      </c>
      <c r="BN138" s="115" t="s">
        <v>322</v>
      </c>
      <c r="BO138" s="115">
        <f>BP138*4-SUM(BL138:BN138)</f>
        <v>-100</v>
      </c>
      <c r="BP138" s="220">
        <v>-10</v>
      </c>
      <c r="BQ138" s="115">
        <v>-150</v>
      </c>
      <c r="BR138" s="115">
        <v>-80</v>
      </c>
      <c r="BS138" s="115">
        <f>0</f>
        <v>0</v>
      </c>
      <c r="BT138" s="115">
        <f>BU138*4-SUM(BQ138:BS138)</f>
        <v>70</v>
      </c>
      <c r="BU138" s="220">
        <v>-40</v>
      </c>
      <c r="BV138" s="115">
        <v>160</v>
      </c>
      <c r="BW138" s="115">
        <v>170</v>
      </c>
      <c r="BX138" s="115">
        <v>140</v>
      </c>
      <c r="BY138" s="115">
        <f>BZ138*4-SUM(BV138:BX138)</f>
        <v>50</v>
      </c>
      <c r="BZ138" s="220">
        <v>130</v>
      </c>
      <c r="CA138" s="115">
        <v>-90</v>
      </c>
      <c r="CB138" s="115">
        <v>-160</v>
      </c>
      <c r="CC138" s="115">
        <v>-140</v>
      </c>
      <c r="CD138" s="115">
        <f>CE138*4-SUM(CA138:CC138)</f>
        <v>-10</v>
      </c>
      <c r="CE138" s="220">
        <v>-100</v>
      </c>
      <c r="CF138" s="115">
        <v>10</v>
      </c>
      <c r="CG138" s="115">
        <v>-20</v>
      </c>
      <c r="CH138" s="115">
        <v>-50</v>
      </c>
      <c r="CI138" s="115">
        <f>CJ138*4-SUM(CF138:CH138)</f>
        <v>-100</v>
      </c>
      <c r="CJ138" s="220">
        <v>-40</v>
      </c>
      <c r="CK138" s="115">
        <v>0</v>
      </c>
      <c r="CL138" s="115">
        <v>0</v>
      </c>
      <c r="CM138" s="115" t="s">
        <v>322</v>
      </c>
      <c r="CN138" s="115" t="s">
        <v>322</v>
      </c>
      <c r="CO138" s="220" t="s">
        <v>322</v>
      </c>
      <c r="CP138" s="115" t="s">
        <v>322</v>
      </c>
      <c r="CQ138" s="115"/>
      <c r="CR138" s="115"/>
      <c r="CS138" s="186"/>
      <c r="CT138" s="220">
        <v>-20</v>
      </c>
      <c r="CU138" s="186"/>
      <c r="CV138" s="186"/>
      <c r="CW138" s="186"/>
      <c r="CX138" s="186"/>
      <c r="CY138" s="220"/>
      <c r="CZ138" s="186"/>
      <c r="DA138" s="186"/>
      <c r="DB138" s="186"/>
      <c r="DC138" s="186"/>
      <c r="DD138" s="220"/>
      <c r="DE138" s="186"/>
      <c r="DF138" s="186"/>
      <c r="DG138" s="186"/>
      <c r="DH138" s="186"/>
      <c r="DI138" s="220"/>
    </row>
    <row r="139" spans="1:113" s="3" customFormat="1" ht="12" hidden="1" customHeight="1" outlineLevel="1">
      <c r="A139" s="219" t="str">
        <f t="shared" si="0"/>
        <v xml:space="preserve"> </v>
      </c>
      <c r="B139" s="110" t="s">
        <v>137</v>
      </c>
      <c r="C139" s="485"/>
      <c r="D139" s="220"/>
      <c r="E139" s="184"/>
      <c r="F139" s="220"/>
      <c r="G139" s="184"/>
      <c r="H139" s="220"/>
      <c r="I139" s="184"/>
      <c r="J139" s="220"/>
      <c r="K139" s="184"/>
      <c r="L139" s="220"/>
      <c r="M139" s="184"/>
      <c r="N139" s="220"/>
      <c r="O139" s="220"/>
      <c r="P139" s="184"/>
      <c r="Q139" s="220"/>
      <c r="R139" s="485"/>
      <c r="S139" s="485"/>
      <c r="T139" s="485"/>
      <c r="U139" s="485"/>
      <c r="V139" s="220"/>
      <c r="W139" s="184"/>
      <c r="X139" s="184"/>
      <c r="Y139" s="184"/>
      <c r="Z139" s="184"/>
      <c r="AA139" s="220"/>
      <c r="AB139" s="220"/>
      <c r="AC139" s="184"/>
      <c r="AD139" s="184"/>
      <c r="AE139" s="184"/>
      <c r="AF139" s="184"/>
      <c r="AG139" s="220"/>
      <c r="AH139" s="115">
        <v>90</v>
      </c>
      <c r="AI139" s="115">
        <v>30</v>
      </c>
      <c r="AJ139" s="115">
        <v>-180</v>
      </c>
      <c r="AK139" s="115">
        <f>AL139*4-SUM(AH139:AJ139)</f>
        <v>-140</v>
      </c>
      <c r="AL139" s="116">
        <v>-50</v>
      </c>
      <c r="AM139" s="115">
        <v>-210</v>
      </c>
      <c r="AN139" s="115">
        <v>-210</v>
      </c>
      <c r="AO139" s="115">
        <v>-150</v>
      </c>
      <c r="AP139" s="115">
        <f>AQ139*4-SUM(AM139:AO139)</f>
        <v>-190</v>
      </c>
      <c r="AQ139" s="116">
        <v>-190</v>
      </c>
      <c r="AR139" s="115">
        <v>-120</v>
      </c>
      <c r="AS139" s="115">
        <v>-90</v>
      </c>
      <c r="AT139" s="115">
        <v>20</v>
      </c>
      <c r="AU139" s="115">
        <f>AV139*4-SUM(AR139:AT139)</f>
        <v>-90</v>
      </c>
      <c r="AV139" s="116">
        <v>-70</v>
      </c>
      <c r="AW139" s="115">
        <v>-40</v>
      </c>
      <c r="AX139" s="115">
        <v>-80</v>
      </c>
      <c r="AY139" s="115">
        <v>-190</v>
      </c>
      <c r="AZ139" s="115">
        <f>BA139*4-SUM(AW139:AY139)</f>
        <v>-90</v>
      </c>
      <c r="BA139" s="116">
        <v>-100</v>
      </c>
      <c r="BB139" s="115">
        <v>40</v>
      </c>
      <c r="BC139" s="115">
        <v>-50</v>
      </c>
      <c r="BD139" s="115">
        <v>80</v>
      </c>
      <c r="BE139" s="115">
        <f>BF139*4-SUM(BB139:BD139)</f>
        <v>-70</v>
      </c>
      <c r="BF139" s="116">
        <v>0</v>
      </c>
      <c r="BG139" s="115">
        <f>-80</f>
        <v>-80</v>
      </c>
      <c r="BH139" s="115">
        <v>-100</v>
      </c>
      <c r="BI139" s="115">
        <v>-240</v>
      </c>
      <c r="BJ139" s="115">
        <f>BK139*4-SUM(BG139:BI139)</f>
        <v>-140</v>
      </c>
      <c r="BK139" s="116">
        <v>-140</v>
      </c>
      <c r="BL139" s="115">
        <v>-40</v>
      </c>
      <c r="BM139" s="115">
        <v>-80</v>
      </c>
      <c r="BN139" s="115" t="s">
        <v>322</v>
      </c>
      <c r="BO139" s="115">
        <f>BP139*4-SUM(BL139:BN139)</f>
        <v>-440</v>
      </c>
      <c r="BP139" s="220">
        <v>-140</v>
      </c>
      <c r="BQ139" s="115">
        <v>-120</v>
      </c>
      <c r="BR139" s="115">
        <v>110</v>
      </c>
      <c r="BS139" s="115">
        <v>-100</v>
      </c>
      <c r="BT139" s="115">
        <f>BU139*4-SUM(BQ139:BS139)</f>
        <v>150</v>
      </c>
      <c r="BU139" s="220">
        <v>10</v>
      </c>
      <c r="BV139" s="115">
        <v>-120</v>
      </c>
      <c r="BW139" s="115">
        <f>-60-40</f>
        <v>-100</v>
      </c>
      <c r="BX139" s="115">
        <f>-120-50</f>
        <v>-170</v>
      </c>
      <c r="BY139" s="115">
        <f>BZ139*4-SUM(BV139:BX139)</f>
        <v>-130</v>
      </c>
      <c r="BZ139" s="220">
        <v>-130</v>
      </c>
      <c r="CA139" s="115">
        <v>-190</v>
      </c>
      <c r="CB139" s="115">
        <v>-430</v>
      </c>
      <c r="CC139" s="115">
        <v>-360</v>
      </c>
      <c r="CD139" s="115">
        <f>CE139*4-SUM(CA139:CC139)</f>
        <v>-340</v>
      </c>
      <c r="CE139" s="220">
        <v>-330</v>
      </c>
      <c r="CF139" s="115">
        <v>-180</v>
      </c>
      <c r="CG139" s="115">
        <v>-50</v>
      </c>
      <c r="CH139" s="115">
        <v>50</v>
      </c>
      <c r="CI139" s="115">
        <f>CJ139*4-SUM(CF139:CH139)</f>
        <v>220</v>
      </c>
      <c r="CJ139" s="220">
        <v>10</v>
      </c>
      <c r="CK139" s="115">
        <v>120</v>
      </c>
      <c r="CL139" s="115">
        <v>260</v>
      </c>
      <c r="CM139" s="115">
        <v>-70</v>
      </c>
      <c r="CN139" s="115">
        <f>CO139*4-SUM(CK139:CM139)</f>
        <v>10</v>
      </c>
      <c r="CO139" s="220">
        <v>80</v>
      </c>
      <c r="CP139" s="115">
        <v>-100</v>
      </c>
      <c r="CQ139" s="115">
        <v>-360</v>
      </c>
      <c r="CR139" s="115">
        <v>-270</v>
      </c>
      <c r="CS139" s="115">
        <f t="shared" ref="CS139:CS141" si="363">CT139*4-SUM(CP139:CR139)</f>
        <v>650</v>
      </c>
      <c r="CT139" s="220">
        <v>-20</v>
      </c>
      <c r="CU139" s="186"/>
      <c r="CV139" s="186"/>
      <c r="CW139" s="186"/>
      <c r="CX139" s="186"/>
      <c r="CY139" s="220"/>
      <c r="CZ139" s="186"/>
      <c r="DA139" s="186"/>
      <c r="DB139" s="186"/>
      <c r="DC139" s="186"/>
      <c r="DD139" s="220"/>
      <c r="DE139" s="186"/>
      <c r="DF139" s="186"/>
      <c r="DG139" s="186"/>
      <c r="DH139" s="186"/>
      <c r="DI139" s="220"/>
    </row>
    <row r="140" spans="1:113" s="3" customFormat="1" ht="12" hidden="1" customHeight="1" outlineLevel="1">
      <c r="A140" s="219" t="str">
        <f t="shared" ref="A140:A218" si="364">IF(ISBLANK(B140),"Scrap", " ")</f>
        <v xml:space="preserve"> </v>
      </c>
      <c r="B140" s="110" t="s">
        <v>139</v>
      </c>
      <c r="C140" s="485"/>
      <c r="D140" s="220"/>
      <c r="E140" s="184"/>
      <c r="F140" s="220"/>
      <c r="G140" s="184"/>
      <c r="H140" s="220"/>
      <c r="I140" s="184"/>
      <c r="J140" s="220"/>
      <c r="K140" s="184"/>
      <c r="L140" s="220"/>
      <c r="M140" s="184"/>
      <c r="N140" s="220"/>
      <c r="O140" s="220"/>
      <c r="P140" s="184"/>
      <c r="Q140" s="220"/>
      <c r="R140" s="485"/>
      <c r="S140" s="485"/>
      <c r="T140" s="485"/>
      <c r="U140" s="485"/>
      <c r="V140" s="220"/>
      <c r="W140" s="184"/>
      <c r="X140" s="184"/>
      <c r="Y140" s="184"/>
      <c r="Z140" s="184"/>
      <c r="AA140" s="220"/>
      <c r="AB140" s="220"/>
      <c r="AC140" s="184"/>
      <c r="AD140" s="184"/>
      <c r="AE140" s="184"/>
      <c r="AF140" s="184"/>
      <c r="AG140" s="220"/>
      <c r="AH140" s="115">
        <v>-60</v>
      </c>
      <c r="AI140" s="115">
        <v>-60</v>
      </c>
      <c r="AJ140" s="115">
        <v>-20</v>
      </c>
      <c r="AK140" s="115">
        <f>AL140*4-SUM(AH140:AJ140)</f>
        <v>-60</v>
      </c>
      <c r="AL140" s="116">
        <v>-50</v>
      </c>
      <c r="AM140" s="115">
        <v>20</v>
      </c>
      <c r="AN140" s="115">
        <v>30</v>
      </c>
      <c r="AO140" s="115">
        <v>0</v>
      </c>
      <c r="AP140" s="115">
        <f>AQ140*4-SUM(AM140:AO140)</f>
        <v>30</v>
      </c>
      <c r="AQ140" s="116">
        <v>20</v>
      </c>
      <c r="AR140" s="115">
        <v>0</v>
      </c>
      <c r="AS140" s="115">
        <v>-50</v>
      </c>
      <c r="AT140" s="115">
        <v>-80</v>
      </c>
      <c r="AU140" s="115">
        <f>AV140*4-SUM(AR140:AT140)</f>
        <v>-30</v>
      </c>
      <c r="AV140" s="116">
        <v>-40</v>
      </c>
      <c r="AW140" s="115">
        <v>-40</v>
      </c>
      <c r="AX140" s="115">
        <v>-70</v>
      </c>
      <c r="AY140" s="115">
        <v>-80</v>
      </c>
      <c r="AZ140" s="115">
        <f>BA140*4-SUM(AW140:AY140)</f>
        <v>-170</v>
      </c>
      <c r="BA140" s="116">
        <v>-90</v>
      </c>
      <c r="BB140" s="115">
        <v>-130</v>
      </c>
      <c r="BC140" s="115">
        <v>-120</v>
      </c>
      <c r="BD140" s="115">
        <v>-90</v>
      </c>
      <c r="BE140" s="115">
        <f>BF140*4-SUM(BB140:BD140)</f>
        <v>-20</v>
      </c>
      <c r="BF140" s="116">
        <v>-90</v>
      </c>
      <c r="BG140" s="187" t="s">
        <v>322</v>
      </c>
      <c r="BH140" s="187">
        <v>-20</v>
      </c>
      <c r="BI140" s="115">
        <v>70</v>
      </c>
      <c r="BJ140" s="115">
        <f>BK140*4-SUM(BG140:BI140)</f>
        <v>30</v>
      </c>
      <c r="BK140" s="116">
        <v>20</v>
      </c>
      <c r="BL140" s="115">
        <v>-50</v>
      </c>
      <c r="BM140" s="115">
        <v>-20</v>
      </c>
      <c r="BN140" s="115">
        <v>-50</v>
      </c>
      <c r="BO140" s="115">
        <f>BP140*4-SUM(BL140:BN140)</f>
        <v>-40</v>
      </c>
      <c r="BP140" s="220">
        <v>-40</v>
      </c>
      <c r="BQ140" s="115">
        <v>-30</v>
      </c>
      <c r="BR140" s="115">
        <v>-30</v>
      </c>
      <c r="BS140" s="115">
        <f>-50</f>
        <v>-50</v>
      </c>
      <c r="BT140" s="115">
        <f>BU140*4-SUM(BQ140:BS140)</f>
        <v>-10</v>
      </c>
      <c r="BU140" s="220">
        <v>-30</v>
      </c>
      <c r="BV140" s="115">
        <v>20</v>
      </c>
      <c r="BW140" s="115">
        <v>40</v>
      </c>
      <c r="BX140" s="115">
        <v>80</v>
      </c>
      <c r="BY140" s="115">
        <f>BZ140*4-SUM(BV140:BX140)</f>
        <v>100</v>
      </c>
      <c r="BZ140" s="220">
        <v>60</v>
      </c>
      <c r="CA140" s="115">
        <v>-70</v>
      </c>
      <c r="CB140" s="115">
        <v>-90</v>
      </c>
      <c r="CC140" s="115">
        <v>-140</v>
      </c>
      <c r="CD140" s="115">
        <f>CE140*4-SUM(CA140:CC140)</f>
        <v>-100</v>
      </c>
      <c r="CE140" s="220">
        <v>-100</v>
      </c>
      <c r="CF140" s="115">
        <v>-90</v>
      </c>
      <c r="CG140" s="115">
        <v>-60</v>
      </c>
      <c r="CH140" s="115">
        <v>10</v>
      </c>
      <c r="CI140" s="115">
        <f>CJ140*4-SUM(CF140:CH140)</f>
        <v>-20</v>
      </c>
      <c r="CJ140" s="220">
        <v>-40</v>
      </c>
      <c r="CK140" s="115">
        <v>0</v>
      </c>
      <c r="CL140" s="115">
        <v>20</v>
      </c>
      <c r="CM140" s="115">
        <v>-30</v>
      </c>
      <c r="CN140" s="115">
        <f>CO140*4-SUM(CK140:CM140)</f>
        <v>-30</v>
      </c>
      <c r="CO140" s="220">
        <v>-10</v>
      </c>
      <c r="CP140" s="115">
        <v>30</v>
      </c>
      <c r="CQ140" s="115">
        <v>40</v>
      </c>
      <c r="CR140" s="115">
        <v>10</v>
      </c>
      <c r="CS140" s="115">
        <f t="shared" si="363"/>
        <v>0</v>
      </c>
      <c r="CT140" s="220">
        <v>20</v>
      </c>
      <c r="CU140" s="186"/>
      <c r="CV140" s="186"/>
      <c r="CW140" s="186"/>
      <c r="CX140" s="186"/>
      <c r="CY140" s="220"/>
      <c r="CZ140" s="186"/>
      <c r="DA140" s="186"/>
      <c r="DB140" s="186"/>
      <c r="DC140" s="186"/>
      <c r="DD140" s="220"/>
      <c r="DE140" s="186"/>
      <c r="DF140" s="186"/>
      <c r="DG140" s="186"/>
      <c r="DH140" s="186"/>
      <c r="DI140" s="220"/>
    </row>
    <row r="141" spans="1:113" s="3" customFormat="1" ht="12" hidden="1" customHeight="1" outlineLevel="1">
      <c r="A141" s="219" t="str">
        <f t="shared" si="364"/>
        <v xml:space="preserve"> </v>
      </c>
      <c r="B141" s="110" t="s">
        <v>26</v>
      </c>
      <c r="C141" s="485"/>
      <c r="D141" s="220"/>
      <c r="E141" s="184"/>
      <c r="F141" s="220"/>
      <c r="G141" s="184"/>
      <c r="H141" s="220"/>
      <c r="I141" s="184"/>
      <c r="J141" s="220"/>
      <c r="K141" s="184"/>
      <c r="L141" s="220"/>
      <c r="M141" s="184"/>
      <c r="N141" s="220"/>
      <c r="O141" s="220"/>
      <c r="P141" s="184"/>
      <c r="Q141" s="220"/>
      <c r="R141" s="485"/>
      <c r="S141" s="485"/>
      <c r="T141" s="485"/>
      <c r="U141" s="485"/>
      <c r="V141" s="220"/>
      <c r="W141" s="184"/>
      <c r="X141" s="184"/>
      <c r="Y141" s="184"/>
      <c r="Z141" s="184"/>
      <c r="AA141" s="220"/>
      <c r="AB141" s="220"/>
      <c r="AC141" s="184"/>
      <c r="AD141" s="184"/>
      <c r="AE141" s="184"/>
      <c r="AF141" s="184"/>
      <c r="AG141" s="220"/>
      <c r="AH141" s="115">
        <f>AH135-SUM(AH137:AH140)</f>
        <v>34.656954068993457</v>
      </c>
      <c r="AI141" s="115">
        <f t="shared" ref="AI141:CF141" si="365">AI135-SUM(AI137:AI140)</f>
        <v>45.809269516188323</v>
      </c>
      <c r="AJ141" s="115">
        <f t="shared" si="365"/>
        <v>-21.515747350621073</v>
      </c>
      <c r="AK141" s="115">
        <f t="shared" si="365"/>
        <v>8.8971744220363291</v>
      </c>
      <c r="AL141" s="116">
        <f t="shared" si="365"/>
        <v>18.114458534954167</v>
      </c>
      <c r="AM141" s="115">
        <f t="shared" si="365"/>
        <v>28.83975891675064</v>
      </c>
      <c r="AN141" s="115">
        <f t="shared" si="365"/>
        <v>33.790165269091474</v>
      </c>
      <c r="AO141" s="115">
        <f t="shared" si="365"/>
        <v>41.833515602048379</v>
      </c>
      <c r="AP141" s="115">
        <f t="shared" si="365"/>
        <v>-100.07694894698369</v>
      </c>
      <c r="AQ141" s="116">
        <f t="shared" si="365"/>
        <v>-0.23086769015456809</v>
      </c>
      <c r="AR141" s="115">
        <f t="shared" si="365"/>
        <v>-53.699929905277486</v>
      </c>
      <c r="AS141" s="115">
        <f t="shared" si="365"/>
        <v>-73.094952495192274</v>
      </c>
      <c r="AT141" s="115">
        <f t="shared" si="365"/>
        <v>-129.61481153135435</v>
      </c>
      <c r="AU141" s="115">
        <f t="shared" si="365"/>
        <v>-36.414751169170913</v>
      </c>
      <c r="AV141" s="116">
        <f t="shared" si="365"/>
        <v>-72.804322986807421</v>
      </c>
      <c r="AW141" s="115">
        <f t="shared" si="365"/>
        <v>-117.76859306624374</v>
      </c>
      <c r="AX141" s="115">
        <f t="shared" si="365"/>
        <v>-64.497231495107059</v>
      </c>
      <c r="AY141" s="115">
        <f t="shared" si="365"/>
        <v>94.464967454659728</v>
      </c>
      <c r="AZ141" s="115">
        <f t="shared" si="365"/>
        <v>-16.530201897334706</v>
      </c>
      <c r="BA141" s="116">
        <f t="shared" si="365"/>
        <v>-26.462353374055567</v>
      </c>
      <c r="BB141" s="115">
        <f t="shared" si="365"/>
        <v>77.976578444737044</v>
      </c>
      <c r="BC141" s="115">
        <f t="shared" si="365"/>
        <v>39.204913070594458</v>
      </c>
      <c r="BD141" s="115">
        <f t="shared" si="365"/>
        <v>-33.995278977934667</v>
      </c>
      <c r="BE141" s="115">
        <f t="shared" si="365"/>
        <v>16.46628557739453</v>
      </c>
      <c r="BF141" s="116">
        <f t="shared" si="365"/>
        <v>26.235870728344352</v>
      </c>
      <c r="BG141" s="115">
        <f t="shared" si="365"/>
        <v>-18.263051661362375</v>
      </c>
      <c r="BH141" s="115">
        <f t="shared" si="365"/>
        <v>-30.609036111852632</v>
      </c>
      <c r="BI141" s="115">
        <f t="shared" si="365"/>
        <v>11.270491579245089</v>
      </c>
      <c r="BJ141" s="115">
        <f t="shared" si="365"/>
        <v>56.926066154541232</v>
      </c>
      <c r="BK141" s="116">
        <f t="shared" si="365"/>
        <v>3.2336939289324249</v>
      </c>
      <c r="BL141" s="115">
        <f t="shared" si="365"/>
        <v>39.43447012645882</v>
      </c>
      <c r="BM141" s="115">
        <f t="shared" si="365"/>
        <v>-8.5914539128733871</v>
      </c>
      <c r="BN141" s="115">
        <f t="shared" si="365"/>
        <v>-27.659046159253023</v>
      </c>
      <c r="BO141" s="115">
        <f t="shared" si="365"/>
        <v>-582.06348226685714</v>
      </c>
      <c r="BP141" s="116">
        <f t="shared" si="365"/>
        <v>-84.946419081419236</v>
      </c>
      <c r="BQ141" s="115">
        <f t="shared" si="365"/>
        <v>5.7562406558846675</v>
      </c>
      <c r="BR141" s="115">
        <f t="shared" si="365"/>
        <v>-19.415396937365671</v>
      </c>
      <c r="BS141" s="115">
        <f t="shared" si="365"/>
        <v>9.3790881676176809</v>
      </c>
      <c r="BT141" s="115">
        <f t="shared" si="365"/>
        <v>603.94351315922825</v>
      </c>
      <c r="BU141" s="220">
        <f t="shared" si="365"/>
        <v>89.850290698862466</v>
      </c>
      <c r="BV141" s="115">
        <f t="shared" si="365"/>
        <v>55.380565537078269</v>
      </c>
      <c r="BW141" s="115">
        <f t="shared" si="365"/>
        <v>58.993707029165364</v>
      </c>
      <c r="BX141" s="115">
        <f t="shared" si="365"/>
        <v>-15.313963386416773</v>
      </c>
      <c r="BY141" s="115">
        <f t="shared" si="365"/>
        <v>56.946953927470162</v>
      </c>
      <c r="BZ141" s="220">
        <f t="shared" si="365"/>
        <v>36.357581741302056</v>
      </c>
      <c r="CA141" s="115">
        <f t="shared" si="365"/>
        <v>-74.765013761212799</v>
      </c>
      <c r="CB141" s="115">
        <f t="shared" si="365"/>
        <v>-30.973052528541984</v>
      </c>
      <c r="CC141" s="115">
        <f t="shared" si="365"/>
        <v>-56.077206396326346</v>
      </c>
      <c r="CD141" s="115">
        <f t="shared" si="365"/>
        <v>54.453105954357767</v>
      </c>
      <c r="CE141" s="220">
        <f t="shared" si="365"/>
        <v>-25.911842511982741</v>
      </c>
      <c r="CF141" s="115">
        <f t="shared" si="365"/>
        <v>-45.046690245665843</v>
      </c>
      <c r="CG141" s="115">
        <f>CG135-SUM(CG137:CG140)</f>
        <v>0.81656907767140297</v>
      </c>
      <c r="CH141" s="115">
        <f>CH135-SUM(CH137:CH140)</f>
        <v>0.75847180021256122</v>
      </c>
      <c r="CI141" s="115">
        <f t="shared" ref="CI141" si="366">CI135-SUM(CI137:CI140)</f>
        <v>-12.479493195943661</v>
      </c>
      <c r="CJ141" s="220">
        <f>10-20-10</f>
        <v>-20</v>
      </c>
      <c r="CK141" s="115">
        <f>-60+50</f>
        <v>-10</v>
      </c>
      <c r="CL141" s="115">
        <f>-70-20+50</f>
        <v>-40</v>
      </c>
      <c r="CM141" s="115">
        <f>-90-20+50</f>
        <v>-60</v>
      </c>
      <c r="CN141" s="115">
        <f t="shared" ref="CN141" si="367">CN135-SUM(CN137:CN140)</f>
        <v>-142.87904372489305</v>
      </c>
      <c r="CO141" s="220">
        <f>-90+20+10+20</f>
        <v>-40</v>
      </c>
      <c r="CP141" s="115">
        <f>-30+50</f>
        <v>20</v>
      </c>
      <c r="CQ141" s="115">
        <f>-20+50+40</f>
        <v>70</v>
      </c>
      <c r="CR141" s="115">
        <f>-30+60+20</f>
        <v>50</v>
      </c>
      <c r="CS141" s="115">
        <f t="shared" si="363"/>
        <v>20</v>
      </c>
      <c r="CT141" s="220">
        <f>20+20</f>
        <v>40</v>
      </c>
      <c r="CU141" s="186"/>
      <c r="CV141" s="186"/>
      <c r="CW141" s="186"/>
      <c r="CX141" s="186"/>
      <c r="CY141" s="220"/>
      <c r="CZ141" s="186"/>
      <c r="DA141" s="186"/>
      <c r="DB141" s="186"/>
      <c r="DC141" s="186"/>
      <c r="DD141" s="220"/>
      <c r="DE141" s="186"/>
      <c r="DF141" s="186"/>
      <c r="DG141" s="186"/>
      <c r="DH141" s="186"/>
      <c r="DI141" s="220"/>
    </row>
    <row r="142" spans="1:113" s="3" customFormat="1" ht="12" customHeight="1" collapsed="1">
      <c r="A142" s="219"/>
      <c r="B142" s="110"/>
      <c r="C142" s="217"/>
      <c r="D142" s="220"/>
      <c r="E142" s="184"/>
      <c r="F142" s="220"/>
      <c r="G142" s="184"/>
      <c r="H142" s="220"/>
      <c r="I142" s="184"/>
      <c r="J142" s="220"/>
      <c r="K142" s="184"/>
      <c r="L142" s="220"/>
      <c r="M142" s="184"/>
      <c r="N142" s="220"/>
      <c r="O142" s="220"/>
      <c r="P142" s="184"/>
      <c r="Q142" s="220"/>
      <c r="R142" s="217"/>
      <c r="S142" s="217"/>
      <c r="T142" s="217"/>
      <c r="U142" s="217"/>
      <c r="V142" s="220"/>
      <c r="W142" s="184"/>
      <c r="X142" s="184"/>
      <c r="Y142" s="184"/>
      <c r="Z142" s="184"/>
      <c r="AA142" s="220"/>
      <c r="AB142" s="112"/>
      <c r="AC142" s="184"/>
      <c r="AD142" s="184"/>
      <c r="AE142" s="184"/>
      <c r="AF142" s="184"/>
      <c r="AG142" s="220"/>
      <c r="AH142" s="115"/>
      <c r="AI142" s="115"/>
      <c r="AJ142" s="115"/>
      <c r="AK142" s="115"/>
      <c r="AL142" s="116"/>
      <c r="AM142" s="115"/>
      <c r="AN142" s="115"/>
      <c r="AO142" s="115"/>
      <c r="AP142" s="115"/>
      <c r="AQ142" s="116"/>
      <c r="AR142" s="115"/>
      <c r="AS142" s="115"/>
      <c r="AT142" s="115"/>
      <c r="AU142" s="115"/>
      <c r="AV142" s="116"/>
      <c r="AW142" s="115"/>
      <c r="AX142" s="115"/>
      <c r="AY142" s="115"/>
      <c r="AZ142" s="115"/>
      <c r="BA142" s="116"/>
      <c r="BB142" s="115"/>
      <c r="BC142" s="115"/>
      <c r="BD142" s="115"/>
      <c r="BE142" s="186"/>
      <c r="BF142" s="220"/>
      <c r="BG142" s="186"/>
      <c r="BH142" s="186"/>
      <c r="BI142" s="186"/>
      <c r="BJ142" s="186"/>
      <c r="BK142" s="220"/>
      <c r="BL142" s="186"/>
      <c r="BM142" s="186"/>
      <c r="BN142" s="186"/>
      <c r="BO142" s="186"/>
      <c r="BP142" s="220"/>
      <c r="BQ142" s="186"/>
      <c r="BR142" s="186"/>
      <c r="BS142" s="186"/>
      <c r="BT142" s="186"/>
      <c r="BU142" s="220"/>
      <c r="BV142" s="186"/>
      <c r="BW142" s="186"/>
      <c r="BX142" s="186"/>
      <c r="BY142" s="186"/>
      <c r="BZ142" s="220"/>
      <c r="CA142" s="186"/>
      <c r="CB142" s="186"/>
      <c r="CC142" s="186"/>
      <c r="CD142" s="186"/>
      <c r="CE142" s="112"/>
      <c r="CF142" s="186"/>
      <c r="CG142" s="186"/>
      <c r="CH142" s="186"/>
      <c r="CI142" s="186"/>
      <c r="CJ142" s="220"/>
      <c r="CK142" s="186"/>
      <c r="CL142" s="186"/>
      <c r="CM142" s="186"/>
      <c r="CN142" s="186"/>
      <c r="CO142" s="220"/>
      <c r="CP142" s="186"/>
      <c r="CQ142" s="186"/>
      <c r="CR142" s="186"/>
      <c r="CS142" s="186"/>
      <c r="CT142" s="220"/>
      <c r="CU142" s="186"/>
      <c r="CV142" s="186"/>
      <c r="CW142" s="186"/>
      <c r="CX142" s="186"/>
      <c r="CY142" s="220"/>
      <c r="CZ142" s="186"/>
      <c r="DA142" s="186"/>
      <c r="DB142" s="186"/>
      <c r="DC142" s="186"/>
      <c r="DD142" s="220"/>
      <c r="DE142" s="186"/>
      <c r="DF142" s="186"/>
      <c r="DG142" s="186"/>
      <c r="DH142" s="186"/>
      <c r="DI142" s="220"/>
    </row>
    <row r="143" spans="1:113" ht="12" customHeight="1">
      <c r="A143" s="5" t="str">
        <f t="shared" si="364"/>
        <v xml:space="preserve"> </v>
      </c>
      <c r="B143" s="61" t="s">
        <v>429</v>
      </c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37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90"/>
      <c r="AP143" s="90"/>
      <c r="AQ143" s="89"/>
      <c r="AR143" s="89"/>
      <c r="AS143" s="89"/>
      <c r="AT143" s="90"/>
      <c r="AU143" s="90"/>
      <c r="AV143" s="90"/>
      <c r="AW143" s="89"/>
      <c r="AX143" s="89"/>
      <c r="AY143" s="90"/>
      <c r="AZ143" s="90"/>
      <c r="BA143" s="90"/>
      <c r="BB143" s="89"/>
      <c r="BC143" s="89"/>
      <c r="BD143" s="90"/>
      <c r="BE143" s="90"/>
      <c r="BF143" s="90"/>
      <c r="BG143" s="89"/>
      <c r="BH143" s="89"/>
      <c r="BI143" s="90"/>
      <c r="BJ143" s="90"/>
      <c r="BK143" s="90"/>
      <c r="BL143" s="89"/>
      <c r="BM143" s="89"/>
      <c r="BN143" s="90"/>
      <c r="BO143" s="90"/>
      <c r="BP143" s="90"/>
      <c r="BQ143" s="89"/>
      <c r="BR143" s="89"/>
      <c r="BS143" s="90"/>
      <c r="BT143" s="90"/>
      <c r="BU143" s="90"/>
      <c r="BV143" s="89"/>
      <c r="BW143" s="89"/>
      <c r="BX143" s="90"/>
      <c r="BY143" s="90"/>
      <c r="BZ143" s="90"/>
      <c r="CA143" s="89"/>
      <c r="CB143" s="89"/>
      <c r="CC143" s="90"/>
      <c r="CD143" s="90"/>
      <c r="CE143" s="90"/>
      <c r="CF143" s="89"/>
      <c r="CG143" s="89"/>
      <c r="CH143" s="90"/>
      <c r="CI143" s="90"/>
      <c r="CJ143" s="90"/>
      <c r="CK143" s="89"/>
      <c r="CL143" s="89"/>
      <c r="CM143" s="90"/>
      <c r="CN143" s="90"/>
      <c r="CO143" s="90"/>
      <c r="CP143" s="89"/>
      <c r="CQ143" s="89"/>
      <c r="CR143" s="90"/>
      <c r="CS143" s="90"/>
      <c r="CT143" s="90"/>
      <c r="CU143" s="89"/>
      <c r="CV143" s="89"/>
      <c r="CW143" s="90"/>
      <c r="CX143" s="90"/>
      <c r="CY143" s="89"/>
      <c r="CZ143" s="89"/>
      <c r="DA143" s="89"/>
      <c r="DB143" s="90"/>
      <c r="DC143" s="90"/>
      <c r="DD143" s="89"/>
      <c r="DE143" s="89"/>
      <c r="DF143" s="89"/>
      <c r="DG143" s="90"/>
      <c r="DH143" s="90"/>
      <c r="DI143" s="182"/>
    </row>
    <row r="144" spans="1:113" ht="12" customHeight="1">
      <c r="A144" s="219"/>
      <c r="B144" s="17"/>
      <c r="C144" s="36"/>
      <c r="D144" s="43"/>
      <c r="E144" s="36"/>
      <c r="F144" s="43"/>
      <c r="G144" s="36"/>
      <c r="H144" s="43"/>
      <c r="I144" s="36"/>
      <c r="J144" s="43"/>
      <c r="K144" s="36"/>
      <c r="L144" s="43"/>
      <c r="M144" s="36"/>
      <c r="N144" s="43"/>
      <c r="O144" s="36"/>
      <c r="P144" s="43"/>
      <c r="Q144" s="36"/>
      <c r="R144" s="43"/>
      <c r="S144" s="43"/>
      <c r="T144" s="43"/>
      <c r="U144" s="43"/>
      <c r="V144" s="36"/>
      <c r="W144" s="43"/>
      <c r="X144" s="43"/>
      <c r="Y144" s="43"/>
      <c r="Z144" s="43"/>
      <c r="AA144" s="36"/>
      <c r="AB144" s="36"/>
      <c r="AC144" s="43"/>
      <c r="AD144" s="43"/>
      <c r="AE144" s="43"/>
      <c r="AF144" s="43"/>
      <c r="AG144" s="36"/>
      <c r="AH144" s="43"/>
      <c r="AI144" s="43"/>
      <c r="AJ144" s="43"/>
      <c r="AK144" s="43"/>
      <c r="AL144" s="36"/>
      <c r="AM144" s="43"/>
      <c r="AN144" s="43"/>
      <c r="AO144" s="43"/>
      <c r="AP144" s="43"/>
      <c r="AQ144" s="36"/>
      <c r="AR144" s="43"/>
      <c r="AS144" s="43"/>
      <c r="AT144" s="43"/>
      <c r="AU144" s="43"/>
      <c r="AV144" s="36"/>
      <c r="AW144" s="43"/>
      <c r="AX144" s="43"/>
      <c r="AY144" s="43"/>
      <c r="AZ144" s="43"/>
      <c r="BA144" s="36"/>
      <c r="BB144" s="43"/>
      <c r="BC144" s="43"/>
      <c r="BD144" s="43"/>
      <c r="BE144" s="43"/>
      <c r="BF144" s="36"/>
      <c r="BG144" s="43"/>
      <c r="BH144" s="43"/>
      <c r="BI144" s="43"/>
      <c r="BJ144" s="43"/>
      <c r="BK144" s="36"/>
      <c r="BL144" s="43"/>
      <c r="BM144" s="43"/>
      <c r="BN144" s="43"/>
      <c r="BO144" s="43"/>
      <c r="BP144" s="36"/>
      <c r="BQ144" s="43"/>
      <c r="BR144" s="43"/>
      <c r="BS144" s="43"/>
      <c r="BT144" s="43"/>
      <c r="BU144" s="36"/>
      <c r="BV144" s="43"/>
      <c r="BW144" s="43"/>
      <c r="BX144" s="43"/>
      <c r="BY144" s="43"/>
      <c r="BZ144" s="36"/>
      <c r="CA144" s="43"/>
      <c r="CB144" s="43"/>
      <c r="CC144" s="43"/>
      <c r="CD144" s="43"/>
      <c r="CE144" s="36"/>
      <c r="CF144" s="43"/>
      <c r="CG144" s="43"/>
      <c r="CH144" s="43"/>
      <c r="CI144" s="43"/>
      <c r="CJ144" s="36"/>
      <c r="CK144" s="43"/>
      <c r="CL144" s="43"/>
      <c r="CM144" s="43"/>
      <c r="CN144" s="43"/>
      <c r="CO144" s="36"/>
      <c r="CP144" s="43"/>
      <c r="CQ144" s="43"/>
      <c r="CR144" s="43"/>
      <c r="CS144" s="43"/>
      <c r="CT144" s="36"/>
      <c r="CU144" s="43"/>
      <c r="CV144" s="43"/>
      <c r="CW144" s="43"/>
      <c r="CX144" s="43"/>
      <c r="CY144" s="36"/>
      <c r="CZ144" s="43"/>
      <c r="DA144" s="43"/>
      <c r="DB144" s="43"/>
      <c r="DC144" s="43"/>
      <c r="DD144" s="36"/>
      <c r="DE144" s="43"/>
      <c r="DF144" s="43"/>
      <c r="DG144" s="43"/>
      <c r="DH144" s="43"/>
      <c r="DI144" s="36"/>
    </row>
    <row r="145" spans="1:113" s="4" customFormat="1" ht="12" customHeight="1">
      <c r="A145" s="560" t="str">
        <f t="shared" ref="A145" si="368">IF(ISBLANK(B145),"Scrap", " ")</f>
        <v xml:space="preserve"> </v>
      </c>
      <c r="B145" s="563" t="s">
        <v>428</v>
      </c>
      <c r="C145" s="364"/>
      <c r="D145" s="363"/>
      <c r="E145" s="364"/>
      <c r="F145" s="363"/>
      <c r="G145" s="364"/>
      <c r="H145" s="363"/>
      <c r="I145" s="364"/>
      <c r="J145" s="363"/>
      <c r="K145" s="364"/>
      <c r="L145" s="363"/>
      <c r="M145" s="364"/>
      <c r="N145" s="363"/>
      <c r="O145" s="364"/>
      <c r="P145" s="363"/>
      <c r="Q145" s="364"/>
      <c r="R145" s="363"/>
      <c r="S145" s="363"/>
      <c r="T145" s="363"/>
      <c r="U145" s="363"/>
      <c r="V145" s="364"/>
      <c r="W145" s="363"/>
      <c r="X145" s="363"/>
      <c r="Y145" s="363"/>
      <c r="Z145" s="363"/>
      <c r="AA145" s="364"/>
      <c r="AB145" s="364"/>
      <c r="AC145" s="363"/>
      <c r="AD145" s="363"/>
      <c r="AE145" s="363"/>
      <c r="AF145" s="363"/>
      <c r="AG145" s="364"/>
      <c r="AH145" s="363"/>
      <c r="AI145" s="363"/>
      <c r="AJ145" s="363"/>
      <c r="AK145" s="363"/>
      <c r="AL145" s="364"/>
      <c r="AM145" s="363"/>
      <c r="AN145" s="363"/>
      <c r="AO145" s="363"/>
      <c r="AP145" s="363"/>
      <c r="AQ145" s="364"/>
      <c r="AR145" s="363"/>
      <c r="AS145" s="363"/>
      <c r="AT145" s="363"/>
      <c r="AU145" s="363"/>
      <c r="AV145" s="364"/>
      <c r="AW145" s="363"/>
      <c r="AX145" s="363"/>
      <c r="AY145" s="363"/>
      <c r="AZ145" s="363"/>
      <c r="BA145" s="364"/>
      <c r="BB145" s="363"/>
      <c r="BC145" s="363"/>
      <c r="BD145" s="363"/>
      <c r="BE145" s="363"/>
      <c r="BF145" s="364"/>
      <c r="BG145" s="363"/>
      <c r="BH145" s="363"/>
      <c r="BI145" s="363"/>
      <c r="BJ145" s="363"/>
      <c r="BK145" s="364"/>
      <c r="BL145" s="363"/>
      <c r="BM145" s="363"/>
      <c r="BN145" s="363"/>
      <c r="BO145" s="363"/>
      <c r="BP145" s="364"/>
      <c r="BQ145" s="363"/>
      <c r="BR145" s="363"/>
      <c r="BS145" s="363"/>
      <c r="BT145" s="363"/>
      <c r="BU145" s="364"/>
      <c r="BV145" s="363"/>
      <c r="BW145" s="363"/>
      <c r="BX145" s="363"/>
      <c r="BY145" s="363"/>
      <c r="BZ145" s="364"/>
      <c r="CA145" s="363"/>
      <c r="CB145" s="363"/>
      <c r="CC145" s="363"/>
      <c r="CD145" s="363"/>
      <c r="CE145" s="364">
        <f>CE221+CE290+CE359+CE428+CE461</f>
        <v>21521</v>
      </c>
      <c r="CF145" s="363"/>
      <c r="CG145" s="363"/>
      <c r="CH145" s="363"/>
      <c r="CI145" s="363"/>
      <c r="CJ145" s="364">
        <f t="shared" ref="CJ145:CT145" si="369">CJ221+CJ290+CJ359+CJ428+CJ461</f>
        <v>21832</v>
      </c>
      <c r="CK145" s="363">
        <f t="shared" si="369"/>
        <v>4999</v>
      </c>
      <c r="CL145" s="363">
        <f t="shared" si="369"/>
        <v>5185</v>
      </c>
      <c r="CM145" s="363">
        <f t="shared" si="369"/>
        <v>4498</v>
      </c>
      <c r="CN145" s="363">
        <f t="shared" si="369"/>
        <v>4315</v>
      </c>
      <c r="CO145" s="364">
        <f t="shared" si="369"/>
        <v>18997</v>
      </c>
      <c r="CP145" s="363">
        <f t="shared" si="369"/>
        <v>4761</v>
      </c>
      <c r="CQ145" s="363">
        <f t="shared" si="369"/>
        <v>4912</v>
      </c>
      <c r="CR145" s="363">
        <f t="shared" si="369"/>
        <v>4402</v>
      </c>
      <c r="CS145" s="363">
        <f t="shared" si="369"/>
        <v>5225</v>
      </c>
      <c r="CT145" s="364">
        <f t="shared" si="369"/>
        <v>19300</v>
      </c>
      <c r="CU145" s="363"/>
      <c r="CV145" s="363"/>
      <c r="CW145" s="363"/>
      <c r="CX145" s="363"/>
      <c r="CY145" s="364"/>
      <c r="CZ145" s="363"/>
      <c r="DA145" s="363"/>
      <c r="DB145" s="363"/>
      <c r="DC145" s="363"/>
      <c r="DD145" s="364"/>
      <c r="DE145" s="363"/>
      <c r="DF145" s="363"/>
      <c r="DG145" s="363"/>
      <c r="DH145" s="363"/>
      <c r="DI145" s="364"/>
    </row>
    <row r="146" spans="1:113" s="529" customFormat="1" ht="12" customHeight="1">
      <c r="A146" s="564"/>
      <c r="B146" s="526" t="s">
        <v>171</v>
      </c>
      <c r="C146" s="112"/>
      <c r="D146" s="27"/>
      <c r="E146" s="112"/>
      <c r="F146" s="27"/>
      <c r="G146" s="112"/>
      <c r="H146" s="27"/>
      <c r="I146" s="112"/>
      <c r="J146" s="27"/>
      <c r="K146" s="112"/>
      <c r="L146" s="27"/>
      <c r="M146" s="112"/>
      <c r="N146" s="27"/>
      <c r="O146" s="112"/>
      <c r="P146" s="27"/>
      <c r="Q146" s="112"/>
      <c r="R146" s="27"/>
      <c r="S146" s="27"/>
      <c r="T146" s="27"/>
      <c r="U146" s="27"/>
      <c r="V146" s="112"/>
      <c r="W146" s="27"/>
      <c r="X146" s="27"/>
      <c r="Y146" s="27"/>
      <c r="Z146" s="27"/>
      <c r="AA146" s="112"/>
      <c r="AB146" s="112"/>
      <c r="AC146" s="27"/>
      <c r="AD146" s="27"/>
      <c r="AE146" s="27"/>
      <c r="AF146" s="27"/>
      <c r="AG146" s="112"/>
      <c r="AH146" s="27"/>
      <c r="AI146" s="27"/>
      <c r="AJ146" s="27"/>
      <c r="AK146" s="27"/>
      <c r="AL146" s="112"/>
      <c r="AM146" s="27"/>
      <c r="AN146" s="27"/>
      <c r="AO146" s="27"/>
      <c r="AP146" s="27"/>
      <c r="AQ146" s="112"/>
      <c r="AR146" s="27"/>
      <c r="AS146" s="27"/>
      <c r="AT146" s="27"/>
      <c r="AU146" s="27"/>
      <c r="AV146" s="112"/>
      <c r="AW146" s="27"/>
      <c r="AX146" s="27"/>
      <c r="AY146" s="27"/>
      <c r="AZ146" s="27"/>
      <c r="BA146" s="112"/>
      <c r="BB146" s="27"/>
      <c r="BC146" s="27"/>
      <c r="BD146" s="27"/>
      <c r="BE146" s="27"/>
      <c r="BF146" s="112"/>
      <c r="BG146" s="27"/>
      <c r="BH146" s="27"/>
      <c r="BI146" s="27"/>
      <c r="BJ146" s="27"/>
      <c r="BK146" s="112"/>
      <c r="BL146" s="27"/>
      <c r="BM146" s="27"/>
      <c r="BN146" s="27"/>
      <c r="BO146" s="27"/>
      <c r="BP146" s="112"/>
      <c r="BQ146" s="27"/>
      <c r="BR146" s="27"/>
      <c r="BS146" s="27"/>
      <c r="BT146" s="27"/>
      <c r="BU146" s="112"/>
      <c r="BV146" s="27"/>
      <c r="BW146" s="27"/>
      <c r="BX146" s="27"/>
      <c r="BY146" s="27"/>
      <c r="BZ146" s="112"/>
      <c r="CA146" s="27"/>
      <c r="CB146" s="27"/>
      <c r="CC146" s="27"/>
      <c r="CD146" s="27"/>
      <c r="CE146" s="232" t="s">
        <v>126</v>
      </c>
      <c r="CF146" s="27"/>
      <c r="CG146" s="27"/>
      <c r="CH146" s="27"/>
      <c r="CI146" s="27"/>
      <c r="CJ146" s="112">
        <f>CJ145/CE145-1</f>
        <v>1.4451001347520975E-2</v>
      </c>
      <c r="CK146" s="565" t="s">
        <v>126</v>
      </c>
      <c r="CL146" s="565" t="s">
        <v>126</v>
      </c>
      <c r="CM146" s="565" t="s">
        <v>126</v>
      </c>
      <c r="CN146" s="565" t="s">
        <v>126</v>
      </c>
      <c r="CO146" s="112">
        <f t="shared" ref="CO146:CT146" si="370">CO145/CJ145-1</f>
        <v>-0.129855258336387</v>
      </c>
      <c r="CP146" s="27">
        <f t="shared" si="370"/>
        <v>-4.7609521904380836E-2</v>
      </c>
      <c r="CQ146" s="27">
        <f t="shared" si="370"/>
        <v>-5.2651880424300912E-2</v>
      </c>
      <c r="CR146" s="27">
        <f t="shared" si="370"/>
        <v>-2.1342819030680249E-2</v>
      </c>
      <c r="CS146" s="27">
        <f t="shared" si="370"/>
        <v>0.21089223638470456</v>
      </c>
      <c r="CT146" s="112">
        <f t="shared" si="370"/>
        <v>1.5949886824235371E-2</v>
      </c>
      <c r="CU146" s="27"/>
      <c r="CV146" s="27"/>
      <c r="CW146" s="27"/>
      <c r="CX146" s="27"/>
      <c r="CY146" s="112"/>
      <c r="CZ146" s="27"/>
      <c r="DA146" s="27"/>
      <c r="DB146" s="27"/>
      <c r="DC146" s="27"/>
      <c r="DD146" s="112"/>
      <c r="DE146" s="27"/>
      <c r="DF146" s="27"/>
      <c r="DG146" s="27"/>
      <c r="DH146" s="27"/>
      <c r="DI146" s="112"/>
    </row>
    <row r="147" spans="1:113" s="529" customFormat="1" ht="12" customHeight="1">
      <c r="A147" s="564"/>
      <c r="B147" s="526" t="s">
        <v>170</v>
      </c>
      <c r="C147" s="112"/>
      <c r="D147" s="27"/>
      <c r="E147" s="112"/>
      <c r="F147" s="27"/>
      <c r="G147" s="112"/>
      <c r="H147" s="27"/>
      <c r="I147" s="112"/>
      <c r="J147" s="27"/>
      <c r="K147" s="112"/>
      <c r="L147" s="27"/>
      <c r="M147" s="112"/>
      <c r="N147" s="27"/>
      <c r="O147" s="112"/>
      <c r="P147" s="27"/>
      <c r="Q147" s="112"/>
      <c r="R147" s="27"/>
      <c r="S147" s="27"/>
      <c r="T147" s="27"/>
      <c r="U147" s="27"/>
      <c r="V147" s="112"/>
      <c r="W147" s="27"/>
      <c r="X147" s="27"/>
      <c r="Y147" s="27"/>
      <c r="Z147" s="27"/>
      <c r="AA147" s="112"/>
      <c r="AB147" s="112"/>
      <c r="AC147" s="27"/>
      <c r="AD147" s="27"/>
      <c r="AE147" s="27"/>
      <c r="AF147" s="27"/>
      <c r="AG147" s="112"/>
      <c r="AH147" s="27"/>
      <c r="AI147" s="27"/>
      <c r="AJ147" s="27"/>
      <c r="AK147" s="27"/>
      <c r="AL147" s="112"/>
      <c r="AM147" s="27"/>
      <c r="AN147" s="27"/>
      <c r="AO147" s="27"/>
      <c r="AP147" s="27"/>
      <c r="AQ147" s="112"/>
      <c r="AR147" s="27"/>
      <c r="AS147" s="27"/>
      <c r="AT147" s="27"/>
      <c r="AU147" s="27"/>
      <c r="AV147" s="112"/>
      <c r="AW147" s="27"/>
      <c r="AX147" s="27"/>
      <c r="AY147" s="27"/>
      <c r="AZ147" s="27"/>
      <c r="BA147" s="112"/>
      <c r="BB147" s="27"/>
      <c r="BC147" s="27"/>
      <c r="BD147" s="27"/>
      <c r="BE147" s="27"/>
      <c r="BF147" s="112"/>
      <c r="BG147" s="27"/>
      <c r="BH147" s="27"/>
      <c r="BI147" s="27"/>
      <c r="BJ147" s="27"/>
      <c r="BK147" s="112"/>
      <c r="BL147" s="27"/>
      <c r="BM147" s="27"/>
      <c r="BN147" s="27"/>
      <c r="BO147" s="27"/>
      <c r="BP147" s="112"/>
      <c r="BQ147" s="27"/>
      <c r="BR147" s="27"/>
      <c r="BS147" s="27"/>
      <c r="BT147" s="27"/>
      <c r="BU147" s="112"/>
      <c r="BV147" s="27"/>
      <c r="BW147" s="27"/>
      <c r="BX147" s="27"/>
      <c r="BY147" s="27"/>
      <c r="BZ147" s="112"/>
      <c r="CA147" s="27"/>
      <c r="CB147" s="27"/>
      <c r="CC147" s="27"/>
      <c r="CD147" s="27"/>
      <c r="CE147" s="112">
        <f>CE145/CE$14</f>
        <v>0.4413387199310953</v>
      </c>
      <c r="CF147" s="27"/>
      <c r="CG147" s="27"/>
      <c r="CH147" s="27"/>
      <c r="CI147" s="27"/>
      <c r="CJ147" s="112">
        <f t="shared" ref="CJ147:CT147" si="371">CJ145/CJ$14</f>
        <v>0.4426422286200884</v>
      </c>
      <c r="CK147" s="27">
        <f t="shared" si="371"/>
        <v>0.44991449914499143</v>
      </c>
      <c r="CL147" s="27">
        <f t="shared" si="371"/>
        <v>0.43389121338912134</v>
      </c>
      <c r="CM147" s="27">
        <f t="shared" si="371"/>
        <v>0.41303948576675847</v>
      </c>
      <c r="CN147" s="27">
        <f t="shared" si="371"/>
        <v>0.40091052680479422</v>
      </c>
      <c r="CO147" s="112">
        <f t="shared" si="371"/>
        <v>0.42485574987699604</v>
      </c>
      <c r="CP147" s="27">
        <f t="shared" si="371"/>
        <v>0.41902834008097167</v>
      </c>
      <c r="CQ147" s="27">
        <f t="shared" si="371"/>
        <v>0.40514681623226656</v>
      </c>
      <c r="CR147" s="27">
        <f t="shared" si="371"/>
        <v>0.39974573192880491</v>
      </c>
      <c r="CS147" s="27">
        <f t="shared" si="371"/>
        <v>0.48722491607609103</v>
      </c>
      <c r="CT147" s="112">
        <f t="shared" si="371"/>
        <v>0.42678342399716951</v>
      </c>
      <c r="CU147" s="27"/>
      <c r="CV147" s="27"/>
      <c r="CW147" s="27"/>
      <c r="CX147" s="27"/>
      <c r="CY147" s="112"/>
      <c r="CZ147" s="27"/>
      <c r="DA147" s="27"/>
      <c r="DB147" s="27"/>
      <c r="DC147" s="27"/>
      <c r="DD147" s="112"/>
      <c r="DE147" s="27"/>
      <c r="DF147" s="27"/>
      <c r="DG147" s="27"/>
      <c r="DH147" s="27"/>
      <c r="DI147" s="112"/>
    </row>
    <row r="148" spans="1:113" ht="12" customHeight="1">
      <c r="A148" s="219"/>
      <c r="B148" s="566" t="s">
        <v>174</v>
      </c>
      <c r="C148" s="36"/>
      <c r="D148" s="43"/>
      <c r="E148" s="36"/>
      <c r="F148" s="43"/>
      <c r="G148" s="36"/>
      <c r="H148" s="43"/>
      <c r="I148" s="36"/>
      <c r="J148" s="43"/>
      <c r="K148" s="36"/>
      <c r="L148" s="43"/>
      <c r="M148" s="36"/>
      <c r="N148" s="43"/>
      <c r="O148" s="36"/>
      <c r="P148" s="43"/>
      <c r="Q148" s="36"/>
      <c r="R148" s="43"/>
      <c r="S148" s="43"/>
      <c r="T148" s="43"/>
      <c r="U148" s="43"/>
      <c r="V148" s="36"/>
      <c r="W148" s="43"/>
      <c r="X148" s="43"/>
      <c r="Y148" s="43"/>
      <c r="Z148" s="43"/>
      <c r="AA148" s="36"/>
      <c r="AB148" s="36"/>
      <c r="AC148" s="43"/>
      <c r="AD148" s="43"/>
      <c r="AE148" s="43"/>
      <c r="AF148" s="43"/>
      <c r="AG148" s="36"/>
      <c r="AH148" s="43"/>
      <c r="AI148" s="43"/>
      <c r="AJ148" s="43"/>
      <c r="AK148" s="43"/>
      <c r="AL148" s="36"/>
      <c r="AM148" s="43"/>
      <c r="AN148" s="43"/>
      <c r="AO148" s="43"/>
      <c r="AP148" s="43"/>
      <c r="AQ148" s="36"/>
      <c r="AR148" s="43"/>
      <c r="AS148" s="43"/>
      <c r="AT148" s="43"/>
      <c r="AU148" s="43"/>
      <c r="AV148" s="36"/>
      <c r="AW148" s="43"/>
      <c r="AX148" s="43"/>
      <c r="AY148" s="43"/>
      <c r="AZ148" s="43"/>
      <c r="BA148" s="36"/>
      <c r="BB148" s="43"/>
      <c r="BC148" s="43"/>
      <c r="BD148" s="43"/>
      <c r="BE148" s="43"/>
      <c r="BF148" s="36"/>
      <c r="BG148" s="43"/>
      <c r="BH148" s="43"/>
      <c r="BI148" s="43"/>
      <c r="BJ148" s="43"/>
      <c r="BK148" s="36"/>
      <c r="BL148" s="43"/>
      <c r="BM148" s="43"/>
      <c r="BN148" s="43"/>
      <c r="BO148" s="43"/>
      <c r="BP148" s="36"/>
      <c r="BQ148" s="43"/>
      <c r="BR148" s="43"/>
      <c r="BS148" s="43"/>
      <c r="BT148" s="43"/>
      <c r="BU148" s="36"/>
      <c r="BV148" s="43"/>
      <c r="BW148" s="43"/>
      <c r="BX148" s="43"/>
      <c r="BY148" s="43"/>
      <c r="BZ148" s="36"/>
      <c r="CA148" s="43"/>
      <c r="CB148" s="43"/>
      <c r="CC148" s="43"/>
      <c r="CD148" s="43"/>
      <c r="CE148" s="40" t="s">
        <v>126</v>
      </c>
      <c r="CF148" s="43"/>
      <c r="CG148" s="43"/>
      <c r="CH148" s="43"/>
      <c r="CI148" s="43"/>
      <c r="CJ148" s="567">
        <f>(CJ147-CE147)*100*100</f>
        <v>13.035086889930936</v>
      </c>
      <c r="CK148" s="565" t="s">
        <v>126</v>
      </c>
      <c r="CL148" s="565" t="s">
        <v>126</v>
      </c>
      <c r="CM148" s="565" t="s">
        <v>126</v>
      </c>
      <c r="CN148" s="565" t="s">
        <v>126</v>
      </c>
      <c r="CO148" s="567">
        <f t="shared" ref="CO148:CT148" si="372">(CO147-CJ147)*100*100</f>
        <v>-177.8647874309236</v>
      </c>
      <c r="CP148" s="568">
        <f t="shared" si="372"/>
        <v>-308.86159064019756</v>
      </c>
      <c r="CQ148" s="568">
        <f t="shared" si="372"/>
        <v>-287.44397156854785</v>
      </c>
      <c r="CR148" s="568">
        <f t="shared" si="372"/>
        <v>-132.9375383795356</v>
      </c>
      <c r="CS148" s="568">
        <f t="shared" si="372"/>
        <v>863.14389271296807</v>
      </c>
      <c r="CT148" s="567">
        <f t="shared" si="372"/>
        <v>19.276741201734726</v>
      </c>
      <c r="CU148" s="568"/>
      <c r="CV148" s="43"/>
      <c r="CW148" s="43"/>
      <c r="CX148" s="43"/>
      <c r="CY148" s="36"/>
      <c r="CZ148" s="43"/>
      <c r="DA148" s="43"/>
      <c r="DB148" s="43"/>
      <c r="DC148" s="43"/>
      <c r="DD148" s="36"/>
      <c r="DE148" s="43"/>
      <c r="DF148" s="43"/>
      <c r="DG148" s="43"/>
      <c r="DH148" s="43"/>
      <c r="DI148" s="36"/>
    </row>
    <row r="149" spans="1:113" ht="12" customHeight="1">
      <c r="A149" s="219"/>
      <c r="B149" s="569"/>
      <c r="C149" s="36"/>
      <c r="D149" s="43"/>
      <c r="E149" s="36"/>
      <c r="F149" s="43"/>
      <c r="G149" s="36"/>
      <c r="H149" s="43"/>
      <c r="I149" s="36"/>
      <c r="J149" s="43"/>
      <c r="K149" s="36"/>
      <c r="L149" s="43"/>
      <c r="M149" s="36"/>
      <c r="N149" s="43"/>
      <c r="O149" s="36"/>
      <c r="P149" s="43"/>
      <c r="Q149" s="36"/>
      <c r="R149" s="43"/>
      <c r="S149" s="43"/>
      <c r="T149" s="43"/>
      <c r="U149" s="43"/>
      <c r="V149" s="36"/>
      <c r="W149" s="43"/>
      <c r="X149" s="43"/>
      <c r="Y149" s="43"/>
      <c r="Z149" s="43"/>
      <c r="AA149" s="36"/>
      <c r="AB149" s="36"/>
      <c r="AC149" s="43"/>
      <c r="AD149" s="43"/>
      <c r="AE149" s="43"/>
      <c r="AF149" s="43"/>
      <c r="AG149" s="36"/>
      <c r="AH149" s="43"/>
      <c r="AI149" s="43"/>
      <c r="AJ149" s="43"/>
      <c r="AK149" s="43"/>
      <c r="AL149" s="36"/>
      <c r="AM149" s="43"/>
      <c r="AN149" s="43"/>
      <c r="AO149" s="43"/>
      <c r="AP149" s="43"/>
      <c r="AQ149" s="36"/>
      <c r="AR149" s="43"/>
      <c r="AS149" s="43"/>
      <c r="AT149" s="43"/>
      <c r="AU149" s="43"/>
      <c r="AV149" s="36"/>
      <c r="AW149" s="43"/>
      <c r="AX149" s="43"/>
      <c r="AY149" s="43"/>
      <c r="AZ149" s="43"/>
      <c r="BA149" s="36"/>
      <c r="BB149" s="43"/>
      <c r="BC149" s="43"/>
      <c r="BD149" s="43"/>
      <c r="BE149" s="43"/>
      <c r="BF149" s="36"/>
      <c r="BG149" s="43"/>
      <c r="BH149" s="43"/>
      <c r="BI149" s="43"/>
      <c r="BJ149" s="43"/>
      <c r="BK149" s="36"/>
      <c r="BL149" s="43"/>
      <c r="BM149" s="43"/>
      <c r="BN149" s="43"/>
      <c r="BO149" s="43"/>
      <c r="BP149" s="36"/>
      <c r="BQ149" s="43"/>
      <c r="BR149" s="43"/>
      <c r="BS149" s="43"/>
      <c r="BT149" s="43"/>
      <c r="BU149" s="36"/>
      <c r="BV149" s="43"/>
      <c r="BW149" s="43"/>
      <c r="BX149" s="43"/>
      <c r="BY149" s="43"/>
      <c r="BZ149" s="36"/>
      <c r="CA149" s="43"/>
      <c r="CB149" s="43"/>
      <c r="CC149" s="43"/>
      <c r="CD149" s="43"/>
      <c r="CE149" s="40"/>
      <c r="CF149" s="43"/>
      <c r="CG149" s="43"/>
      <c r="CH149" s="43"/>
      <c r="CI149" s="43"/>
      <c r="CJ149" s="567"/>
      <c r="CK149" s="565"/>
      <c r="CL149" s="565"/>
      <c r="CM149" s="565"/>
      <c r="CN149" s="565"/>
      <c r="CO149" s="567"/>
      <c r="CP149" s="568"/>
      <c r="CQ149" s="568"/>
      <c r="CR149" s="568"/>
      <c r="CS149" s="568"/>
      <c r="CT149" s="567"/>
      <c r="CU149" s="568"/>
      <c r="CV149" s="43"/>
      <c r="CW149" s="43"/>
      <c r="CX149" s="43"/>
      <c r="CY149" s="36"/>
      <c r="CZ149" s="43"/>
      <c r="DA149" s="43"/>
      <c r="DB149" s="43"/>
      <c r="DC149" s="43"/>
      <c r="DD149" s="36"/>
      <c r="DE149" s="43"/>
      <c r="DF149" s="43"/>
      <c r="DG149" s="43"/>
      <c r="DH149" s="43"/>
      <c r="DI149" s="36"/>
    </row>
    <row r="150" spans="1:113" ht="12" customHeight="1">
      <c r="A150" s="219"/>
      <c r="B150" s="555" t="s">
        <v>418</v>
      </c>
      <c r="C150" s="36"/>
      <c r="D150" s="43"/>
      <c r="E150" s="36"/>
      <c r="F150" s="43"/>
      <c r="G150" s="36"/>
      <c r="H150" s="43"/>
      <c r="I150" s="36"/>
      <c r="J150" s="43"/>
      <c r="K150" s="36"/>
      <c r="L150" s="43"/>
      <c r="M150" s="36"/>
      <c r="N150" s="43"/>
      <c r="O150" s="36"/>
      <c r="P150" s="43"/>
      <c r="Q150" s="36"/>
      <c r="R150" s="43"/>
      <c r="S150" s="43"/>
      <c r="T150" s="43"/>
      <c r="U150" s="43"/>
      <c r="V150" s="36"/>
      <c r="W150" s="43"/>
      <c r="X150" s="43"/>
      <c r="Y150" s="43"/>
      <c r="Z150" s="43"/>
      <c r="AA150" s="36"/>
      <c r="AB150" s="36"/>
      <c r="AC150" s="43"/>
      <c r="AD150" s="43"/>
      <c r="AE150" s="43"/>
      <c r="AF150" s="43"/>
      <c r="AG150" s="36"/>
      <c r="AH150" s="43"/>
      <c r="AI150" s="43"/>
      <c r="AJ150" s="43"/>
      <c r="AK150" s="43"/>
      <c r="AL150" s="36"/>
      <c r="AM150" s="43"/>
      <c r="AN150" s="43"/>
      <c r="AO150" s="43"/>
      <c r="AP150" s="43"/>
      <c r="AQ150" s="36"/>
      <c r="AR150" s="43"/>
      <c r="AS150" s="43"/>
      <c r="AT150" s="43"/>
      <c r="AU150" s="43"/>
      <c r="AV150" s="36"/>
      <c r="AW150" s="43"/>
      <c r="AX150" s="43"/>
      <c r="AY150" s="43"/>
      <c r="AZ150" s="43"/>
      <c r="BA150" s="36"/>
      <c r="BB150" s="43"/>
      <c r="BC150" s="43"/>
      <c r="BD150" s="43"/>
      <c r="BE150" s="43"/>
      <c r="BF150" s="36"/>
      <c r="BG150" s="43"/>
      <c r="BH150" s="43"/>
      <c r="BI150" s="43"/>
      <c r="BJ150" s="43"/>
      <c r="BK150" s="36"/>
      <c r="BL150" s="43"/>
      <c r="BM150" s="43"/>
      <c r="BN150" s="43"/>
      <c r="BO150" s="43"/>
      <c r="BP150" s="36"/>
      <c r="BQ150" s="43"/>
      <c r="BR150" s="43"/>
      <c r="BS150" s="43"/>
      <c r="BT150" s="43"/>
      <c r="BU150" s="36"/>
      <c r="BV150" s="43"/>
      <c r="BW150" s="43"/>
      <c r="BX150" s="43"/>
      <c r="BY150" s="43"/>
      <c r="BZ150" s="36"/>
      <c r="CA150" s="43"/>
      <c r="CB150" s="43"/>
      <c r="CC150" s="43"/>
      <c r="CD150" s="43"/>
      <c r="CE150" s="36">
        <f>CE226+CE295+CE364+CE433+CE464</f>
        <v>-3888</v>
      </c>
      <c r="CF150" s="43"/>
      <c r="CG150" s="43"/>
      <c r="CH150" s="43"/>
      <c r="CI150" s="43"/>
      <c r="CJ150" s="36">
        <f t="shared" ref="CJ150:CT150" si="373">CJ226+CJ295+CJ364+CJ433+CJ464</f>
        <v>-4131</v>
      </c>
      <c r="CK150" s="43">
        <f t="shared" si="373"/>
        <v>-1188</v>
      </c>
      <c r="CL150" s="43">
        <f t="shared" si="373"/>
        <v>-1075</v>
      </c>
      <c r="CM150" s="43">
        <f t="shared" si="373"/>
        <v>-1046</v>
      </c>
      <c r="CN150" s="43">
        <f t="shared" si="373"/>
        <v>-1212</v>
      </c>
      <c r="CO150" s="36">
        <f t="shared" si="373"/>
        <v>-4521</v>
      </c>
      <c r="CP150" s="43">
        <f t="shared" si="373"/>
        <v>-1154</v>
      </c>
      <c r="CQ150" s="43">
        <f t="shared" si="373"/>
        <v>-1246</v>
      </c>
      <c r="CR150" s="43">
        <f t="shared" si="373"/>
        <v>-1070</v>
      </c>
      <c r="CS150" s="43">
        <f t="shared" si="373"/>
        <v>-1180</v>
      </c>
      <c r="CT150" s="36">
        <f t="shared" si="373"/>
        <v>-4650</v>
      </c>
      <c r="CU150" s="43"/>
      <c r="CV150" s="43"/>
      <c r="CW150" s="43"/>
      <c r="CX150" s="43"/>
      <c r="CY150" s="36"/>
      <c r="CZ150" s="43"/>
      <c r="DA150" s="43"/>
      <c r="DB150" s="43"/>
      <c r="DC150" s="43"/>
      <c r="DD150" s="36"/>
      <c r="DE150" s="43"/>
      <c r="DF150" s="43"/>
      <c r="DG150" s="43"/>
      <c r="DH150" s="43"/>
      <c r="DI150" s="36"/>
    </row>
    <row r="151" spans="1:113" s="529" customFormat="1" ht="12" customHeight="1">
      <c r="A151" s="564"/>
      <c r="B151" s="570" t="s">
        <v>171</v>
      </c>
      <c r="C151" s="112"/>
      <c r="D151" s="27"/>
      <c r="E151" s="112"/>
      <c r="F151" s="27"/>
      <c r="G151" s="112"/>
      <c r="H151" s="27"/>
      <c r="I151" s="112"/>
      <c r="J151" s="27"/>
      <c r="K151" s="112"/>
      <c r="L151" s="27"/>
      <c r="M151" s="112"/>
      <c r="N151" s="27"/>
      <c r="O151" s="112"/>
      <c r="P151" s="27"/>
      <c r="Q151" s="112"/>
      <c r="R151" s="27"/>
      <c r="S151" s="27"/>
      <c r="T151" s="27"/>
      <c r="U151" s="27"/>
      <c r="V151" s="112"/>
      <c r="W151" s="27"/>
      <c r="X151" s="27"/>
      <c r="Y151" s="27"/>
      <c r="Z151" s="27"/>
      <c r="AA151" s="112"/>
      <c r="AB151" s="112"/>
      <c r="AC151" s="27"/>
      <c r="AD151" s="27"/>
      <c r="AE151" s="27"/>
      <c r="AF151" s="27"/>
      <c r="AG151" s="112"/>
      <c r="AH151" s="27"/>
      <c r="AI151" s="27"/>
      <c r="AJ151" s="27"/>
      <c r="AK151" s="27"/>
      <c r="AL151" s="112"/>
      <c r="AM151" s="27"/>
      <c r="AN151" s="27"/>
      <c r="AO151" s="27"/>
      <c r="AP151" s="27"/>
      <c r="AQ151" s="112"/>
      <c r="AR151" s="27"/>
      <c r="AS151" s="27"/>
      <c r="AT151" s="27"/>
      <c r="AU151" s="27"/>
      <c r="AV151" s="112"/>
      <c r="AW151" s="27"/>
      <c r="AX151" s="27"/>
      <c r="AY151" s="27"/>
      <c r="AZ151" s="27"/>
      <c r="BA151" s="112"/>
      <c r="BB151" s="27"/>
      <c r="BC151" s="27"/>
      <c r="BD151" s="27"/>
      <c r="BE151" s="27"/>
      <c r="BF151" s="112"/>
      <c r="BG151" s="27"/>
      <c r="BH151" s="27"/>
      <c r="BI151" s="27"/>
      <c r="BJ151" s="27"/>
      <c r="BK151" s="112"/>
      <c r="BL151" s="27"/>
      <c r="BM151" s="27"/>
      <c r="BN151" s="27"/>
      <c r="BO151" s="27"/>
      <c r="BP151" s="112"/>
      <c r="BQ151" s="27"/>
      <c r="BR151" s="27"/>
      <c r="BS151" s="27"/>
      <c r="BT151" s="27"/>
      <c r="BU151" s="112"/>
      <c r="BV151" s="27"/>
      <c r="BW151" s="27"/>
      <c r="BX151" s="27"/>
      <c r="BY151" s="27"/>
      <c r="BZ151" s="112"/>
      <c r="CA151" s="27"/>
      <c r="CB151" s="27"/>
      <c r="CC151" s="27"/>
      <c r="CD151" s="27"/>
      <c r="CE151" s="232" t="s">
        <v>126</v>
      </c>
      <c r="CF151" s="27"/>
      <c r="CG151" s="27"/>
      <c r="CH151" s="27"/>
      <c r="CI151" s="27"/>
      <c r="CJ151" s="112">
        <f>CJ150/CE150-1</f>
        <v>6.25E-2</v>
      </c>
      <c r="CK151" s="565" t="s">
        <v>126</v>
      </c>
      <c r="CL151" s="565" t="s">
        <v>126</v>
      </c>
      <c r="CM151" s="565" t="s">
        <v>126</v>
      </c>
      <c r="CN151" s="565" t="s">
        <v>126</v>
      </c>
      <c r="CO151" s="112">
        <f t="shared" ref="CO151:CT151" si="374">CO150/CJ150-1</f>
        <v>9.4408133623819834E-2</v>
      </c>
      <c r="CP151" s="27">
        <f t="shared" si="374"/>
        <v>-2.8619528619528656E-2</v>
      </c>
      <c r="CQ151" s="27">
        <f t="shared" si="374"/>
        <v>0.15906976744186041</v>
      </c>
      <c r="CR151" s="27">
        <f t="shared" si="374"/>
        <v>2.2944550669216079E-2</v>
      </c>
      <c r="CS151" s="27">
        <f t="shared" si="374"/>
        <v>-2.6402640264026389E-2</v>
      </c>
      <c r="CT151" s="112">
        <f t="shared" si="374"/>
        <v>2.8533510285335018E-2</v>
      </c>
      <c r="CU151" s="27"/>
      <c r="CV151" s="27"/>
      <c r="CW151" s="27"/>
      <c r="CX151" s="27"/>
      <c r="CY151" s="112"/>
      <c r="CZ151" s="27"/>
      <c r="DA151" s="27"/>
      <c r="DB151" s="27"/>
      <c r="DC151" s="27"/>
      <c r="DD151" s="112"/>
      <c r="DE151" s="27"/>
      <c r="DF151" s="27"/>
      <c r="DG151" s="27"/>
      <c r="DH151" s="27"/>
      <c r="DI151" s="112"/>
    </row>
    <row r="152" spans="1:113" s="529" customFormat="1" ht="12" customHeight="1">
      <c r="A152" s="564"/>
      <c r="B152" s="570" t="s">
        <v>274</v>
      </c>
      <c r="C152" s="112"/>
      <c r="D152" s="27"/>
      <c r="E152" s="112"/>
      <c r="F152" s="27"/>
      <c r="G152" s="112"/>
      <c r="H152" s="27"/>
      <c r="I152" s="112"/>
      <c r="J152" s="27"/>
      <c r="K152" s="112"/>
      <c r="L152" s="27"/>
      <c r="M152" s="112"/>
      <c r="N152" s="27"/>
      <c r="O152" s="112"/>
      <c r="P152" s="27"/>
      <c r="Q152" s="112"/>
      <c r="R152" s="27"/>
      <c r="S152" s="27"/>
      <c r="T152" s="27"/>
      <c r="U152" s="27"/>
      <c r="V152" s="112"/>
      <c r="W152" s="27"/>
      <c r="X152" s="27"/>
      <c r="Y152" s="27"/>
      <c r="Z152" s="27"/>
      <c r="AA152" s="112"/>
      <c r="AB152" s="112"/>
      <c r="AC152" s="27"/>
      <c r="AD152" s="27"/>
      <c r="AE152" s="27"/>
      <c r="AF152" s="27"/>
      <c r="AG152" s="112"/>
      <c r="AH152" s="27"/>
      <c r="AI152" s="27"/>
      <c r="AJ152" s="27"/>
      <c r="AK152" s="27"/>
      <c r="AL152" s="112"/>
      <c r="AM152" s="27"/>
      <c r="AN152" s="27"/>
      <c r="AO152" s="27"/>
      <c r="AP152" s="27"/>
      <c r="AQ152" s="112"/>
      <c r="AR152" s="27"/>
      <c r="AS152" s="27"/>
      <c r="AT152" s="27"/>
      <c r="AU152" s="27"/>
      <c r="AV152" s="112"/>
      <c r="AW152" s="27"/>
      <c r="AX152" s="27"/>
      <c r="AY152" s="27"/>
      <c r="AZ152" s="27"/>
      <c r="BA152" s="112"/>
      <c r="BB152" s="27"/>
      <c r="BC152" s="27"/>
      <c r="BD152" s="27"/>
      <c r="BE152" s="27"/>
      <c r="BF152" s="112"/>
      <c r="BG152" s="27"/>
      <c r="BH152" s="27"/>
      <c r="BI152" s="27"/>
      <c r="BJ152" s="27"/>
      <c r="BK152" s="112"/>
      <c r="BL152" s="27"/>
      <c r="BM152" s="27"/>
      <c r="BN152" s="27"/>
      <c r="BO152" s="27"/>
      <c r="BP152" s="112"/>
      <c r="BQ152" s="27"/>
      <c r="BR152" s="27"/>
      <c r="BS152" s="27"/>
      <c r="BT152" s="27"/>
      <c r="BU152" s="112"/>
      <c r="BV152" s="27"/>
      <c r="BW152" s="27"/>
      <c r="BX152" s="27"/>
      <c r="BY152" s="27"/>
      <c r="BZ152" s="112"/>
      <c r="CA152" s="27"/>
      <c r="CB152" s="27"/>
      <c r="CC152" s="27"/>
      <c r="CD152" s="27"/>
      <c r="CE152" s="112">
        <f>-CE150/CE$14</f>
        <v>7.9732584131411113E-2</v>
      </c>
      <c r="CF152" s="27"/>
      <c r="CG152" s="27"/>
      <c r="CH152" s="27"/>
      <c r="CI152" s="27"/>
      <c r="CJ152" s="112">
        <f t="shared" ref="CJ152:CT152" si="375">-CJ150/CJ$14</f>
        <v>8.3755727667166782E-2</v>
      </c>
      <c r="CK152" s="27">
        <f t="shared" si="375"/>
        <v>0.10692106921069211</v>
      </c>
      <c r="CL152" s="27">
        <f t="shared" si="375"/>
        <v>8.9958158995815898E-2</v>
      </c>
      <c r="CM152" s="27">
        <f t="shared" si="375"/>
        <v>9.6051423324150592E-2</v>
      </c>
      <c r="CN152" s="27">
        <f t="shared" si="375"/>
        <v>0.11260800891944625</v>
      </c>
      <c r="CO152" s="112">
        <f t="shared" si="375"/>
        <v>0.10110927226372053</v>
      </c>
      <c r="CP152" s="27">
        <f t="shared" si="375"/>
        <v>0.10156662559408555</v>
      </c>
      <c r="CQ152" s="27">
        <f t="shared" si="375"/>
        <v>0.10277136258660508</v>
      </c>
      <c r="CR152" s="27">
        <f t="shared" si="375"/>
        <v>9.7166727206683623E-2</v>
      </c>
      <c r="CS152" s="27">
        <f t="shared" si="375"/>
        <v>0.11003356956359567</v>
      </c>
      <c r="CT152" s="112">
        <f t="shared" si="375"/>
        <v>0.10282605811330768</v>
      </c>
      <c r="CU152" s="27"/>
      <c r="CV152" s="27"/>
      <c r="CW152" s="27"/>
      <c r="CX152" s="27"/>
      <c r="CY152" s="112"/>
      <c r="CZ152" s="27"/>
      <c r="DA152" s="27"/>
      <c r="DB152" s="27"/>
      <c r="DC152" s="27"/>
      <c r="DD152" s="112"/>
      <c r="DE152" s="27"/>
      <c r="DF152" s="27"/>
      <c r="DG152" s="27"/>
      <c r="DH152" s="27"/>
      <c r="DI152" s="112"/>
    </row>
    <row r="153" spans="1:113" ht="12" customHeight="1">
      <c r="A153" s="219"/>
      <c r="B153" s="569" t="s">
        <v>174</v>
      </c>
      <c r="C153" s="36"/>
      <c r="D153" s="43"/>
      <c r="E153" s="36"/>
      <c r="F153" s="43"/>
      <c r="G153" s="36"/>
      <c r="H153" s="43"/>
      <c r="I153" s="36"/>
      <c r="J153" s="43"/>
      <c r="K153" s="36"/>
      <c r="L153" s="43"/>
      <c r="M153" s="36"/>
      <c r="N153" s="43"/>
      <c r="O153" s="36"/>
      <c r="P153" s="43"/>
      <c r="Q153" s="36"/>
      <c r="R153" s="43"/>
      <c r="S153" s="43"/>
      <c r="T153" s="43"/>
      <c r="U153" s="43"/>
      <c r="V153" s="36"/>
      <c r="W153" s="43"/>
      <c r="X153" s="43"/>
      <c r="Y153" s="43"/>
      <c r="Z153" s="43"/>
      <c r="AA153" s="36"/>
      <c r="AB153" s="36"/>
      <c r="AC153" s="43"/>
      <c r="AD153" s="43"/>
      <c r="AE153" s="43"/>
      <c r="AF153" s="43"/>
      <c r="AG153" s="36"/>
      <c r="AH153" s="43"/>
      <c r="AI153" s="43"/>
      <c r="AJ153" s="43"/>
      <c r="AK153" s="43"/>
      <c r="AL153" s="36"/>
      <c r="AM153" s="43"/>
      <c r="AN153" s="43"/>
      <c r="AO153" s="43"/>
      <c r="AP153" s="43"/>
      <c r="AQ153" s="36"/>
      <c r="AR153" s="43"/>
      <c r="AS153" s="43"/>
      <c r="AT153" s="43"/>
      <c r="AU153" s="43"/>
      <c r="AV153" s="36"/>
      <c r="AW153" s="43"/>
      <c r="AX153" s="43"/>
      <c r="AY153" s="43"/>
      <c r="AZ153" s="43"/>
      <c r="BA153" s="36"/>
      <c r="BB153" s="43"/>
      <c r="BC153" s="43"/>
      <c r="BD153" s="43"/>
      <c r="BE153" s="43"/>
      <c r="BF153" s="36"/>
      <c r="BG153" s="43"/>
      <c r="BH153" s="43"/>
      <c r="BI153" s="43"/>
      <c r="BJ153" s="43"/>
      <c r="BK153" s="36"/>
      <c r="BL153" s="43"/>
      <c r="BM153" s="43"/>
      <c r="BN153" s="43"/>
      <c r="BO153" s="43"/>
      <c r="BP153" s="36"/>
      <c r="BQ153" s="43"/>
      <c r="BR153" s="43"/>
      <c r="BS153" s="43"/>
      <c r="BT153" s="43"/>
      <c r="BU153" s="36"/>
      <c r="BV153" s="43"/>
      <c r="BW153" s="43"/>
      <c r="BX153" s="43"/>
      <c r="BY153" s="43"/>
      <c r="BZ153" s="36"/>
      <c r="CA153" s="43"/>
      <c r="CB153" s="43"/>
      <c r="CC153" s="43"/>
      <c r="CD153" s="43"/>
      <c r="CE153" s="40" t="s">
        <v>126</v>
      </c>
      <c r="CF153" s="43"/>
      <c r="CG153" s="43"/>
      <c r="CH153" s="43"/>
      <c r="CI153" s="43"/>
      <c r="CJ153" s="567">
        <f>(CJ152-CE152)*100*100</f>
        <v>40.231435357556691</v>
      </c>
      <c r="CK153" s="565" t="s">
        <v>126</v>
      </c>
      <c r="CL153" s="565" t="s">
        <v>126</v>
      </c>
      <c r="CM153" s="565" t="s">
        <v>126</v>
      </c>
      <c r="CN153" s="565" t="s">
        <v>126</v>
      </c>
      <c r="CO153" s="567">
        <f t="shared" ref="CO153:CT153" si="376">(CO152-CJ152)*100*100</f>
        <v>173.53544596553749</v>
      </c>
      <c r="CP153" s="568">
        <f t="shared" si="376"/>
        <v>-53.54443616606558</v>
      </c>
      <c r="CQ153" s="568">
        <f t="shared" si="376"/>
        <v>128.13203590789178</v>
      </c>
      <c r="CR153" s="568">
        <f t="shared" si="376"/>
        <v>11.153038825330308</v>
      </c>
      <c r="CS153" s="568">
        <f t="shared" si="376"/>
        <v>-25.744393558505831</v>
      </c>
      <c r="CT153" s="567">
        <f t="shared" si="376"/>
        <v>17.167858495871492</v>
      </c>
      <c r="CU153" s="568"/>
      <c r="CV153" s="43"/>
      <c r="CW153" s="43"/>
      <c r="CX153" s="43"/>
      <c r="CY153" s="36"/>
      <c r="CZ153" s="43"/>
      <c r="DA153" s="43"/>
      <c r="DB153" s="43"/>
      <c r="DC153" s="43"/>
      <c r="DD153" s="36"/>
      <c r="DE153" s="43"/>
      <c r="DF153" s="43"/>
      <c r="DG153" s="43"/>
      <c r="DH153" s="43"/>
      <c r="DI153" s="36"/>
    </row>
    <row r="154" spans="1:113" ht="12" customHeight="1">
      <c r="A154" s="219"/>
      <c r="B154" s="555" t="s">
        <v>417</v>
      </c>
      <c r="C154" s="36"/>
      <c r="D154" s="43"/>
      <c r="E154" s="36"/>
      <c r="F154" s="43"/>
      <c r="G154" s="36"/>
      <c r="H154" s="43"/>
      <c r="I154" s="36"/>
      <c r="J154" s="43"/>
      <c r="K154" s="36"/>
      <c r="L154" s="43"/>
      <c r="M154" s="36"/>
      <c r="N154" s="43"/>
      <c r="O154" s="36"/>
      <c r="P154" s="43"/>
      <c r="Q154" s="36"/>
      <c r="R154" s="43"/>
      <c r="S154" s="43"/>
      <c r="T154" s="43"/>
      <c r="U154" s="43"/>
      <c r="V154" s="36"/>
      <c r="W154" s="43"/>
      <c r="X154" s="43"/>
      <c r="Y154" s="43"/>
      <c r="Z154" s="43"/>
      <c r="AA154" s="36"/>
      <c r="AB154" s="36"/>
      <c r="AC154" s="43"/>
      <c r="AD154" s="43"/>
      <c r="AE154" s="43"/>
      <c r="AF154" s="43"/>
      <c r="AG154" s="36"/>
      <c r="AH154" s="43"/>
      <c r="AI154" s="43"/>
      <c r="AJ154" s="43"/>
      <c r="AK154" s="43"/>
      <c r="AL154" s="36"/>
      <c r="AM154" s="43"/>
      <c r="AN154" s="43"/>
      <c r="AO154" s="43"/>
      <c r="AP154" s="43"/>
      <c r="AQ154" s="36"/>
      <c r="AR154" s="43"/>
      <c r="AS154" s="43"/>
      <c r="AT154" s="43"/>
      <c r="AU154" s="43"/>
      <c r="AV154" s="36"/>
      <c r="AW154" s="43"/>
      <c r="AX154" s="43"/>
      <c r="AY154" s="43"/>
      <c r="AZ154" s="43"/>
      <c r="BA154" s="36"/>
      <c r="BB154" s="43"/>
      <c r="BC154" s="43"/>
      <c r="BD154" s="43"/>
      <c r="BE154" s="43"/>
      <c r="BF154" s="36"/>
      <c r="BG154" s="43"/>
      <c r="BH154" s="43"/>
      <c r="BI154" s="43"/>
      <c r="BJ154" s="43"/>
      <c r="BK154" s="36"/>
      <c r="BL154" s="43"/>
      <c r="BM154" s="43"/>
      <c r="BN154" s="43"/>
      <c r="BO154" s="43"/>
      <c r="BP154" s="36"/>
      <c r="BQ154" s="43"/>
      <c r="BR154" s="43"/>
      <c r="BS154" s="43"/>
      <c r="BT154" s="43"/>
      <c r="BU154" s="36"/>
      <c r="BV154" s="43"/>
      <c r="BW154" s="43"/>
      <c r="BX154" s="43"/>
      <c r="BY154" s="43"/>
      <c r="BZ154" s="36"/>
      <c r="CA154" s="43"/>
      <c r="CB154" s="43"/>
      <c r="CC154" s="43"/>
      <c r="CD154" s="43"/>
      <c r="CE154" s="36">
        <f>CE230+CE299+CE368+CE437+CE466</f>
        <v>-9389</v>
      </c>
      <c r="CF154" s="43"/>
      <c r="CG154" s="43"/>
      <c r="CH154" s="43"/>
      <c r="CI154" s="43"/>
      <c r="CJ154" s="36">
        <f t="shared" ref="CJ154:CT154" si="377">CJ230+CJ299+CJ368+CJ437+CJ466</f>
        <v>-9060</v>
      </c>
      <c r="CK154" s="43">
        <f t="shared" si="377"/>
        <v>-2169</v>
      </c>
      <c r="CL154" s="43">
        <f t="shared" si="377"/>
        <v>-2215</v>
      </c>
      <c r="CM154" s="43">
        <f t="shared" si="377"/>
        <v>-2186</v>
      </c>
      <c r="CN154" s="43">
        <f t="shared" si="377"/>
        <v>-2237</v>
      </c>
      <c r="CO154" s="36">
        <f t="shared" si="377"/>
        <v>-8807</v>
      </c>
      <c r="CP154" s="43">
        <f t="shared" si="377"/>
        <v>-2206</v>
      </c>
      <c r="CQ154" s="43">
        <f t="shared" si="377"/>
        <v>-2166</v>
      </c>
      <c r="CR154" s="43">
        <f t="shared" si="377"/>
        <v>-2274</v>
      </c>
      <c r="CS154" s="43">
        <f t="shared" si="377"/>
        <v>-2229</v>
      </c>
      <c r="CT154" s="36">
        <f t="shared" si="377"/>
        <v>-8875</v>
      </c>
      <c r="CU154" s="43"/>
      <c r="CV154" s="43"/>
      <c r="CW154" s="43"/>
      <c r="CX154" s="43"/>
      <c r="CY154" s="36"/>
      <c r="CZ154" s="43"/>
      <c r="DA154" s="43"/>
      <c r="DB154" s="43"/>
      <c r="DC154" s="43"/>
      <c r="DD154" s="36"/>
      <c r="DE154" s="43"/>
      <c r="DF154" s="43"/>
      <c r="DG154" s="43"/>
      <c r="DH154" s="43"/>
      <c r="DI154" s="36"/>
    </row>
    <row r="155" spans="1:113" s="529" customFormat="1" ht="12" customHeight="1">
      <c r="A155" s="564"/>
      <c r="B155" s="570" t="s">
        <v>171</v>
      </c>
      <c r="C155" s="112"/>
      <c r="D155" s="27"/>
      <c r="E155" s="112"/>
      <c r="F155" s="27"/>
      <c r="G155" s="112"/>
      <c r="H155" s="27"/>
      <c r="I155" s="112"/>
      <c r="J155" s="27"/>
      <c r="K155" s="112"/>
      <c r="L155" s="27"/>
      <c r="M155" s="112"/>
      <c r="N155" s="27"/>
      <c r="O155" s="112"/>
      <c r="P155" s="27"/>
      <c r="Q155" s="112"/>
      <c r="R155" s="27"/>
      <c r="S155" s="27"/>
      <c r="T155" s="27"/>
      <c r="U155" s="27"/>
      <c r="V155" s="112"/>
      <c r="W155" s="27"/>
      <c r="X155" s="27"/>
      <c r="Y155" s="27"/>
      <c r="Z155" s="27"/>
      <c r="AA155" s="112"/>
      <c r="AB155" s="112"/>
      <c r="AC155" s="27"/>
      <c r="AD155" s="27"/>
      <c r="AE155" s="27"/>
      <c r="AF155" s="27"/>
      <c r="AG155" s="112"/>
      <c r="AH155" s="27"/>
      <c r="AI155" s="27"/>
      <c r="AJ155" s="27"/>
      <c r="AK155" s="27"/>
      <c r="AL155" s="112"/>
      <c r="AM155" s="27"/>
      <c r="AN155" s="27"/>
      <c r="AO155" s="27"/>
      <c r="AP155" s="27"/>
      <c r="AQ155" s="112"/>
      <c r="AR155" s="27"/>
      <c r="AS155" s="27"/>
      <c r="AT155" s="27"/>
      <c r="AU155" s="27"/>
      <c r="AV155" s="112"/>
      <c r="AW155" s="27"/>
      <c r="AX155" s="27"/>
      <c r="AY155" s="27"/>
      <c r="AZ155" s="27"/>
      <c r="BA155" s="112"/>
      <c r="BB155" s="27"/>
      <c r="BC155" s="27"/>
      <c r="BD155" s="27"/>
      <c r="BE155" s="27"/>
      <c r="BF155" s="112"/>
      <c r="BG155" s="27"/>
      <c r="BH155" s="27"/>
      <c r="BI155" s="27"/>
      <c r="BJ155" s="27"/>
      <c r="BK155" s="112"/>
      <c r="BL155" s="27"/>
      <c r="BM155" s="27"/>
      <c r="BN155" s="27"/>
      <c r="BO155" s="27"/>
      <c r="BP155" s="112"/>
      <c r="BQ155" s="27"/>
      <c r="BR155" s="27"/>
      <c r="BS155" s="27"/>
      <c r="BT155" s="27"/>
      <c r="BU155" s="112"/>
      <c r="BV155" s="27"/>
      <c r="BW155" s="27"/>
      <c r="BX155" s="27"/>
      <c r="BY155" s="27"/>
      <c r="BZ155" s="112"/>
      <c r="CA155" s="27"/>
      <c r="CB155" s="27"/>
      <c r="CC155" s="27"/>
      <c r="CD155" s="27"/>
      <c r="CE155" s="232" t="s">
        <v>126</v>
      </c>
      <c r="CF155" s="27"/>
      <c r="CG155" s="27"/>
      <c r="CH155" s="27"/>
      <c r="CI155" s="27"/>
      <c r="CJ155" s="112">
        <f>CJ154/CE154-1</f>
        <v>-3.5041005431888372E-2</v>
      </c>
      <c r="CK155" s="565" t="s">
        <v>126</v>
      </c>
      <c r="CL155" s="565" t="s">
        <v>126</v>
      </c>
      <c r="CM155" s="565" t="s">
        <v>126</v>
      </c>
      <c r="CN155" s="565" t="s">
        <v>126</v>
      </c>
      <c r="CO155" s="112">
        <f t="shared" ref="CO155:CT155" si="378">CO154/CJ154-1</f>
        <v>-2.7924944812362074E-2</v>
      </c>
      <c r="CP155" s="27">
        <f t="shared" si="378"/>
        <v>1.7058552328261811E-2</v>
      </c>
      <c r="CQ155" s="27">
        <f t="shared" si="378"/>
        <v>-2.2121896162528243E-2</v>
      </c>
      <c r="CR155" s="27">
        <f t="shared" si="378"/>
        <v>4.0256175663311966E-2</v>
      </c>
      <c r="CS155" s="27">
        <f t="shared" si="378"/>
        <v>-3.5762181493070866E-3</v>
      </c>
      <c r="CT155" s="112">
        <f t="shared" si="378"/>
        <v>7.7211309185873933E-3</v>
      </c>
      <c r="CU155" s="27"/>
      <c r="CV155" s="27"/>
      <c r="CW155" s="27"/>
      <c r="CX155" s="27"/>
      <c r="CY155" s="112"/>
      <c r="CZ155" s="27"/>
      <c r="DA155" s="27"/>
      <c r="DB155" s="27"/>
      <c r="DC155" s="27"/>
      <c r="DD155" s="112"/>
      <c r="DE155" s="27"/>
      <c r="DF155" s="27"/>
      <c r="DG155" s="27"/>
      <c r="DH155" s="27"/>
      <c r="DI155" s="112"/>
    </row>
    <row r="156" spans="1:113" s="529" customFormat="1" ht="12" customHeight="1">
      <c r="A156" s="564"/>
      <c r="B156" s="570" t="s">
        <v>274</v>
      </c>
      <c r="C156" s="112"/>
      <c r="D156" s="27"/>
      <c r="E156" s="112"/>
      <c r="F156" s="27"/>
      <c r="G156" s="112"/>
      <c r="H156" s="27"/>
      <c r="I156" s="112"/>
      <c r="J156" s="27"/>
      <c r="K156" s="112"/>
      <c r="L156" s="27"/>
      <c r="M156" s="112"/>
      <c r="N156" s="27"/>
      <c r="O156" s="112"/>
      <c r="P156" s="27"/>
      <c r="Q156" s="112"/>
      <c r="R156" s="27"/>
      <c r="S156" s="27"/>
      <c r="T156" s="27"/>
      <c r="U156" s="27"/>
      <c r="V156" s="112"/>
      <c r="W156" s="27"/>
      <c r="X156" s="27"/>
      <c r="Y156" s="27"/>
      <c r="Z156" s="27"/>
      <c r="AA156" s="112"/>
      <c r="AB156" s="112"/>
      <c r="AC156" s="27"/>
      <c r="AD156" s="27"/>
      <c r="AE156" s="27"/>
      <c r="AF156" s="27"/>
      <c r="AG156" s="112"/>
      <c r="AH156" s="27"/>
      <c r="AI156" s="27"/>
      <c r="AJ156" s="27"/>
      <c r="AK156" s="27"/>
      <c r="AL156" s="112"/>
      <c r="AM156" s="27"/>
      <c r="AN156" s="27"/>
      <c r="AO156" s="27"/>
      <c r="AP156" s="27"/>
      <c r="AQ156" s="112"/>
      <c r="AR156" s="27"/>
      <c r="AS156" s="27"/>
      <c r="AT156" s="27"/>
      <c r="AU156" s="27"/>
      <c r="AV156" s="112"/>
      <c r="AW156" s="27"/>
      <c r="AX156" s="27"/>
      <c r="AY156" s="27"/>
      <c r="AZ156" s="27"/>
      <c r="BA156" s="112"/>
      <c r="BB156" s="27"/>
      <c r="BC156" s="27"/>
      <c r="BD156" s="27"/>
      <c r="BE156" s="27"/>
      <c r="BF156" s="112"/>
      <c r="BG156" s="27"/>
      <c r="BH156" s="27"/>
      <c r="BI156" s="27"/>
      <c r="BJ156" s="27"/>
      <c r="BK156" s="112"/>
      <c r="BL156" s="27"/>
      <c r="BM156" s="27"/>
      <c r="BN156" s="27"/>
      <c r="BO156" s="27"/>
      <c r="BP156" s="112"/>
      <c r="BQ156" s="27"/>
      <c r="BR156" s="27"/>
      <c r="BS156" s="27"/>
      <c r="BT156" s="27"/>
      <c r="BU156" s="112"/>
      <c r="BV156" s="27"/>
      <c r="BW156" s="27"/>
      <c r="BX156" s="27"/>
      <c r="BY156" s="27"/>
      <c r="BZ156" s="112"/>
      <c r="CA156" s="27"/>
      <c r="CB156" s="27"/>
      <c r="CC156" s="27"/>
      <c r="CD156" s="27"/>
      <c r="CE156" s="112">
        <f>-CE154/CE$14</f>
        <v>0.19254352685437728</v>
      </c>
      <c r="CF156" s="27"/>
      <c r="CG156" s="27"/>
      <c r="CH156" s="27"/>
      <c r="CI156" s="27"/>
      <c r="CJ156" s="112">
        <f t="shared" ref="CJ156:CT156" si="379">-CJ154/CJ$14</f>
        <v>0.18369084789748996</v>
      </c>
      <c r="CK156" s="27">
        <f t="shared" si="379"/>
        <v>0.19521195211952119</v>
      </c>
      <c r="CL156" s="27">
        <f t="shared" si="379"/>
        <v>0.18535564853556485</v>
      </c>
      <c r="CM156" s="27">
        <f t="shared" si="379"/>
        <v>0.2007346189164371</v>
      </c>
      <c r="CN156" s="27">
        <f t="shared" si="379"/>
        <v>0.20784167982904395</v>
      </c>
      <c r="CO156" s="112">
        <f t="shared" si="379"/>
        <v>0.19696291989086193</v>
      </c>
      <c r="CP156" s="27">
        <f t="shared" si="379"/>
        <v>0.19415595845801795</v>
      </c>
      <c r="CQ156" s="27">
        <f t="shared" si="379"/>
        <v>0.1786539096007918</v>
      </c>
      <c r="CR156" s="27">
        <f t="shared" si="379"/>
        <v>0.20650199782055939</v>
      </c>
      <c r="CS156" s="27">
        <f t="shared" si="379"/>
        <v>0.20785154792987692</v>
      </c>
      <c r="CT156" s="112">
        <f t="shared" si="379"/>
        <v>0.19625403564636681</v>
      </c>
      <c r="CU156" s="27"/>
      <c r="CV156" s="27"/>
      <c r="CW156" s="27"/>
      <c r="CX156" s="27"/>
      <c r="CY156" s="112"/>
      <c r="CZ156" s="27"/>
      <c r="DA156" s="27"/>
      <c r="DB156" s="27"/>
      <c r="DC156" s="27"/>
      <c r="DD156" s="112"/>
      <c r="DE156" s="27"/>
      <c r="DF156" s="27"/>
      <c r="DG156" s="27"/>
      <c r="DH156" s="27"/>
      <c r="DI156" s="112"/>
    </row>
    <row r="157" spans="1:113" ht="12" customHeight="1">
      <c r="A157" s="219"/>
      <c r="B157" s="569" t="s">
        <v>174</v>
      </c>
      <c r="C157" s="36"/>
      <c r="D157" s="43"/>
      <c r="E157" s="36"/>
      <c r="F157" s="43"/>
      <c r="G157" s="36"/>
      <c r="H157" s="43"/>
      <c r="I157" s="36"/>
      <c r="J157" s="43"/>
      <c r="K157" s="36"/>
      <c r="L157" s="43"/>
      <c r="M157" s="36"/>
      <c r="N157" s="43"/>
      <c r="O157" s="36"/>
      <c r="P157" s="43"/>
      <c r="Q157" s="36"/>
      <c r="R157" s="43"/>
      <c r="S157" s="43"/>
      <c r="T157" s="43"/>
      <c r="U157" s="43"/>
      <c r="V157" s="36"/>
      <c r="W157" s="43"/>
      <c r="X157" s="43"/>
      <c r="Y157" s="43"/>
      <c r="Z157" s="43"/>
      <c r="AA157" s="36"/>
      <c r="AB157" s="36"/>
      <c r="AC157" s="43"/>
      <c r="AD157" s="43"/>
      <c r="AE157" s="43"/>
      <c r="AF157" s="43"/>
      <c r="AG157" s="36"/>
      <c r="AH157" s="43"/>
      <c r="AI157" s="43"/>
      <c r="AJ157" s="43"/>
      <c r="AK157" s="43"/>
      <c r="AL157" s="36"/>
      <c r="AM157" s="43"/>
      <c r="AN157" s="43"/>
      <c r="AO157" s="43"/>
      <c r="AP157" s="43"/>
      <c r="AQ157" s="36"/>
      <c r="AR157" s="43"/>
      <c r="AS157" s="43"/>
      <c r="AT157" s="43"/>
      <c r="AU157" s="43"/>
      <c r="AV157" s="36"/>
      <c r="AW157" s="43"/>
      <c r="AX157" s="43"/>
      <c r="AY157" s="43"/>
      <c r="AZ157" s="43"/>
      <c r="BA157" s="36"/>
      <c r="BB157" s="43"/>
      <c r="BC157" s="43"/>
      <c r="BD157" s="43"/>
      <c r="BE157" s="43"/>
      <c r="BF157" s="36"/>
      <c r="BG157" s="43"/>
      <c r="BH157" s="43"/>
      <c r="BI157" s="43"/>
      <c r="BJ157" s="43"/>
      <c r="BK157" s="36"/>
      <c r="BL157" s="43"/>
      <c r="BM157" s="43"/>
      <c r="BN157" s="43"/>
      <c r="BO157" s="43"/>
      <c r="BP157" s="36"/>
      <c r="BQ157" s="43"/>
      <c r="BR157" s="43"/>
      <c r="BS157" s="43"/>
      <c r="BT157" s="43"/>
      <c r="BU157" s="36"/>
      <c r="BV157" s="43"/>
      <c r="BW157" s="43"/>
      <c r="BX157" s="43"/>
      <c r="BY157" s="43"/>
      <c r="BZ157" s="36"/>
      <c r="CA157" s="43"/>
      <c r="CB157" s="43"/>
      <c r="CC157" s="43"/>
      <c r="CD157" s="43"/>
      <c r="CE157" s="40" t="s">
        <v>126</v>
      </c>
      <c r="CF157" s="43"/>
      <c r="CG157" s="43"/>
      <c r="CH157" s="43"/>
      <c r="CI157" s="43"/>
      <c r="CJ157" s="567">
        <f>(CJ156-CE156)*100*100</f>
        <v>-88.526789568873227</v>
      </c>
      <c r="CK157" s="565" t="s">
        <v>126</v>
      </c>
      <c r="CL157" s="565" t="s">
        <v>126</v>
      </c>
      <c r="CM157" s="565" t="s">
        <v>126</v>
      </c>
      <c r="CN157" s="565" t="s">
        <v>126</v>
      </c>
      <c r="CO157" s="567">
        <f t="shared" ref="CO157:CT157" si="380">(CO156-CJ156)*100*100</f>
        <v>132.72071993371966</v>
      </c>
      <c r="CP157" s="568">
        <f t="shared" si="380"/>
        <v>-10.559936615032461</v>
      </c>
      <c r="CQ157" s="568">
        <f t="shared" si="380"/>
        <v>-67.0173893477305</v>
      </c>
      <c r="CR157" s="568">
        <f t="shared" si="380"/>
        <v>57.673789041222946</v>
      </c>
      <c r="CS157" s="568">
        <f t="shared" si="380"/>
        <v>9.868100832977067E-2</v>
      </c>
      <c r="CT157" s="567">
        <f t="shared" si="380"/>
        <v>-7.0888424449511156</v>
      </c>
      <c r="CU157" s="568"/>
      <c r="CV157" s="43"/>
      <c r="CW157" s="43"/>
      <c r="CX157" s="43"/>
      <c r="CY157" s="36"/>
      <c r="CZ157" s="43"/>
      <c r="DA157" s="43"/>
      <c r="DB157" s="43"/>
      <c r="DC157" s="43"/>
      <c r="DD157" s="36"/>
      <c r="DE157" s="43"/>
      <c r="DF157" s="43"/>
      <c r="DG157" s="43"/>
      <c r="DH157" s="43"/>
      <c r="DI157" s="36"/>
    </row>
    <row r="158" spans="1:113" s="4" customFormat="1" ht="12" customHeight="1">
      <c r="A158" s="560" t="str">
        <f t="shared" ref="A158" si="381">IF(ISBLANK(B158),"Scrap", " ")</f>
        <v xml:space="preserve"> </v>
      </c>
      <c r="B158" s="18" t="s">
        <v>419</v>
      </c>
      <c r="C158" s="364"/>
      <c r="D158" s="363"/>
      <c r="E158" s="364"/>
      <c r="F158" s="363"/>
      <c r="G158" s="364"/>
      <c r="H158" s="363"/>
      <c r="I158" s="364"/>
      <c r="J158" s="363"/>
      <c r="K158" s="364"/>
      <c r="L158" s="363"/>
      <c r="M158" s="364"/>
      <c r="N158" s="363"/>
      <c r="O158" s="364"/>
      <c r="P158" s="363"/>
      <c r="Q158" s="364"/>
      <c r="R158" s="363"/>
      <c r="S158" s="363"/>
      <c r="T158" s="363"/>
      <c r="U158" s="363"/>
      <c r="V158" s="364"/>
      <c r="W158" s="363"/>
      <c r="X158" s="363"/>
      <c r="Y158" s="363"/>
      <c r="Z158" s="363"/>
      <c r="AA158" s="364"/>
      <c r="AB158" s="364"/>
      <c r="AC158" s="363"/>
      <c r="AD158" s="363"/>
      <c r="AE158" s="363"/>
      <c r="AF158" s="363"/>
      <c r="AG158" s="364"/>
      <c r="AH158" s="363"/>
      <c r="AI158" s="363"/>
      <c r="AJ158" s="363"/>
      <c r="AK158" s="363"/>
      <c r="AL158" s="364"/>
      <c r="AM158" s="363"/>
      <c r="AN158" s="363"/>
      <c r="AO158" s="363"/>
      <c r="AP158" s="363"/>
      <c r="AQ158" s="364"/>
      <c r="AR158" s="363"/>
      <c r="AS158" s="363"/>
      <c r="AT158" s="363"/>
      <c r="AU158" s="363"/>
      <c r="AV158" s="364"/>
      <c r="AW158" s="363"/>
      <c r="AX158" s="363"/>
      <c r="AY158" s="363"/>
      <c r="AZ158" s="363"/>
      <c r="BA158" s="364"/>
      <c r="BB158" s="363"/>
      <c r="BC158" s="363"/>
      <c r="BD158" s="363"/>
      <c r="BE158" s="363"/>
      <c r="BF158" s="364"/>
      <c r="BG158" s="363"/>
      <c r="BH158" s="363"/>
      <c r="BI158" s="363"/>
      <c r="BJ158" s="363"/>
      <c r="BK158" s="364"/>
      <c r="BL158" s="363"/>
      <c r="BM158" s="363"/>
      <c r="BN158" s="363"/>
      <c r="BO158" s="363"/>
      <c r="BP158" s="364"/>
      <c r="BQ158" s="363"/>
      <c r="BR158" s="363"/>
      <c r="BS158" s="363"/>
      <c r="BT158" s="363"/>
      <c r="BU158" s="364"/>
      <c r="BV158" s="363"/>
      <c r="BW158" s="363"/>
      <c r="BX158" s="363"/>
      <c r="BY158" s="363"/>
      <c r="BZ158" s="364"/>
      <c r="CA158" s="363"/>
      <c r="CB158" s="363"/>
      <c r="CC158" s="363"/>
      <c r="CD158" s="363"/>
      <c r="CE158" s="364">
        <f>CE150+CE154</f>
        <v>-13277</v>
      </c>
      <c r="CF158" s="363"/>
      <c r="CG158" s="363"/>
      <c r="CH158" s="363"/>
      <c r="CI158" s="363"/>
      <c r="CJ158" s="364">
        <f t="shared" ref="CJ158:CT158" si="382">CJ150+CJ154</f>
        <v>-13191</v>
      </c>
      <c r="CK158" s="363">
        <f t="shared" si="382"/>
        <v>-3357</v>
      </c>
      <c r="CL158" s="363">
        <f t="shared" si="382"/>
        <v>-3290</v>
      </c>
      <c r="CM158" s="363">
        <f t="shared" si="382"/>
        <v>-3232</v>
      </c>
      <c r="CN158" s="363">
        <f t="shared" si="382"/>
        <v>-3449</v>
      </c>
      <c r="CO158" s="364">
        <f t="shared" si="382"/>
        <v>-13328</v>
      </c>
      <c r="CP158" s="363">
        <f t="shared" si="382"/>
        <v>-3360</v>
      </c>
      <c r="CQ158" s="363">
        <f t="shared" si="382"/>
        <v>-3412</v>
      </c>
      <c r="CR158" s="363">
        <f t="shared" si="382"/>
        <v>-3344</v>
      </c>
      <c r="CS158" s="363">
        <f t="shared" si="382"/>
        <v>-3409</v>
      </c>
      <c r="CT158" s="364">
        <f t="shared" si="382"/>
        <v>-13525</v>
      </c>
      <c r="CU158" s="363"/>
      <c r="CV158" s="363"/>
      <c r="CW158" s="363"/>
      <c r="CX158" s="363"/>
      <c r="CY158" s="364"/>
      <c r="CZ158" s="363"/>
      <c r="DA158" s="363"/>
      <c r="DB158" s="363"/>
      <c r="DC158" s="363"/>
      <c r="DD158" s="364"/>
      <c r="DE158" s="363"/>
      <c r="DF158" s="363"/>
      <c r="DG158" s="363"/>
      <c r="DH158" s="363"/>
      <c r="DI158" s="364"/>
    </row>
    <row r="159" spans="1:113" s="529" customFormat="1" ht="12" customHeight="1">
      <c r="A159" s="564"/>
      <c r="B159" s="526" t="s">
        <v>171</v>
      </c>
      <c r="C159" s="112"/>
      <c r="D159" s="27"/>
      <c r="E159" s="112"/>
      <c r="F159" s="27"/>
      <c r="G159" s="112"/>
      <c r="H159" s="27"/>
      <c r="I159" s="112"/>
      <c r="J159" s="27"/>
      <c r="K159" s="112"/>
      <c r="L159" s="27"/>
      <c r="M159" s="112"/>
      <c r="N159" s="27"/>
      <c r="O159" s="112"/>
      <c r="P159" s="27"/>
      <c r="Q159" s="112"/>
      <c r="R159" s="27"/>
      <c r="S159" s="27"/>
      <c r="T159" s="27"/>
      <c r="U159" s="27"/>
      <c r="V159" s="112"/>
      <c r="W159" s="27"/>
      <c r="X159" s="27"/>
      <c r="Y159" s="27"/>
      <c r="Z159" s="27"/>
      <c r="AA159" s="112"/>
      <c r="AB159" s="112"/>
      <c r="AC159" s="27"/>
      <c r="AD159" s="27"/>
      <c r="AE159" s="27"/>
      <c r="AF159" s="27"/>
      <c r="AG159" s="112"/>
      <c r="AH159" s="27"/>
      <c r="AI159" s="27"/>
      <c r="AJ159" s="27"/>
      <c r="AK159" s="27"/>
      <c r="AL159" s="112"/>
      <c r="AM159" s="27"/>
      <c r="AN159" s="27"/>
      <c r="AO159" s="27"/>
      <c r="AP159" s="27"/>
      <c r="AQ159" s="112"/>
      <c r="AR159" s="27"/>
      <c r="AS159" s="27"/>
      <c r="AT159" s="27"/>
      <c r="AU159" s="27"/>
      <c r="AV159" s="112"/>
      <c r="AW159" s="27"/>
      <c r="AX159" s="27"/>
      <c r="AY159" s="27"/>
      <c r="AZ159" s="27"/>
      <c r="BA159" s="112"/>
      <c r="BB159" s="27"/>
      <c r="BC159" s="27"/>
      <c r="BD159" s="27"/>
      <c r="BE159" s="27"/>
      <c r="BF159" s="112"/>
      <c r="BG159" s="27"/>
      <c r="BH159" s="27"/>
      <c r="BI159" s="27"/>
      <c r="BJ159" s="27"/>
      <c r="BK159" s="112"/>
      <c r="BL159" s="27"/>
      <c r="BM159" s="27"/>
      <c r="BN159" s="27"/>
      <c r="BO159" s="27"/>
      <c r="BP159" s="112"/>
      <c r="BQ159" s="27"/>
      <c r="BR159" s="27"/>
      <c r="BS159" s="27"/>
      <c r="BT159" s="27"/>
      <c r="BU159" s="112"/>
      <c r="BV159" s="27"/>
      <c r="BW159" s="27"/>
      <c r="BX159" s="27"/>
      <c r="BY159" s="27"/>
      <c r="BZ159" s="112"/>
      <c r="CA159" s="27"/>
      <c r="CB159" s="27"/>
      <c r="CC159" s="27"/>
      <c r="CD159" s="27"/>
      <c r="CE159" s="232" t="s">
        <v>126</v>
      </c>
      <c r="CF159" s="27"/>
      <c r="CG159" s="27"/>
      <c r="CH159" s="27"/>
      <c r="CI159" s="27"/>
      <c r="CJ159" s="112">
        <f>CJ158/CE158-1</f>
        <v>-6.4773668750470748E-3</v>
      </c>
      <c r="CK159" s="565" t="s">
        <v>126</v>
      </c>
      <c r="CL159" s="565" t="s">
        <v>126</v>
      </c>
      <c r="CM159" s="565" t="s">
        <v>126</v>
      </c>
      <c r="CN159" s="565" t="s">
        <v>126</v>
      </c>
      <c r="CO159" s="112">
        <f t="shared" ref="CO159:CT159" si="383">CO158/CJ158-1</f>
        <v>1.0385869153210603E-2</v>
      </c>
      <c r="CP159" s="27">
        <f t="shared" si="383"/>
        <v>8.9365504915095428E-4</v>
      </c>
      <c r="CQ159" s="27">
        <f t="shared" si="383"/>
        <v>3.7082066869300823E-2</v>
      </c>
      <c r="CR159" s="27">
        <f t="shared" si="383"/>
        <v>3.4653465346534684E-2</v>
      </c>
      <c r="CS159" s="27">
        <f t="shared" si="383"/>
        <v>-1.1597564511452552E-2</v>
      </c>
      <c r="CT159" s="112">
        <f t="shared" si="383"/>
        <v>1.4780912364946053E-2</v>
      </c>
      <c r="CU159" s="27"/>
      <c r="CV159" s="27"/>
      <c r="CW159" s="27"/>
      <c r="CX159" s="27"/>
      <c r="CY159" s="112"/>
      <c r="CZ159" s="27"/>
      <c r="DA159" s="27"/>
      <c r="DB159" s="27"/>
      <c r="DC159" s="27"/>
      <c r="DD159" s="112"/>
      <c r="DE159" s="27"/>
      <c r="DF159" s="27"/>
      <c r="DG159" s="27"/>
      <c r="DH159" s="27"/>
      <c r="DI159" s="112"/>
    </row>
    <row r="160" spans="1:113" s="529" customFormat="1" ht="12" customHeight="1">
      <c r="A160" s="564"/>
      <c r="B160" s="526" t="s">
        <v>274</v>
      </c>
      <c r="C160" s="112"/>
      <c r="D160" s="27"/>
      <c r="E160" s="112"/>
      <c r="F160" s="27"/>
      <c r="G160" s="112"/>
      <c r="H160" s="27"/>
      <c r="I160" s="112"/>
      <c r="J160" s="27"/>
      <c r="K160" s="112"/>
      <c r="L160" s="27"/>
      <c r="M160" s="112"/>
      <c r="N160" s="27"/>
      <c r="O160" s="112"/>
      <c r="P160" s="27"/>
      <c r="Q160" s="112"/>
      <c r="R160" s="27"/>
      <c r="S160" s="27"/>
      <c r="T160" s="27"/>
      <c r="U160" s="27"/>
      <c r="V160" s="112"/>
      <c r="W160" s="27"/>
      <c r="X160" s="27"/>
      <c r="Y160" s="27"/>
      <c r="Z160" s="27"/>
      <c r="AA160" s="112"/>
      <c r="AB160" s="112"/>
      <c r="AC160" s="27"/>
      <c r="AD160" s="27"/>
      <c r="AE160" s="27"/>
      <c r="AF160" s="27"/>
      <c r="AG160" s="112"/>
      <c r="AH160" s="27"/>
      <c r="AI160" s="27"/>
      <c r="AJ160" s="27"/>
      <c r="AK160" s="27"/>
      <c r="AL160" s="112"/>
      <c r="AM160" s="27"/>
      <c r="AN160" s="27"/>
      <c r="AO160" s="27"/>
      <c r="AP160" s="27"/>
      <c r="AQ160" s="112"/>
      <c r="AR160" s="27"/>
      <c r="AS160" s="27"/>
      <c r="AT160" s="27"/>
      <c r="AU160" s="27"/>
      <c r="AV160" s="112"/>
      <c r="AW160" s="27"/>
      <c r="AX160" s="27"/>
      <c r="AY160" s="27"/>
      <c r="AZ160" s="27"/>
      <c r="BA160" s="112"/>
      <c r="BB160" s="27"/>
      <c r="BC160" s="27"/>
      <c r="BD160" s="27"/>
      <c r="BE160" s="27"/>
      <c r="BF160" s="112"/>
      <c r="BG160" s="27"/>
      <c r="BH160" s="27"/>
      <c r="BI160" s="27"/>
      <c r="BJ160" s="27"/>
      <c r="BK160" s="112"/>
      <c r="BL160" s="27"/>
      <c r="BM160" s="27"/>
      <c r="BN160" s="27"/>
      <c r="BO160" s="27"/>
      <c r="BP160" s="112"/>
      <c r="BQ160" s="27"/>
      <c r="BR160" s="27"/>
      <c r="BS160" s="27"/>
      <c r="BT160" s="27"/>
      <c r="BU160" s="112"/>
      <c r="BV160" s="27"/>
      <c r="BW160" s="27"/>
      <c r="BX160" s="27"/>
      <c r="BY160" s="27"/>
      <c r="BZ160" s="112"/>
      <c r="CA160" s="27"/>
      <c r="CB160" s="27"/>
      <c r="CC160" s="27"/>
      <c r="CD160" s="27"/>
      <c r="CE160" s="112">
        <f>-CE158/CE$14</f>
        <v>0.27227611098578841</v>
      </c>
      <c r="CF160" s="27"/>
      <c r="CG160" s="27"/>
      <c r="CH160" s="27"/>
      <c r="CI160" s="27"/>
      <c r="CJ160" s="112">
        <f t="shared" ref="CJ160:CT160" si="384">-CJ158/CJ$14</f>
        <v>0.26744657556465673</v>
      </c>
      <c r="CK160" s="27">
        <f t="shared" si="384"/>
        <v>0.3021330213302133</v>
      </c>
      <c r="CL160" s="27">
        <f t="shared" si="384"/>
        <v>0.27531380753138074</v>
      </c>
      <c r="CM160" s="27">
        <f t="shared" si="384"/>
        <v>0.29678604224058769</v>
      </c>
      <c r="CN160" s="27">
        <f t="shared" si="384"/>
        <v>0.32044968874849022</v>
      </c>
      <c r="CO160" s="112">
        <f t="shared" si="384"/>
        <v>0.29807219215458247</v>
      </c>
      <c r="CP160" s="27">
        <f t="shared" si="384"/>
        <v>0.2957225840521035</v>
      </c>
      <c r="CQ160" s="27">
        <f t="shared" si="384"/>
        <v>0.28142527218739688</v>
      </c>
      <c r="CR160" s="27">
        <f t="shared" si="384"/>
        <v>0.30366872502724301</v>
      </c>
      <c r="CS160" s="27">
        <f t="shared" si="384"/>
        <v>0.31788511749347259</v>
      </c>
      <c r="CT160" s="112">
        <f t="shared" si="384"/>
        <v>0.29908009375967448</v>
      </c>
      <c r="CU160" s="27"/>
      <c r="CV160" s="27"/>
      <c r="CW160" s="27"/>
      <c r="CX160" s="27"/>
      <c r="CY160" s="112"/>
      <c r="CZ160" s="27"/>
      <c r="DA160" s="27"/>
      <c r="DB160" s="27"/>
      <c r="DC160" s="27"/>
      <c r="DD160" s="112"/>
      <c r="DE160" s="27"/>
      <c r="DF160" s="27"/>
      <c r="DG160" s="27"/>
      <c r="DH160" s="27"/>
      <c r="DI160" s="112"/>
    </row>
    <row r="161" spans="1:113" ht="12" customHeight="1">
      <c r="A161" s="219"/>
      <c r="B161" s="566" t="s">
        <v>174</v>
      </c>
      <c r="C161" s="36"/>
      <c r="D161" s="43"/>
      <c r="E161" s="36"/>
      <c r="F161" s="43"/>
      <c r="G161" s="36"/>
      <c r="H161" s="43"/>
      <c r="I161" s="36"/>
      <c r="J161" s="43"/>
      <c r="K161" s="36"/>
      <c r="L161" s="43"/>
      <c r="M161" s="36"/>
      <c r="N161" s="43"/>
      <c r="O161" s="36"/>
      <c r="P161" s="43"/>
      <c r="Q161" s="36"/>
      <c r="R161" s="43"/>
      <c r="S161" s="43"/>
      <c r="T161" s="43"/>
      <c r="U161" s="43"/>
      <c r="V161" s="36"/>
      <c r="W161" s="43"/>
      <c r="X161" s="43"/>
      <c r="Y161" s="43"/>
      <c r="Z161" s="43"/>
      <c r="AA161" s="36"/>
      <c r="AB161" s="36"/>
      <c r="AC161" s="43"/>
      <c r="AD161" s="43"/>
      <c r="AE161" s="43"/>
      <c r="AF161" s="43"/>
      <c r="AG161" s="36"/>
      <c r="AH161" s="43"/>
      <c r="AI161" s="43"/>
      <c r="AJ161" s="43"/>
      <c r="AK161" s="43"/>
      <c r="AL161" s="36"/>
      <c r="AM161" s="43"/>
      <c r="AN161" s="43"/>
      <c r="AO161" s="43"/>
      <c r="AP161" s="43"/>
      <c r="AQ161" s="36"/>
      <c r="AR161" s="43"/>
      <c r="AS161" s="43"/>
      <c r="AT161" s="43"/>
      <c r="AU161" s="43"/>
      <c r="AV161" s="36"/>
      <c r="AW161" s="43"/>
      <c r="AX161" s="43"/>
      <c r="AY161" s="43"/>
      <c r="AZ161" s="43"/>
      <c r="BA161" s="36"/>
      <c r="BB161" s="43"/>
      <c r="BC161" s="43"/>
      <c r="BD161" s="43"/>
      <c r="BE161" s="43"/>
      <c r="BF161" s="36"/>
      <c r="BG161" s="43"/>
      <c r="BH161" s="43"/>
      <c r="BI161" s="43"/>
      <c r="BJ161" s="43"/>
      <c r="BK161" s="36"/>
      <c r="BL161" s="43"/>
      <c r="BM161" s="43"/>
      <c r="BN161" s="43"/>
      <c r="BO161" s="43"/>
      <c r="BP161" s="36"/>
      <c r="BQ161" s="43"/>
      <c r="BR161" s="43"/>
      <c r="BS161" s="43"/>
      <c r="BT161" s="43"/>
      <c r="BU161" s="36"/>
      <c r="BV161" s="43"/>
      <c r="BW161" s="43"/>
      <c r="BX161" s="43"/>
      <c r="BY161" s="43"/>
      <c r="BZ161" s="36"/>
      <c r="CA161" s="43"/>
      <c r="CB161" s="43"/>
      <c r="CC161" s="43"/>
      <c r="CD161" s="43"/>
      <c r="CE161" s="40" t="s">
        <v>126</v>
      </c>
      <c r="CF161" s="43"/>
      <c r="CG161" s="43"/>
      <c r="CH161" s="43"/>
      <c r="CI161" s="43"/>
      <c r="CJ161" s="567">
        <f>(CJ160-CE160)*100*100</f>
        <v>-48.295354211316813</v>
      </c>
      <c r="CK161" s="565" t="s">
        <v>126</v>
      </c>
      <c r="CL161" s="565" t="s">
        <v>126</v>
      </c>
      <c r="CM161" s="565" t="s">
        <v>126</v>
      </c>
      <c r="CN161" s="565" t="s">
        <v>126</v>
      </c>
      <c r="CO161" s="567">
        <f t="shared" ref="CO161:CT161" si="385">(CO160-CJ160)*100*100</f>
        <v>306.25616589925738</v>
      </c>
      <c r="CP161" s="568">
        <f t="shared" si="385"/>
        <v>-64.104372781098036</v>
      </c>
      <c r="CQ161" s="568">
        <f t="shared" si="385"/>
        <v>61.114646560161411</v>
      </c>
      <c r="CR161" s="568">
        <f t="shared" si="385"/>
        <v>68.826827866553259</v>
      </c>
      <c r="CS161" s="568">
        <f t="shared" si="385"/>
        <v>-25.645712550176334</v>
      </c>
      <c r="CT161" s="567">
        <f t="shared" si="385"/>
        <v>10.079016050920098</v>
      </c>
      <c r="CU161" s="568"/>
      <c r="CV161" s="43"/>
      <c r="CW161" s="43"/>
      <c r="CX161" s="43"/>
      <c r="CY161" s="36"/>
      <c r="CZ161" s="43"/>
      <c r="DA161" s="43"/>
      <c r="DB161" s="43"/>
      <c r="DC161" s="43"/>
      <c r="DD161" s="36"/>
      <c r="DE161" s="43"/>
      <c r="DF161" s="43"/>
      <c r="DG161" s="43"/>
      <c r="DH161" s="43"/>
      <c r="DI161" s="36"/>
    </row>
    <row r="162" spans="1:113" s="4" customFormat="1" ht="12" customHeight="1">
      <c r="A162" s="219"/>
      <c r="B162" s="566"/>
      <c r="C162" s="364"/>
      <c r="D162" s="363"/>
      <c r="E162" s="364"/>
      <c r="F162" s="363"/>
      <c r="G162" s="364"/>
      <c r="H162" s="363"/>
      <c r="I162" s="364"/>
      <c r="J162" s="363"/>
      <c r="K162" s="364"/>
      <c r="L162" s="363"/>
      <c r="M162" s="364"/>
      <c r="N162" s="363"/>
      <c r="O162" s="364"/>
      <c r="P162" s="363"/>
      <c r="Q162" s="364"/>
      <c r="R162" s="363"/>
      <c r="S162" s="363"/>
      <c r="T162" s="363"/>
      <c r="U162" s="363"/>
      <c r="V162" s="364"/>
      <c r="W162" s="363"/>
      <c r="X162" s="363"/>
      <c r="Y162" s="363"/>
      <c r="Z162" s="363"/>
      <c r="AA162" s="364"/>
      <c r="AB162" s="364"/>
      <c r="AC162" s="363"/>
      <c r="AD162" s="363"/>
      <c r="AE162" s="363"/>
      <c r="AF162" s="363"/>
      <c r="AG162" s="364"/>
      <c r="AH162" s="363"/>
      <c r="AI162" s="363"/>
      <c r="AJ162" s="363"/>
      <c r="AK162" s="363"/>
      <c r="AL162" s="364"/>
      <c r="AM162" s="363"/>
      <c r="AN162" s="363"/>
      <c r="AO162" s="363"/>
      <c r="AP162" s="363"/>
      <c r="AQ162" s="364"/>
      <c r="AR162" s="363"/>
      <c r="AS162" s="363"/>
      <c r="AT162" s="363"/>
      <c r="AU162" s="363"/>
      <c r="AV162" s="364"/>
      <c r="AW162" s="363"/>
      <c r="AX162" s="363"/>
      <c r="AY162" s="363"/>
      <c r="AZ162" s="363"/>
      <c r="BA162" s="364"/>
      <c r="BB162" s="363"/>
      <c r="BC162" s="363"/>
      <c r="BD162" s="363"/>
      <c r="BE162" s="363"/>
      <c r="BF162" s="364"/>
      <c r="BG162" s="363"/>
      <c r="BH162" s="363"/>
      <c r="BI162" s="363"/>
      <c r="BJ162" s="363"/>
      <c r="BK162" s="364"/>
      <c r="BL162" s="363"/>
      <c r="BM162" s="363"/>
      <c r="BN162" s="363"/>
      <c r="BO162" s="363"/>
      <c r="BP162" s="364"/>
      <c r="BQ162" s="363"/>
      <c r="BR162" s="363"/>
      <c r="BS162" s="363"/>
      <c r="BT162" s="363"/>
      <c r="BU162" s="364"/>
      <c r="BV162" s="363"/>
      <c r="BW162" s="363"/>
      <c r="BX162" s="363"/>
      <c r="BY162" s="363"/>
      <c r="BZ162" s="364"/>
      <c r="CA162" s="363"/>
      <c r="CB162" s="363"/>
      <c r="CC162" s="363"/>
      <c r="CD162" s="363"/>
      <c r="CE162" s="364"/>
      <c r="CF162" s="363"/>
      <c r="CG162" s="363"/>
      <c r="CH162" s="363"/>
      <c r="CI162" s="363"/>
      <c r="CJ162" s="364"/>
      <c r="CK162" s="363"/>
      <c r="CL162" s="363"/>
      <c r="CM162" s="363"/>
      <c r="CN162" s="363"/>
      <c r="CO162" s="364"/>
      <c r="CP162" s="363"/>
      <c r="CQ162" s="363"/>
      <c r="CR162" s="363"/>
      <c r="CS162" s="363"/>
      <c r="CT162" s="364"/>
      <c r="CU162" s="363"/>
      <c r="CV162" s="363"/>
      <c r="CW162" s="363"/>
      <c r="CX162" s="363"/>
      <c r="CY162" s="364"/>
      <c r="CZ162" s="363"/>
      <c r="DA162" s="363"/>
      <c r="DB162" s="363"/>
      <c r="DC162" s="363"/>
      <c r="DD162" s="364"/>
      <c r="DE162" s="363"/>
      <c r="DF162" s="363"/>
      <c r="DG162" s="363"/>
      <c r="DH162" s="363"/>
      <c r="DI162" s="364"/>
    </row>
    <row r="163" spans="1:113" ht="12" customHeight="1">
      <c r="A163" s="219" t="str">
        <f t="shared" si="364"/>
        <v xml:space="preserve"> </v>
      </c>
      <c r="B163" s="17" t="s">
        <v>87</v>
      </c>
      <c r="C163" s="36"/>
      <c r="D163" s="43"/>
      <c r="E163" s="36"/>
      <c r="F163" s="43"/>
      <c r="G163" s="36"/>
      <c r="H163" s="43"/>
      <c r="I163" s="36"/>
      <c r="J163" s="43"/>
      <c r="K163" s="36"/>
      <c r="L163" s="43"/>
      <c r="M163" s="36"/>
      <c r="N163" s="43"/>
      <c r="O163" s="36"/>
      <c r="P163" s="43"/>
      <c r="Q163" s="36"/>
      <c r="R163" s="43">
        <f>+R241</f>
        <v>443</v>
      </c>
      <c r="S163" s="43">
        <f>+S241</f>
        <v>356</v>
      </c>
      <c r="T163" s="43">
        <f>+T241</f>
        <v>419</v>
      </c>
      <c r="U163" s="43">
        <f>+U241</f>
        <v>518</v>
      </c>
      <c r="V163" s="36">
        <f t="shared" ref="V163:V168" si="386">SUM(R163:U163)</f>
        <v>1736</v>
      </c>
      <c r="W163" s="43">
        <f>+W241</f>
        <v>534</v>
      </c>
      <c r="X163" s="43">
        <f>+X241</f>
        <v>418</v>
      </c>
      <c r="Y163" s="43">
        <f>+Y241</f>
        <v>496</v>
      </c>
      <c r="Z163" s="43">
        <f>+Z241</f>
        <v>559</v>
      </c>
      <c r="AA163" s="36">
        <f t="shared" ref="AA163:AA168" si="387">SUM(W163:Z163)</f>
        <v>2007</v>
      </c>
      <c r="AB163" s="36"/>
      <c r="AC163" s="43">
        <f>+AC241</f>
        <v>645</v>
      </c>
      <c r="AD163" s="43">
        <f>+AD241</f>
        <v>565</v>
      </c>
      <c r="AE163" s="43">
        <f>+AE241</f>
        <v>653</v>
      </c>
      <c r="AF163" s="43">
        <f>+AF241</f>
        <v>778</v>
      </c>
      <c r="AG163" s="36">
        <f t="shared" ref="AG163:AG168" si="388">SUM(AC163:AF163)</f>
        <v>2641</v>
      </c>
      <c r="AH163" s="43">
        <f>+AH241</f>
        <v>813</v>
      </c>
      <c r="AI163" s="43">
        <f>+AI241</f>
        <v>649</v>
      </c>
      <c r="AJ163" s="43">
        <f>+AJ241</f>
        <v>729</v>
      </c>
      <c r="AK163" s="43">
        <f>+AK241</f>
        <v>888</v>
      </c>
      <c r="AL163" s="36">
        <f t="shared" ref="AL163:AL168" si="389">SUM(AH163:AK163)</f>
        <v>3079</v>
      </c>
      <c r="AM163" s="43">
        <f>+AM241</f>
        <v>970</v>
      </c>
      <c r="AN163" s="43">
        <f>+AN241</f>
        <v>785</v>
      </c>
      <c r="AO163" s="43">
        <f>+AO241</f>
        <v>830</v>
      </c>
      <c r="AP163" s="43">
        <f>+AP241</f>
        <v>1060</v>
      </c>
      <c r="AQ163" s="36">
        <f t="shared" ref="AQ163:AQ168" si="390">SUM(AM163:AP163)</f>
        <v>3645</v>
      </c>
      <c r="AR163" s="43">
        <f>+AR241</f>
        <v>1042</v>
      </c>
      <c r="AS163" s="43">
        <f>+AS241</f>
        <v>882</v>
      </c>
      <c r="AT163" s="43">
        <f>+AT241</f>
        <v>903</v>
      </c>
      <c r="AU163" s="43">
        <f>+AU241</f>
        <v>936</v>
      </c>
      <c r="AV163" s="36">
        <f t="shared" ref="AV163:AV168" si="391">SUM(AR163:AU163)</f>
        <v>3763</v>
      </c>
      <c r="AW163" s="43">
        <f>+AW241</f>
        <v>1004</v>
      </c>
      <c r="AX163" s="43">
        <f>+AX241</f>
        <v>912</v>
      </c>
      <c r="AY163" s="43">
        <f>+AY241</f>
        <v>980</v>
      </c>
      <c r="AZ163" s="43">
        <f>+AZ241</f>
        <v>979</v>
      </c>
      <c r="BA163" s="36">
        <f t="shared" ref="BA163:BA168" si="392">SUM(AW163:AZ163)</f>
        <v>3875</v>
      </c>
      <c r="BB163" s="43">
        <f>+BB241</f>
        <v>1002</v>
      </c>
      <c r="BC163" s="43">
        <f>+BC241</f>
        <v>783</v>
      </c>
      <c r="BD163" s="43">
        <f>+BD241</f>
        <v>840</v>
      </c>
      <c r="BE163" s="43">
        <f>+BE241</f>
        <v>975</v>
      </c>
      <c r="BF163" s="36">
        <f t="shared" ref="BF163:BF168" si="393">SUM(BB163:BE163)</f>
        <v>3600</v>
      </c>
      <c r="BG163" s="43">
        <f>+BG241</f>
        <v>1077</v>
      </c>
      <c r="BH163" s="43">
        <f>+BH241</f>
        <v>884</v>
      </c>
      <c r="BI163" s="43">
        <f>+BI241</f>
        <v>916</v>
      </c>
      <c r="BJ163" s="43">
        <f>+BJ241</f>
        <v>1048</v>
      </c>
      <c r="BK163" s="36">
        <f t="shared" ref="BK163:BK168" si="394">SUM(BG163:BJ163)</f>
        <v>3925</v>
      </c>
      <c r="BL163" s="43">
        <f>+BL241</f>
        <v>1100</v>
      </c>
      <c r="BM163" s="43">
        <f>+BM241</f>
        <v>875</v>
      </c>
      <c r="BN163" s="43">
        <f>+BN241</f>
        <v>937</v>
      </c>
      <c r="BO163" s="43">
        <f>+BO241</f>
        <v>-13</v>
      </c>
      <c r="BP163" s="36">
        <f t="shared" ref="BP163:BP168" si="395">SUM(BL163:BO163)</f>
        <v>2899</v>
      </c>
      <c r="BQ163" s="43">
        <f>+BQ241</f>
        <v>1302</v>
      </c>
      <c r="BR163" s="43">
        <f>+BR241</f>
        <v>1023</v>
      </c>
      <c r="BS163" s="43">
        <f>+BS241</f>
        <v>970</v>
      </c>
      <c r="BT163" s="43">
        <f>+BT241</f>
        <v>1794</v>
      </c>
      <c r="BU163" s="36">
        <f t="shared" ref="BU163:BU168" si="396">SUM(BQ163:BT163)</f>
        <v>5089</v>
      </c>
      <c r="BV163" s="43">
        <f>+BV241</f>
        <v>1434</v>
      </c>
      <c r="BW163" s="43">
        <f>+BW241</f>
        <v>1235</v>
      </c>
      <c r="BX163" s="43">
        <f>+BX241</f>
        <v>967</v>
      </c>
      <c r="BY163" s="43">
        <f>+BY241</f>
        <v>1478</v>
      </c>
      <c r="BZ163" s="36">
        <f t="shared" ref="BZ163:BZ168" si="397">SUM(BV163:BY163)</f>
        <v>5114</v>
      </c>
      <c r="CA163" s="43">
        <f>+CA241</f>
        <v>1377</v>
      </c>
      <c r="CB163" s="43">
        <f>+CB241</f>
        <v>1497</v>
      </c>
      <c r="CC163" s="43">
        <f>+CC241</f>
        <v>1190</v>
      </c>
      <c r="CD163" s="43">
        <f>+CD241</f>
        <v>1390</v>
      </c>
      <c r="CE163" s="36">
        <f t="shared" ref="CE163:CE168" si="398">SUM(CA163:CD163)</f>
        <v>5454</v>
      </c>
      <c r="CF163" s="43">
        <f>+CF241</f>
        <v>1434</v>
      </c>
      <c r="CG163" s="43">
        <f>+CG241</f>
        <v>1526</v>
      </c>
      <c r="CH163" s="43">
        <f>+CH241</f>
        <v>1400</v>
      </c>
      <c r="CI163" s="43">
        <f>+CI241</f>
        <v>1462</v>
      </c>
      <c r="CJ163" s="36">
        <f t="shared" ref="CJ163:CJ168" si="399">SUM(CF163:CI163)</f>
        <v>5822</v>
      </c>
      <c r="CK163" s="43">
        <f>+CK241</f>
        <v>1216</v>
      </c>
      <c r="CL163" s="43">
        <f>+CL241</f>
        <v>1371</v>
      </c>
      <c r="CM163" s="43">
        <f>+CM241</f>
        <v>1103</v>
      </c>
      <c r="CN163" s="43">
        <f>+CN241</f>
        <v>1045</v>
      </c>
      <c r="CO163" s="36">
        <f t="shared" ref="CO163:CO168" si="400">SUM(CK163:CN163)</f>
        <v>4735</v>
      </c>
      <c r="CP163" s="43">
        <f>+CP241</f>
        <v>1134</v>
      </c>
      <c r="CQ163" s="43">
        <f>+CQ241</f>
        <v>1261</v>
      </c>
      <c r="CR163" s="43">
        <f>+CR241</f>
        <v>981</v>
      </c>
      <c r="CS163" s="43">
        <f>+CS241</f>
        <v>2000</v>
      </c>
      <c r="CT163" s="36">
        <f t="shared" ref="CT163:CT168" si="401">SUM(CP163:CS163)</f>
        <v>5376</v>
      </c>
      <c r="CU163" s="43">
        <f>+CU241</f>
        <v>1170</v>
      </c>
      <c r="CV163" s="43">
        <f>+CV241</f>
        <v>1181.2083968388604</v>
      </c>
      <c r="CW163" s="43">
        <f>+CW241</f>
        <v>1032.6907707027453</v>
      </c>
      <c r="CX163" s="43">
        <f>+CX241</f>
        <v>1517.0296329715227</v>
      </c>
      <c r="CY163" s="36">
        <f t="shared" ref="CY163:CY168" si="402">SUM(CU163:CX163)</f>
        <v>4900.9288005131284</v>
      </c>
      <c r="CZ163" s="43">
        <f>+CZ241</f>
        <v>1173.335514799634</v>
      </c>
      <c r="DA163" s="43">
        <f>+DA241</f>
        <v>1203.7650525688339</v>
      </c>
      <c r="DB163" s="43">
        <f>+DB241</f>
        <v>1075.3248591824945</v>
      </c>
      <c r="DC163" s="43">
        <f>+DC241</f>
        <v>1542.4439216557942</v>
      </c>
      <c r="DD163" s="36">
        <f t="shared" ref="DD163:DD168" si="403">SUM(CZ163:DC163)</f>
        <v>4994.8693482067565</v>
      </c>
      <c r="DE163" s="43">
        <f>+DE241</f>
        <v>1233.0281374246338</v>
      </c>
      <c r="DF163" s="43">
        <f>+DF241</f>
        <v>1264.2291666800838</v>
      </c>
      <c r="DG163" s="43">
        <f>+DG241</f>
        <v>1133.7194484574945</v>
      </c>
      <c r="DH163" s="43">
        <f>+DH241</f>
        <v>1597.3105959007942</v>
      </c>
      <c r="DI163" s="36">
        <f t="shared" ref="DI163:DI168" si="404">SUM(DE163:DH163)</f>
        <v>5228.2873484630063</v>
      </c>
    </row>
    <row r="164" spans="1:113" ht="12" customHeight="1">
      <c r="A164" s="219" t="str">
        <f t="shared" si="364"/>
        <v xml:space="preserve"> </v>
      </c>
      <c r="B164" s="17" t="s">
        <v>156</v>
      </c>
      <c r="C164" s="36"/>
      <c r="D164" s="43"/>
      <c r="E164" s="36"/>
      <c r="F164" s="43"/>
      <c r="G164" s="36"/>
      <c r="H164" s="43"/>
      <c r="I164" s="36"/>
      <c r="J164" s="43"/>
      <c r="K164" s="36"/>
      <c r="L164" s="43"/>
      <c r="M164" s="36"/>
      <c r="N164" s="43"/>
      <c r="O164" s="36"/>
      <c r="P164" s="43"/>
      <c r="Q164" s="36"/>
      <c r="R164" s="43">
        <f>+R310</f>
        <v>353</v>
      </c>
      <c r="S164" s="43">
        <f>+S310</f>
        <v>190</v>
      </c>
      <c r="T164" s="43">
        <f>+T310</f>
        <v>222</v>
      </c>
      <c r="U164" s="43">
        <f>+U310</f>
        <v>209</v>
      </c>
      <c r="V164" s="36">
        <f t="shared" si="386"/>
        <v>974</v>
      </c>
      <c r="W164" s="43">
        <f>+W310</f>
        <v>293</v>
      </c>
      <c r="X164" s="43">
        <f>+X310</f>
        <v>125</v>
      </c>
      <c r="Y164" s="43">
        <f>+Y310</f>
        <v>209</v>
      </c>
      <c r="Z164" s="43">
        <f>+Z310</f>
        <v>204</v>
      </c>
      <c r="AA164" s="36">
        <f t="shared" si="387"/>
        <v>831</v>
      </c>
      <c r="AB164" s="36"/>
      <c r="AC164" s="43">
        <f>+AC310</f>
        <v>266</v>
      </c>
      <c r="AD164" s="43">
        <f>+AD310</f>
        <v>147</v>
      </c>
      <c r="AE164" s="43">
        <f>+AE310</f>
        <v>243</v>
      </c>
      <c r="AF164" s="43">
        <f>+AF310</f>
        <v>221</v>
      </c>
      <c r="AG164" s="36">
        <f t="shared" si="388"/>
        <v>877</v>
      </c>
      <c r="AH164" s="43">
        <f>+AH310</f>
        <v>346</v>
      </c>
      <c r="AI164" s="43">
        <f>+AI310</f>
        <v>171</v>
      </c>
      <c r="AJ164" s="43">
        <f>+AJ310</f>
        <v>354</v>
      </c>
      <c r="AK164" s="43">
        <f>+AK310</f>
        <v>263</v>
      </c>
      <c r="AL164" s="36">
        <f t="shared" si="389"/>
        <v>1134</v>
      </c>
      <c r="AM164" s="43">
        <f>+AM310</f>
        <v>472</v>
      </c>
      <c r="AN164" s="43">
        <f>+AN310</f>
        <v>318</v>
      </c>
      <c r="AO164" s="43">
        <f>+AO310</f>
        <v>385</v>
      </c>
      <c r="AP164" s="43">
        <f>+AP310</f>
        <v>348</v>
      </c>
      <c r="AQ164" s="36">
        <f t="shared" si="390"/>
        <v>1523</v>
      </c>
      <c r="AR164" s="43">
        <f>+AR310</f>
        <v>597</v>
      </c>
      <c r="AS164" s="43">
        <f>+AS310</f>
        <v>407</v>
      </c>
      <c r="AT164" s="43">
        <f>+AT310</f>
        <v>415</v>
      </c>
      <c r="AU164" s="43">
        <f>+AU310</f>
        <v>368</v>
      </c>
      <c r="AV164" s="36">
        <f t="shared" si="391"/>
        <v>1787</v>
      </c>
      <c r="AW164" s="43">
        <f>+AW310</f>
        <v>485</v>
      </c>
      <c r="AX164" s="43">
        <f>+AX310</f>
        <v>313</v>
      </c>
      <c r="AY164" s="43">
        <f>+AY310</f>
        <v>361</v>
      </c>
      <c r="AZ164" s="43">
        <f>+AZ310</f>
        <v>348</v>
      </c>
      <c r="BA164" s="36">
        <f t="shared" si="392"/>
        <v>1507</v>
      </c>
      <c r="BB164" s="43">
        <f>+BB310</f>
        <v>451</v>
      </c>
      <c r="BC164" s="43">
        <f>+BC310</f>
        <v>337</v>
      </c>
      <c r="BD164" s="43">
        <f>+BD310</f>
        <v>417</v>
      </c>
      <c r="BE164" s="43">
        <f>+BE310</f>
        <v>382</v>
      </c>
      <c r="BF164" s="36">
        <f t="shared" si="393"/>
        <v>1587</v>
      </c>
      <c r="BG164" s="43">
        <f>+BG310</f>
        <v>501</v>
      </c>
      <c r="BH164" s="43">
        <f>+BH310</f>
        <v>450</v>
      </c>
      <c r="BI164" s="43">
        <f>+BI310</f>
        <v>538</v>
      </c>
      <c r="BJ164" s="43">
        <f>+BJ310</f>
        <v>506</v>
      </c>
      <c r="BK164" s="36">
        <f t="shared" si="394"/>
        <v>1995</v>
      </c>
      <c r="BL164" s="43">
        <f>+BL310</f>
        <v>609</v>
      </c>
      <c r="BM164" s="43">
        <f>+BM310</f>
        <v>510</v>
      </c>
      <c r="BN164" s="43">
        <f>+BN310</f>
        <v>575</v>
      </c>
      <c r="BO164" s="43">
        <f>+BO310</f>
        <v>-153</v>
      </c>
      <c r="BP164" s="36">
        <f t="shared" si="395"/>
        <v>1541</v>
      </c>
      <c r="BQ164" s="43">
        <f>+BQ310</f>
        <v>692</v>
      </c>
      <c r="BR164" s="43">
        <f>+BR310</f>
        <v>660</v>
      </c>
      <c r="BS164" s="43">
        <f>+BS310</f>
        <v>533</v>
      </c>
      <c r="BT164" s="43">
        <f>+BT310</f>
        <v>550</v>
      </c>
      <c r="BU164" s="36">
        <f t="shared" si="396"/>
        <v>2435</v>
      </c>
      <c r="BV164" s="43">
        <f>+BV310</f>
        <v>875</v>
      </c>
      <c r="BW164" s="43">
        <f>+BW310</f>
        <v>806</v>
      </c>
      <c r="BX164" s="43">
        <f>+BX310</f>
        <v>713</v>
      </c>
      <c r="BY164" s="43">
        <f>+BY310</f>
        <v>899</v>
      </c>
      <c r="BZ164" s="36">
        <f t="shared" si="397"/>
        <v>3293</v>
      </c>
      <c r="CA164" s="43">
        <f>+CA310</f>
        <v>975</v>
      </c>
      <c r="CB164" s="43">
        <f>+CB310</f>
        <v>990</v>
      </c>
      <c r="CC164" s="43">
        <f>+CC310</f>
        <v>785</v>
      </c>
      <c r="CD164" s="43">
        <f>+CD310</f>
        <v>781</v>
      </c>
      <c r="CE164" s="36">
        <f t="shared" si="398"/>
        <v>3531</v>
      </c>
      <c r="CF164" s="43">
        <f>+CF310</f>
        <v>930</v>
      </c>
      <c r="CG164" s="43">
        <f>+CG310</f>
        <v>927</v>
      </c>
      <c r="CH164" s="43">
        <f>+CH310</f>
        <v>734</v>
      </c>
      <c r="CI164" s="43">
        <f>+CI310</f>
        <v>797</v>
      </c>
      <c r="CJ164" s="36">
        <f t="shared" si="399"/>
        <v>3388</v>
      </c>
      <c r="CK164" s="43">
        <f>+CK310</f>
        <v>792</v>
      </c>
      <c r="CL164" s="43">
        <f>+CL310</f>
        <v>831</v>
      </c>
      <c r="CM164" s="43">
        <f>+CM310</f>
        <v>480</v>
      </c>
      <c r="CN164" s="43">
        <f>+CN310</f>
        <v>472</v>
      </c>
      <c r="CO164" s="36">
        <f t="shared" si="400"/>
        <v>2575</v>
      </c>
      <c r="CP164" s="43">
        <f>+CP310</f>
        <v>735</v>
      </c>
      <c r="CQ164" s="43">
        <f>+CQ310</f>
        <v>733</v>
      </c>
      <c r="CR164" s="43">
        <f>+CR310</f>
        <v>515</v>
      </c>
      <c r="CS164" s="43">
        <f>+CS310</f>
        <v>434</v>
      </c>
      <c r="CT164" s="36">
        <f t="shared" si="401"/>
        <v>2417</v>
      </c>
      <c r="CU164" s="43">
        <f>+CU310</f>
        <v>728</v>
      </c>
      <c r="CV164" s="43">
        <f>+CV310</f>
        <v>653.12018691367939</v>
      </c>
      <c r="CW164" s="43">
        <f>+CW310</f>
        <v>495.00329960000005</v>
      </c>
      <c r="CX164" s="43">
        <f>+CX310</f>
        <v>419.15693795294112</v>
      </c>
      <c r="CY164" s="36">
        <f t="shared" si="402"/>
        <v>2295.2804244666204</v>
      </c>
      <c r="CZ164" s="43">
        <f>+CZ310</f>
        <v>744.70282988413089</v>
      </c>
      <c r="DA164" s="43">
        <f>+DA310</f>
        <v>694.95466035082086</v>
      </c>
      <c r="DB164" s="43">
        <f>+DB310</f>
        <v>540.90316617971973</v>
      </c>
      <c r="DC164" s="43">
        <f>+DC310</f>
        <v>468.10477501411754</v>
      </c>
      <c r="DD164" s="36">
        <f t="shared" si="403"/>
        <v>2448.6654314287889</v>
      </c>
      <c r="DE164" s="43">
        <f>+DE310</f>
        <v>774.28750188413096</v>
      </c>
      <c r="DF164" s="43">
        <f>+DF310</f>
        <v>722.90976456682097</v>
      </c>
      <c r="DG164" s="43">
        <f>+DG310</f>
        <v>572.74332153955697</v>
      </c>
      <c r="DH164" s="43">
        <f>+DH310</f>
        <v>499.66662205185889</v>
      </c>
      <c r="DI164" s="36">
        <f t="shared" si="404"/>
        <v>2569.607210042368</v>
      </c>
    </row>
    <row r="165" spans="1:113" ht="12" customHeight="1">
      <c r="A165" s="219" t="str">
        <f t="shared" si="364"/>
        <v xml:space="preserve"> </v>
      </c>
      <c r="B165" s="17" t="s">
        <v>188</v>
      </c>
      <c r="C165" s="36"/>
      <c r="D165" s="43"/>
      <c r="E165" s="36"/>
      <c r="F165" s="43"/>
      <c r="G165" s="36"/>
      <c r="H165" s="43"/>
      <c r="I165" s="36"/>
      <c r="J165" s="43"/>
      <c r="K165" s="36"/>
      <c r="L165" s="43"/>
      <c r="M165" s="36"/>
      <c r="N165" s="43"/>
      <c r="O165" s="36"/>
      <c r="P165" s="43"/>
      <c r="Q165" s="36"/>
      <c r="R165" s="43">
        <f>+R379</f>
        <v>164</v>
      </c>
      <c r="S165" s="43">
        <f>+S379</f>
        <v>174</v>
      </c>
      <c r="T165" s="43">
        <f>+T379</f>
        <v>213</v>
      </c>
      <c r="U165" s="43">
        <f>+U379</f>
        <v>226</v>
      </c>
      <c r="V165" s="36">
        <f t="shared" si="386"/>
        <v>777</v>
      </c>
      <c r="W165" s="43">
        <f>+W379</f>
        <v>171</v>
      </c>
      <c r="X165" s="43">
        <f>+X379</f>
        <v>220</v>
      </c>
      <c r="Y165" s="43">
        <f>+Y379</f>
        <v>273</v>
      </c>
      <c r="Z165" s="43">
        <f>+Z379</f>
        <v>247</v>
      </c>
      <c r="AA165" s="36">
        <f t="shared" si="387"/>
        <v>911</v>
      </c>
      <c r="AB165" s="36"/>
      <c r="AC165" s="43">
        <f>+AC379</f>
        <v>165</v>
      </c>
      <c r="AD165" s="43">
        <f>+AD379</f>
        <v>187</v>
      </c>
      <c r="AE165" s="43">
        <f>+AE379</f>
        <v>218</v>
      </c>
      <c r="AF165" s="43">
        <f>+AF379</f>
        <v>243</v>
      </c>
      <c r="AG165" s="36">
        <f t="shared" si="388"/>
        <v>813</v>
      </c>
      <c r="AH165" s="43">
        <f>+AH379</f>
        <v>170</v>
      </c>
      <c r="AI165" s="43">
        <f>+AI379</f>
        <v>197</v>
      </c>
      <c r="AJ165" s="43">
        <f>+AJ379</f>
        <v>234</v>
      </c>
      <c r="AK165" s="43">
        <f>+AK379</f>
        <v>223</v>
      </c>
      <c r="AL165" s="36">
        <f t="shared" si="389"/>
        <v>824</v>
      </c>
      <c r="AM165" s="43">
        <f>+AM379</f>
        <v>218</v>
      </c>
      <c r="AN165" s="43">
        <f>+AN379</f>
        <v>258</v>
      </c>
      <c r="AO165" s="43">
        <f>+AO379</f>
        <v>251</v>
      </c>
      <c r="AP165" s="43">
        <f>+AP379</f>
        <v>266</v>
      </c>
      <c r="AQ165" s="36">
        <f t="shared" si="390"/>
        <v>993</v>
      </c>
      <c r="AR165" s="43">
        <f>+AR379</f>
        <v>330</v>
      </c>
      <c r="AS165" s="43">
        <f>+AS379</f>
        <v>327</v>
      </c>
      <c r="AT165" s="43">
        <f>+AT379</f>
        <v>358</v>
      </c>
      <c r="AU165" s="43">
        <f>+AU379</f>
        <v>357</v>
      </c>
      <c r="AV165" s="36">
        <f t="shared" si="391"/>
        <v>1372</v>
      </c>
      <c r="AW165" s="43">
        <f>+AW379</f>
        <v>371</v>
      </c>
      <c r="AX165" s="43">
        <f>+AX379</f>
        <v>375</v>
      </c>
      <c r="AY165" s="43">
        <f>+AY379</f>
        <v>381</v>
      </c>
      <c r="AZ165" s="43">
        <f>+AZ379</f>
        <v>380</v>
      </c>
      <c r="BA165" s="36">
        <f t="shared" si="392"/>
        <v>1507</v>
      </c>
      <c r="BB165" s="43">
        <f>+BB379</f>
        <v>394</v>
      </c>
      <c r="BC165" s="43">
        <f>+BC379</f>
        <v>378</v>
      </c>
      <c r="BD165" s="43">
        <f>+BD379</f>
        <v>496</v>
      </c>
      <c r="BE165" s="43">
        <f>+BE379</f>
        <v>539</v>
      </c>
      <c r="BF165" s="36">
        <f t="shared" si="393"/>
        <v>1807</v>
      </c>
      <c r="BG165" s="43">
        <f>+BG379</f>
        <v>502</v>
      </c>
      <c r="BH165" s="43">
        <f>+BH379</f>
        <v>561</v>
      </c>
      <c r="BI165" s="43">
        <f>+BI379</f>
        <v>639</v>
      </c>
      <c r="BJ165" s="43">
        <f>+BJ379</f>
        <v>674</v>
      </c>
      <c r="BK165" s="36">
        <f t="shared" si="394"/>
        <v>2376</v>
      </c>
      <c r="BL165" s="43">
        <f>+BL379</f>
        <v>669</v>
      </c>
      <c r="BM165" s="43">
        <f>+BM379</f>
        <v>694</v>
      </c>
      <c r="BN165" s="43">
        <f>+BN379</f>
        <v>556</v>
      </c>
      <c r="BO165" s="43">
        <f>+BO379</f>
        <v>571</v>
      </c>
      <c r="BP165" s="36">
        <f t="shared" si="395"/>
        <v>2490</v>
      </c>
      <c r="BQ165" s="43">
        <f>+BQ379</f>
        <v>688</v>
      </c>
      <c r="BR165" s="43">
        <f>+BR379</f>
        <v>891</v>
      </c>
      <c r="BS165" s="43">
        <f>+BS379</f>
        <v>973</v>
      </c>
      <c r="BT165" s="43">
        <f>+BT379</f>
        <v>691</v>
      </c>
      <c r="BU165" s="36">
        <f t="shared" si="396"/>
        <v>3243</v>
      </c>
      <c r="BV165" s="43">
        <f>+BV379</f>
        <v>701</v>
      </c>
      <c r="BW165" s="43">
        <f>+BW379</f>
        <v>569</v>
      </c>
      <c r="BX165" s="43">
        <f>+BX379</f>
        <v>784</v>
      </c>
      <c r="BY165" s="43">
        <f>+BY379</f>
        <v>311</v>
      </c>
      <c r="BZ165" s="36">
        <f t="shared" si="397"/>
        <v>2365</v>
      </c>
      <c r="CA165" s="43">
        <f>+CA379</f>
        <v>541</v>
      </c>
      <c r="CB165" s="43">
        <f>+CB379</f>
        <v>511</v>
      </c>
      <c r="CC165" s="43">
        <f>+CC379</f>
        <v>702</v>
      </c>
      <c r="CD165" s="43">
        <f>+CD379</f>
        <v>529</v>
      </c>
      <c r="CE165" s="36">
        <f t="shared" si="398"/>
        <v>2283</v>
      </c>
      <c r="CF165" s="43">
        <f>+CF379</f>
        <v>525</v>
      </c>
      <c r="CG165" s="43">
        <f>+CG379</f>
        <v>514</v>
      </c>
      <c r="CH165" s="43">
        <f>+CH379</f>
        <v>722</v>
      </c>
      <c r="CI165" s="43">
        <f>+CI379</f>
        <v>548</v>
      </c>
      <c r="CJ165" s="36">
        <f t="shared" si="399"/>
        <v>2309</v>
      </c>
      <c r="CK165" s="43">
        <f>+CK379</f>
        <v>502</v>
      </c>
      <c r="CL165" s="43">
        <f>+CL379</f>
        <v>375</v>
      </c>
      <c r="CM165" s="43">
        <f>+CM379</f>
        <v>421</v>
      </c>
      <c r="CN165" s="43">
        <f>+CN379</f>
        <v>304</v>
      </c>
      <c r="CO165" s="36">
        <f t="shared" si="400"/>
        <v>1602</v>
      </c>
      <c r="CP165" s="43">
        <f>+CP379</f>
        <v>377</v>
      </c>
      <c r="CQ165" s="43">
        <f>+CQ379</f>
        <v>191</v>
      </c>
      <c r="CR165" s="43">
        <f>+CR379</f>
        <v>467</v>
      </c>
      <c r="CS165" s="43">
        <f>+CS379</f>
        <v>243</v>
      </c>
      <c r="CT165" s="36">
        <f t="shared" si="401"/>
        <v>1278</v>
      </c>
      <c r="CU165" s="43">
        <f>+CU379</f>
        <v>248</v>
      </c>
      <c r="CV165" s="43">
        <f>+CV379</f>
        <v>160.83240551816587</v>
      </c>
      <c r="CW165" s="43">
        <f>+CW379</f>
        <v>315.48280786377705</v>
      </c>
      <c r="CX165" s="43">
        <f>+CX379</f>
        <v>172.30457073039702</v>
      </c>
      <c r="CY165" s="36">
        <f t="shared" si="402"/>
        <v>896.61978411233986</v>
      </c>
      <c r="CZ165" s="43">
        <f>+CZ379</f>
        <v>205.53329999999997</v>
      </c>
      <c r="DA165" s="43">
        <f>+DA379</f>
        <v>145.91065449453268</v>
      </c>
      <c r="DB165" s="43">
        <f>+DB379</f>
        <v>311.41721043467498</v>
      </c>
      <c r="DC165" s="43">
        <f>+DC379</f>
        <v>175.21924816796525</v>
      </c>
      <c r="DD165" s="36">
        <f t="shared" si="403"/>
        <v>838.08041309717294</v>
      </c>
      <c r="DE165" s="43">
        <f>+DE379</f>
        <v>216.82334303389825</v>
      </c>
      <c r="DF165" s="43">
        <f>+DF379</f>
        <v>159.92480099177709</v>
      </c>
      <c r="DG165" s="43">
        <f>+DG379</f>
        <v>335.85184333983909</v>
      </c>
      <c r="DH165" s="43">
        <f>+DH379</f>
        <v>193.80023007976155</v>
      </c>
      <c r="DI165" s="36">
        <f t="shared" si="404"/>
        <v>906.40021744527598</v>
      </c>
    </row>
    <row r="166" spans="1:113" ht="12" customHeight="1">
      <c r="A166" s="219" t="str">
        <f t="shared" si="364"/>
        <v xml:space="preserve"> </v>
      </c>
      <c r="B166" s="17" t="s">
        <v>189</v>
      </c>
      <c r="C166" s="36"/>
      <c r="D166" s="43"/>
      <c r="E166" s="36"/>
      <c r="F166" s="43"/>
      <c r="G166" s="36"/>
      <c r="H166" s="43"/>
      <c r="I166" s="36"/>
      <c r="J166" s="43"/>
      <c r="K166" s="36"/>
      <c r="L166" s="43"/>
      <c r="M166" s="36"/>
      <c r="N166" s="43"/>
      <c r="O166" s="36"/>
      <c r="P166" s="43"/>
      <c r="Q166" s="36"/>
      <c r="R166" s="43">
        <f>+R448</f>
        <v>151</v>
      </c>
      <c r="S166" s="43">
        <f>+S448</f>
        <v>230</v>
      </c>
      <c r="T166" s="43">
        <f>+T448</f>
        <v>204</v>
      </c>
      <c r="U166" s="43">
        <f>+U448</f>
        <v>217</v>
      </c>
      <c r="V166" s="36">
        <f t="shared" si="386"/>
        <v>802</v>
      </c>
      <c r="W166" s="43">
        <f>+W448</f>
        <v>224</v>
      </c>
      <c r="X166" s="43">
        <f>+X448</f>
        <v>282</v>
      </c>
      <c r="Y166" s="43">
        <f>+Y448</f>
        <v>239</v>
      </c>
      <c r="Z166" s="43">
        <f>+Z448</f>
        <v>244</v>
      </c>
      <c r="AA166" s="36">
        <f t="shared" si="387"/>
        <v>989</v>
      </c>
      <c r="AB166" s="36"/>
      <c r="AC166" s="43">
        <f>+AC448</f>
        <v>244</v>
      </c>
      <c r="AD166" s="43">
        <f>+AD448</f>
        <v>343</v>
      </c>
      <c r="AE166" s="43">
        <f>+AE448</f>
        <v>240</v>
      </c>
      <c r="AF166" s="43">
        <f>+AF448</f>
        <v>300</v>
      </c>
      <c r="AG166" s="36">
        <f t="shared" si="388"/>
        <v>1127</v>
      </c>
      <c r="AH166" s="43">
        <f>+AH448</f>
        <v>234</v>
      </c>
      <c r="AI166" s="43">
        <f>+AI448</f>
        <v>290</v>
      </c>
      <c r="AJ166" s="43">
        <f>+AJ448</f>
        <v>249</v>
      </c>
      <c r="AK166" s="43">
        <f>+AK448</f>
        <v>310</v>
      </c>
      <c r="AL166" s="36">
        <f t="shared" si="389"/>
        <v>1083</v>
      </c>
      <c r="AM166" s="43">
        <f>+AM448</f>
        <v>167</v>
      </c>
      <c r="AN166" s="43">
        <f>+AN448</f>
        <v>265</v>
      </c>
      <c r="AO166" s="43">
        <f>+AO448</f>
        <v>256</v>
      </c>
      <c r="AP166" s="43">
        <f>+AP448</f>
        <v>230</v>
      </c>
      <c r="AQ166" s="36">
        <f t="shared" si="390"/>
        <v>918</v>
      </c>
      <c r="AR166" s="43">
        <f>+AR448</f>
        <v>280</v>
      </c>
      <c r="AS166" s="43">
        <f>+AS448</f>
        <v>264</v>
      </c>
      <c r="AT166" s="43">
        <f>+AT448</f>
        <v>226</v>
      </c>
      <c r="AU166" s="43">
        <f>+AU448</f>
        <v>232</v>
      </c>
      <c r="AV166" s="36">
        <f t="shared" si="391"/>
        <v>1002</v>
      </c>
      <c r="AW166" s="43">
        <f>+AW448</f>
        <v>209</v>
      </c>
      <c r="AX166" s="43">
        <f>+AX448</f>
        <v>266</v>
      </c>
      <c r="AY166" s="43">
        <f>+AY448</f>
        <v>228</v>
      </c>
      <c r="AZ166" s="43">
        <f>+AZ448</f>
        <v>277</v>
      </c>
      <c r="BA166" s="36">
        <f t="shared" si="392"/>
        <v>980</v>
      </c>
      <c r="BB166" s="43">
        <f>+BB448</f>
        <v>260</v>
      </c>
      <c r="BC166" s="43">
        <f>+BC448</f>
        <v>291</v>
      </c>
      <c r="BD166" s="43">
        <f>+BD448</f>
        <v>298</v>
      </c>
      <c r="BE166" s="43">
        <f>+BE448</f>
        <v>340</v>
      </c>
      <c r="BF166" s="36">
        <f t="shared" si="393"/>
        <v>1189</v>
      </c>
      <c r="BG166" s="43">
        <f>+BG448</f>
        <v>323</v>
      </c>
      <c r="BH166" s="43">
        <f>+BH448</f>
        <v>321</v>
      </c>
      <c r="BI166" s="43">
        <f>+BI448</f>
        <v>339</v>
      </c>
      <c r="BJ166" s="43">
        <f>+BJ448</f>
        <v>340</v>
      </c>
      <c r="BK166" s="36">
        <f t="shared" si="394"/>
        <v>1323</v>
      </c>
      <c r="BL166" s="43">
        <f>+BL448</f>
        <v>341</v>
      </c>
      <c r="BM166" s="43">
        <f>+BM448</f>
        <v>377</v>
      </c>
      <c r="BN166" s="43">
        <f>+BN448</f>
        <v>387</v>
      </c>
      <c r="BO166" s="43">
        <f>+BO448</f>
        <v>79</v>
      </c>
      <c r="BP166" s="36">
        <f t="shared" si="395"/>
        <v>1184</v>
      </c>
      <c r="BQ166" s="43">
        <f>+BQ448</f>
        <v>280</v>
      </c>
      <c r="BR166" s="43">
        <f>+BR448</f>
        <v>424</v>
      </c>
      <c r="BS166" s="43">
        <f>+BS448</f>
        <v>408</v>
      </c>
      <c r="BT166" s="43">
        <f>+BT448</f>
        <v>418</v>
      </c>
      <c r="BU166" s="36">
        <f t="shared" si="396"/>
        <v>1530</v>
      </c>
      <c r="BV166" s="43">
        <f>+BV448</f>
        <v>481</v>
      </c>
      <c r="BW166" s="43">
        <f>+BW448</f>
        <v>388</v>
      </c>
      <c r="BX166" s="43">
        <f>+BX448</f>
        <v>478</v>
      </c>
      <c r="BY166" s="43">
        <f>+BY448</f>
        <v>549</v>
      </c>
      <c r="BZ166" s="36">
        <f t="shared" si="397"/>
        <v>1896</v>
      </c>
      <c r="CA166" s="43">
        <f>+CA448</f>
        <v>500</v>
      </c>
      <c r="CB166" s="43">
        <f>+CB448</f>
        <v>485</v>
      </c>
      <c r="CC166" s="43">
        <f>+CC448</f>
        <v>485</v>
      </c>
      <c r="CD166" s="43">
        <f>+CD448</f>
        <v>462</v>
      </c>
      <c r="CE166" s="36">
        <f t="shared" si="398"/>
        <v>1932</v>
      </c>
      <c r="CF166" s="43">
        <f>+CF448</f>
        <v>414</v>
      </c>
      <c r="CG166" s="43">
        <f>+CG448</f>
        <v>521</v>
      </c>
      <c r="CH166" s="43">
        <f>+CH448</f>
        <v>471</v>
      </c>
      <c r="CI166" s="43">
        <f>+CI448</f>
        <v>479</v>
      </c>
      <c r="CJ166" s="36">
        <f t="shared" si="399"/>
        <v>1885</v>
      </c>
      <c r="CK166" s="43">
        <f>+CK448</f>
        <v>402</v>
      </c>
      <c r="CL166" s="43">
        <f>+CL448</f>
        <v>460</v>
      </c>
      <c r="CM166" s="43">
        <f>+CM448</f>
        <v>346</v>
      </c>
      <c r="CN166" s="43">
        <f>+CN448</f>
        <v>319</v>
      </c>
      <c r="CO166" s="36">
        <f t="shared" si="400"/>
        <v>1527</v>
      </c>
      <c r="CP166" s="43">
        <f>+CP448</f>
        <v>350</v>
      </c>
      <c r="CQ166" s="43">
        <f>+CQ448</f>
        <v>389</v>
      </c>
      <c r="CR166" s="43">
        <f>+CR448</f>
        <v>332</v>
      </c>
      <c r="CS166" s="43">
        <f>+CS448</f>
        <v>316</v>
      </c>
      <c r="CT166" s="36">
        <f t="shared" si="401"/>
        <v>1387</v>
      </c>
      <c r="CU166" s="43">
        <f>+CU448</f>
        <v>324</v>
      </c>
      <c r="CV166" s="43">
        <f>+CV448</f>
        <v>387.72743969999999</v>
      </c>
      <c r="CW166" s="43">
        <f>+CW448</f>
        <v>337.72058131610731</v>
      </c>
      <c r="CX166" s="43">
        <f>+CX448</f>
        <v>314.55606102255638</v>
      </c>
      <c r="CY166" s="36">
        <f t="shared" si="402"/>
        <v>1364.0040820386637</v>
      </c>
      <c r="CZ166" s="43">
        <f>+CZ448</f>
        <v>352.658105593985</v>
      </c>
      <c r="DA166" s="43">
        <f>+DA448</f>
        <v>428.42110635495982</v>
      </c>
      <c r="DB166" s="43">
        <f>+DB448</f>
        <v>373.91682909129361</v>
      </c>
      <c r="DC166" s="43">
        <f>+DC448</f>
        <v>351.93003763857632</v>
      </c>
      <c r="DD166" s="36">
        <f t="shared" si="403"/>
        <v>1506.9260786788147</v>
      </c>
      <c r="DE166" s="43">
        <f>+DE448</f>
        <v>393.73111299193994</v>
      </c>
      <c r="DF166" s="43">
        <f>+DF448</f>
        <v>475.7953346953401</v>
      </c>
      <c r="DG166" s="43">
        <f>+DG448</f>
        <v>415.89605076421299</v>
      </c>
      <c r="DH166" s="43">
        <f>+DH448</f>
        <v>394.88058591402239</v>
      </c>
      <c r="DI166" s="36">
        <f t="shared" si="404"/>
        <v>1680.3030843655156</v>
      </c>
    </row>
    <row r="167" spans="1:113" ht="12" customHeight="1">
      <c r="A167" s="219" t="str">
        <f t="shared" si="364"/>
        <v xml:space="preserve"> </v>
      </c>
      <c r="B167" s="17" t="s">
        <v>159</v>
      </c>
      <c r="C167" s="36"/>
      <c r="D167" s="43"/>
      <c r="E167" s="36"/>
      <c r="F167" s="43"/>
      <c r="G167" s="36"/>
      <c r="H167" s="43"/>
      <c r="I167" s="36"/>
      <c r="J167" s="43"/>
      <c r="K167" s="36"/>
      <c r="L167" s="43"/>
      <c r="M167" s="36"/>
      <c r="N167" s="43"/>
      <c r="O167" s="36"/>
      <c r="P167" s="43"/>
      <c r="Q167" s="36"/>
      <c r="R167" s="43">
        <f>+R475</f>
        <v>-245</v>
      </c>
      <c r="S167" s="43">
        <f>+S475</f>
        <v>-221</v>
      </c>
      <c r="T167" s="43">
        <f>+T475</f>
        <v>-237</v>
      </c>
      <c r="U167" s="43">
        <f>+U475</f>
        <v>-268</v>
      </c>
      <c r="V167" s="36">
        <f t="shared" si="386"/>
        <v>-971</v>
      </c>
      <c r="W167" s="43">
        <f>+W475</f>
        <v>-261</v>
      </c>
      <c r="X167" s="43">
        <f>+X475</f>
        <v>-273</v>
      </c>
      <c r="Y167" s="43">
        <f>+Y475</f>
        <v>-292</v>
      </c>
      <c r="Z167" s="43">
        <f>+Z475</f>
        <v>-351</v>
      </c>
      <c r="AA167" s="36">
        <f t="shared" si="387"/>
        <v>-1177</v>
      </c>
      <c r="AB167" s="36"/>
      <c r="AC167" s="43">
        <f>+AC475</f>
        <v>-456</v>
      </c>
      <c r="AD167" s="43">
        <f>+AD475</f>
        <v>-410</v>
      </c>
      <c r="AE167" s="43">
        <f>+AE475</f>
        <v>-414</v>
      </c>
      <c r="AF167" s="43">
        <f>+AF475</f>
        <v>-466</v>
      </c>
      <c r="AG167" s="36">
        <f t="shared" si="388"/>
        <v>-1746</v>
      </c>
      <c r="AH167" s="43">
        <f>+AH475</f>
        <v>-466</v>
      </c>
      <c r="AI167" s="43">
        <f>+AI475</f>
        <v>-462</v>
      </c>
      <c r="AJ167" s="43">
        <f>+AJ475</f>
        <v>-528</v>
      </c>
      <c r="AK167" s="43">
        <f>+AK475</f>
        <v>-549</v>
      </c>
      <c r="AL167" s="36">
        <f t="shared" si="389"/>
        <v>-2005</v>
      </c>
      <c r="AM167" s="43">
        <f>+AM475</f>
        <v>-533</v>
      </c>
      <c r="AN167" s="43">
        <f>+AN475</f>
        <v>-554</v>
      </c>
      <c r="AO167" s="43">
        <f>+AO475</f>
        <v>-552</v>
      </c>
      <c r="AP167" s="43">
        <f>+AP475</f>
        <v>-627</v>
      </c>
      <c r="AQ167" s="36">
        <f t="shared" si="390"/>
        <v>-2266</v>
      </c>
      <c r="AR167" s="43">
        <f>+AR475</f>
        <v>-624</v>
      </c>
      <c r="AS167" s="43">
        <f>+AS475</f>
        <v>-625</v>
      </c>
      <c r="AT167" s="43">
        <f>+AT475</f>
        <v>-625</v>
      </c>
      <c r="AU167" s="43">
        <f>+AU475</f>
        <v>-722</v>
      </c>
      <c r="AV167" s="36">
        <f t="shared" si="391"/>
        <v>-2596</v>
      </c>
      <c r="AW167" s="43">
        <f>+AW475</f>
        <v>-771</v>
      </c>
      <c r="AX167" s="43">
        <f>+AX475</f>
        <v>-619</v>
      </c>
      <c r="AY167" s="43">
        <f>+AY475</f>
        <v>-598</v>
      </c>
      <c r="AZ167" s="43">
        <f>+AZ475</f>
        <v>-689</v>
      </c>
      <c r="BA167" s="36">
        <f t="shared" si="392"/>
        <v>-2677</v>
      </c>
      <c r="BB167" s="43">
        <f>+BB475</f>
        <v>-675</v>
      </c>
      <c r="BC167" s="43">
        <f>+BC475</f>
        <v>-602</v>
      </c>
      <c r="BD167" s="43">
        <f>+BD475</f>
        <v>-649</v>
      </c>
      <c r="BE167" s="43">
        <f>+BE475</f>
        <v>-732</v>
      </c>
      <c r="BF167" s="36">
        <f t="shared" si="393"/>
        <v>-2658</v>
      </c>
      <c r="BG167" s="43">
        <f>+BG475</f>
        <v>-818</v>
      </c>
      <c r="BH167" s="43">
        <f>+BH475</f>
        <v>-826</v>
      </c>
      <c r="BI167" s="43">
        <f>+BI475</f>
        <v>-788</v>
      </c>
      <c r="BJ167" s="43">
        <f>+BJ475</f>
        <v>-830</v>
      </c>
      <c r="BK167" s="36">
        <f t="shared" si="394"/>
        <v>-3262</v>
      </c>
      <c r="BL167" s="43">
        <f>+BL475</f>
        <v>-857</v>
      </c>
      <c r="BM167" s="43">
        <f>+BM475</f>
        <v>-872</v>
      </c>
      <c r="BN167" s="43">
        <f>+BN475</f>
        <v>-895</v>
      </c>
      <c r="BO167" s="43">
        <f>+BO475</f>
        <v>-844</v>
      </c>
      <c r="BP167" s="36">
        <f t="shared" si="395"/>
        <v>-3468</v>
      </c>
      <c r="BQ167" s="43">
        <f>+BQ475</f>
        <v>-853</v>
      </c>
      <c r="BR167" s="43">
        <f>+BR475</f>
        <v>-841</v>
      </c>
      <c r="BS167" s="43">
        <f>+BS475</f>
        <v>-852</v>
      </c>
      <c r="BT167" s="43">
        <f>+BT475</f>
        <v>-1110</v>
      </c>
      <c r="BU167" s="36">
        <f t="shared" si="396"/>
        <v>-3656</v>
      </c>
      <c r="BV167" s="43">
        <f>+BV475</f>
        <v>-987</v>
      </c>
      <c r="BW167" s="43">
        <f>+BW475</f>
        <v>-1071</v>
      </c>
      <c r="BX167" s="43">
        <f>+BX475</f>
        <v>-975</v>
      </c>
      <c r="BY167" s="43">
        <f>+BY475</f>
        <v>-1229</v>
      </c>
      <c r="BZ167" s="36">
        <f t="shared" si="397"/>
        <v>-4262</v>
      </c>
      <c r="CA167" s="43">
        <f>+CA475</f>
        <v>-1187</v>
      </c>
      <c r="CB167" s="43">
        <f>+CB475</f>
        <v>-1226</v>
      </c>
      <c r="CC167" s="43">
        <f>+CC475</f>
        <v>-1160</v>
      </c>
      <c r="CD167" s="43">
        <f>+CD475</f>
        <v>-1268</v>
      </c>
      <c r="CE167" s="36">
        <f t="shared" si="398"/>
        <v>-4841</v>
      </c>
      <c r="CF167" s="43">
        <f>+CF475</f>
        <v>-1205</v>
      </c>
      <c r="CG167" s="43">
        <f>+CG475</f>
        <v>-1168</v>
      </c>
      <c r="CH167" s="43">
        <f>+CH475</f>
        <v>-1199</v>
      </c>
      <c r="CI167" s="43">
        <f>+CI475</f>
        <v>-1148</v>
      </c>
      <c r="CJ167" s="36">
        <f t="shared" si="399"/>
        <v>-4720</v>
      </c>
      <c r="CK167" s="43">
        <f>+CK475</f>
        <v>-1227</v>
      </c>
      <c r="CL167" s="43">
        <f>+CL475</f>
        <v>-1133</v>
      </c>
      <c r="CM167" s="43">
        <f>+CM475</f>
        <v>-1093</v>
      </c>
      <c r="CN167" s="43">
        <f>+CN475</f>
        <v>-1246</v>
      </c>
      <c r="CO167" s="36">
        <f t="shared" si="400"/>
        <v>-4699</v>
      </c>
      <c r="CP167" s="43">
        <f>+CP475</f>
        <v>-1192</v>
      </c>
      <c r="CQ167" s="43">
        <f>+CQ475</f>
        <v>-1072</v>
      </c>
      <c r="CR167" s="43">
        <f>+CR475</f>
        <v>-1209</v>
      </c>
      <c r="CS167" s="43">
        <f>+CS475</f>
        <v>-1130</v>
      </c>
      <c r="CT167" s="36">
        <f t="shared" si="401"/>
        <v>-4603</v>
      </c>
      <c r="CU167" s="43">
        <f>+CU475</f>
        <v>-1275.3382629865166</v>
      </c>
      <c r="CV167" s="43">
        <f>+CV475</f>
        <v>-1108.5981701084349</v>
      </c>
      <c r="CW167" s="43">
        <f>+CW475</f>
        <v>-1203.4161138912618</v>
      </c>
      <c r="CX167" s="43">
        <f>+CX475</f>
        <v>-1084.0151740373096</v>
      </c>
      <c r="CY167" s="36">
        <f t="shared" si="402"/>
        <v>-4671.3677210235228</v>
      </c>
      <c r="CZ167" s="43">
        <f>+CZ475</f>
        <v>-1320.7079906302233</v>
      </c>
      <c r="DA167" s="43">
        <f>+DA475</f>
        <v>-1152.6469706212206</v>
      </c>
      <c r="DB167" s="43">
        <f>+DB475</f>
        <v>-1252.2689682118157</v>
      </c>
      <c r="DC167" s="43">
        <f>+DC475</f>
        <v>-1130.0040774520692</v>
      </c>
      <c r="DD167" s="36">
        <f t="shared" si="403"/>
        <v>-4855.628006915329</v>
      </c>
      <c r="DE167" s="43">
        <f>+DE475</f>
        <v>-1367.6917309999685</v>
      </c>
      <c r="DF167" s="43">
        <f>+DF475</f>
        <v>-1198.4459966701222</v>
      </c>
      <c r="DG167" s="43">
        <f>+DG475</f>
        <v>-1303.1050113460444</v>
      </c>
      <c r="DH167" s="43">
        <f>+DH475</f>
        <v>-1177.9440414127941</v>
      </c>
      <c r="DI167" s="36">
        <f t="shared" si="404"/>
        <v>-5047.1867804289286</v>
      </c>
    </row>
    <row r="168" spans="1:113" s="4" customFormat="1" ht="12" customHeight="1">
      <c r="A168" s="219" t="str">
        <f t="shared" si="364"/>
        <v xml:space="preserve"> </v>
      </c>
      <c r="B168" s="18" t="s">
        <v>192</v>
      </c>
      <c r="C168" s="364"/>
      <c r="D168" s="363"/>
      <c r="E168" s="364"/>
      <c r="F168" s="363"/>
      <c r="G168" s="364"/>
      <c r="H168" s="363"/>
      <c r="I168" s="364"/>
      <c r="J168" s="363"/>
      <c r="K168" s="364"/>
      <c r="L168" s="363"/>
      <c r="M168" s="364"/>
      <c r="N168" s="363"/>
      <c r="O168" s="364"/>
      <c r="P168" s="363"/>
      <c r="Q168" s="364"/>
      <c r="R168" s="363">
        <f>SUM(R163:R167)</f>
        <v>866</v>
      </c>
      <c r="S168" s="363">
        <f>SUM(S163:S167)</f>
        <v>729</v>
      </c>
      <c r="T168" s="363">
        <f>SUM(T163:T167)</f>
        <v>821</v>
      </c>
      <c r="U168" s="363">
        <f>SUM(U163:U167)</f>
        <v>902</v>
      </c>
      <c r="V168" s="364">
        <f t="shared" si="386"/>
        <v>3318</v>
      </c>
      <c r="W168" s="363">
        <f>SUM(W163:W167)</f>
        <v>961</v>
      </c>
      <c r="X168" s="363">
        <f>SUM(X163:X167)</f>
        <v>772</v>
      </c>
      <c r="Y168" s="363">
        <f>SUM(Y163:Y167)</f>
        <v>925</v>
      </c>
      <c r="Z168" s="363">
        <f>SUM(Z163:Z167)</f>
        <v>903</v>
      </c>
      <c r="AA168" s="364">
        <f t="shared" si="387"/>
        <v>3561</v>
      </c>
      <c r="AB168" s="364"/>
      <c r="AC168" s="363">
        <f>SUM(AC163:AC167)</f>
        <v>864</v>
      </c>
      <c r="AD168" s="363">
        <f>SUM(AD163:AD167)</f>
        <v>832</v>
      </c>
      <c r="AE168" s="363">
        <f>SUM(AE163:AE167)</f>
        <v>940</v>
      </c>
      <c r="AF168" s="363">
        <f>SUM(AF163:AF167)</f>
        <v>1076</v>
      </c>
      <c r="AG168" s="364">
        <f t="shared" si="388"/>
        <v>3712</v>
      </c>
      <c r="AH168" s="363">
        <f>SUM(AH163:AH167)</f>
        <v>1097</v>
      </c>
      <c r="AI168" s="363">
        <f>SUM(AI163:AI167)</f>
        <v>845</v>
      </c>
      <c r="AJ168" s="363">
        <f>SUM(AJ163:AJ167)</f>
        <v>1038</v>
      </c>
      <c r="AK168" s="363">
        <f>SUM(AK163:AK167)</f>
        <v>1135</v>
      </c>
      <c r="AL168" s="364">
        <f t="shared" si="389"/>
        <v>4115</v>
      </c>
      <c r="AM168" s="363">
        <f>SUM(AM163:AM167)</f>
        <v>1294</v>
      </c>
      <c r="AN168" s="363">
        <f>SUM(AN163:AN167)</f>
        <v>1072</v>
      </c>
      <c r="AO168" s="363">
        <f>SUM(AO163:AO167)</f>
        <v>1170</v>
      </c>
      <c r="AP168" s="363">
        <f>SUM(AP163:AP167)</f>
        <v>1277</v>
      </c>
      <c r="AQ168" s="364">
        <f t="shared" si="390"/>
        <v>4813</v>
      </c>
      <c r="AR168" s="363">
        <f>SUM(AR163:AR167)</f>
        <v>1625</v>
      </c>
      <c r="AS168" s="363">
        <f>SUM(AS163:AS167)</f>
        <v>1255</v>
      </c>
      <c r="AT168" s="363">
        <f>SUM(AT163:AT167)</f>
        <v>1277</v>
      </c>
      <c r="AU168" s="363">
        <f>SUM(AU163:AU167)</f>
        <v>1171</v>
      </c>
      <c r="AV168" s="364">
        <f t="shared" si="391"/>
        <v>5328</v>
      </c>
      <c r="AW168" s="363">
        <f>SUM(AW163:AW167)</f>
        <v>1298</v>
      </c>
      <c r="AX168" s="363">
        <f>SUM(AX163:AX167)</f>
        <v>1247</v>
      </c>
      <c r="AY168" s="363">
        <f>SUM(AY163:AY167)</f>
        <v>1352</v>
      </c>
      <c r="AZ168" s="363">
        <f>SUM(AZ163:AZ167)</f>
        <v>1295</v>
      </c>
      <c r="BA168" s="364">
        <f t="shared" si="392"/>
        <v>5192</v>
      </c>
      <c r="BB168" s="363">
        <f>SUM(BB163:BB167)</f>
        <v>1432</v>
      </c>
      <c r="BC168" s="363">
        <f>SUM(BC163:BC167)</f>
        <v>1187</v>
      </c>
      <c r="BD168" s="363">
        <f>SUM(BD163:BD167)</f>
        <v>1402</v>
      </c>
      <c r="BE168" s="363">
        <f>SUM(BE163:BE167)</f>
        <v>1504</v>
      </c>
      <c r="BF168" s="364">
        <f t="shared" si="393"/>
        <v>5525</v>
      </c>
      <c r="BG168" s="363">
        <f>SUM(BG163:BG167)</f>
        <v>1585</v>
      </c>
      <c r="BH168" s="363">
        <f>SUM(BH163:BH167)</f>
        <v>1390</v>
      </c>
      <c r="BI168" s="363">
        <f>SUM(BI163:BI167)</f>
        <v>1644</v>
      </c>
      <c r="BJ168" s="363">
        <f>SUM(BJ163:BJ167)</f>
        <v>1738</v>
      </c>
      <c r="BK168" s="364">
        <f t="shared" si="394"/>
        <v>6357</v>
      </c>
      <c r="BL168" s="363">
        <f>SUM(BL163:BL167)</f>
        <v>1862</v>
      </c>
      <c r="BM168" s="363">
        <f>SUM(BM163:BM167)</f>
        <v>1584</v>
      </c>
      <c r="BN168" s="363">
        <f>SUM(BN163:BN167)</f>
        <v>1560</v>
      </c>
      <c r="BO168" s="363">
        <f>SUM(BO163:BO167)</f>
        <v>-360</v>
      </c>
      <c r="BP168" s="364">
        <f t="shared" si="395"/>
        <v>4646</v>
      </c>
      <c r="BQ168" s="363">
        <f>SUM(BQ163:BQ167)</f>
        <v>2109</v>
      </c>
      <c r="BR168" s="363">
        <f>SUM(BR163:BR167)</f>
        <v>2157</v>
      </c>
      <c r="BS168" s="363">
        <f>SUM(BS163:BS167)</f>
        <v>2032</v>
      </c>
      <c r="BT168" s="363">
        <f>SUM(BT163:BT167)</f>
        <v>2343</v>
      </c>
      <c r="BU168" s="364">
        <f t="shared" si="396"/>
        <v>8641</v>
      </c>
      <c r="BV168" s="363">
        <f>SUM(BV163:BV167)</f>
        <v>2504</v>
      </c>
      <c r="BW168" s="363">
        <f>SUM(BW163:BW167)</f>
        <v>1927</v>
      </c>
      <c r="BX168" s="363">
        <f>SUM(BX163:BX167)</f>
        <v>1967</v>
      </c>
      <c r="BY168" s="363">
        <f>SUM(BY163:BY167)</f>
        <v>2008</v>
      </c>
      <c r="BZ168" s="364">
        <f t="shared" si="397"/>
        <v>8406</v>
      </c>
      <c r="CA168" s="363">
        <f>SUM(CA163:CA167)</f>
        <v>2206</v>
      </c>
      <c r="CB168" s="363">
        <f>SUM(CB163:CB167)</f>
        <v>2257</v>
      </c>
      <c r="CC168" s="363">
        <f>SUM(CC163:CC167)</f>
        <v>2002</v>
      </c>
      <c r="CD168" s="363">
        <f>SUM(CD163:CD167)</f>
        <v>1894</v>
      </c>
      <c r="CE168" s="364">
        <f t="shared" si="398"/>
        <v>8359</v>
      </c>
      <c r="CF168" s="363">
        <f>SUM(CF163:CF167)</f>
        <v>2098</v>
      </c>
      <c r="CG168" s="363">
        <f>SUM(CG163:CG167)</f>
        <v>2320</v>
      </c>
      <c r="CH168" s="363">
        <f>SUM(CH163:CH167)</f>
        <v>2128</v>
      </c>
      <c r="CI168" s="363">
        <f>SUM(CI163:CI167)</f>
        <v>2138</v>
      </c>
      <c r="CJ168" s="364">
        <f t="shared" si="399"/>
        <v>8684</v>
      </c>
      <c r="CK168" s="363">
        <f>SUM(CK163:CK167)</f>
        <v>1685</v>
      </c>
      <c r="CL168" s="363">
        <f>SUM(CL163:CL167)</f>
        <v>1904</v>
      </c>
      <c r="CM168" s="363">
        <f>SUM(CM163:CM167)</f>
        <v>1257</v>
      </c>
      <c r="CN168" s="363">
        <f>SUM(CN163:CN167)</f>
        <v>894</v>
      </c>
      <c r="CO168" s="364">
        <f t="shared" si="400"/>
        <v>5740</v>
      </c>
      <c r="CP168" s="363">
        <f>SUM(CP163:CP167)</f>
        <v>1404</v>
      </c>
      <c r="CQ168" s="363">
        <f>SUM(CQ163:CQ167)</f>
        <v>1502</v>
      </c>
      <c r="CR168" s="363">
        <f>SUM(CR163:CR167)</f>
        <v>1086</v>
      </c>
      <c r="CS168" s="363">
        <f>SUM(CS163:CS167)</f>
        <v>1863</v>
      </c>
      <c r="CT168" s="364">
        <f t="shared" si="401"/>
        <v>5855</v>
      </c>
      <c r="CU168" s="363">
        <f>SUM(CU163:CU167)</f>
        <v>1194.6617370134834</v>
      </c>
      <c r="CV168" s="363">
        <f>SUM(CV163:CV167)</f>
        <v>1274.2902588622708</v>
      </c>
      <c r="CW168" s="363">
        <f>SUM(CW163:CW167)</f>
        <v>977.4813455913677</v>
      </c>
      <c r="CX168" s="363">
        <f>SUM(CX163:CX167)</f>
        <v>1339.0320286401081</v>
      </c>
      <c r="CY168" s="364">
        <f t="shared" si="402"/>
        <v>4785.4653701072302</v>
      </c>
      <c r="CZ168" s="363">
        <f>SUM(CZ163:CZ167)</f>
        <v>1155.5217596475268</v>
      </c>
      <c r="DA168" s="363">
        <f>SUM(DA163:DA167)</f>
        <v>1320.4045031479268</v>
      </c>
      <c r="DB168" s="363">
        <f>SUM(DB163:DB167)</f>
        <v>1049.293096676367</v>
      </c>
      <c r="DC168" s="363">
        <f>SUM(DC163:DC167)</f>
        <v>1407.6939050243843</v>
      </c>
      <c r="DD168" s="364">
        <f t="shared" si="403"/>
        <v>4932.9132644962046</v>
      </c>
      <c r="DE168" s="363">
        <f>SUM(DE163:DE167)</f>
        <v>1250.1783643346344</v>
      </c>
      <c r="DF168" s="363">
        <f>SUM(DF163:DF167)</f>
        <v>1424.4130702638997</v>
      </c>
      <c r="DG168" s="363">
        <f>SUM(DG163:DG167)</f>
        <v>1155.1056527550588</v>
      </c>
      <c r="DH168" s="363">
        <f>SUM(DH163:DH167)</f>
        <v>1507.713992533643</v>
      </c>
      <c r="DI168" s="364">
        <f t="shared" si="404"/>
        <v>5337.4110798872362</v>
      </c>
    </row>
    <row r="169" spans="1:113" ht="12" customHeight="1">
      <c r="A169" s="219" t="str">
        <f t="shared" si="364"/>
        <v xml:space="preserve"> </v>
      </c>
      <c r="B169" s="491" t="s">
        <v>171</v>
      </c>
      <c r="C169" s="492"/>
      <c r="D169" s="522"/>
      <c r="E169" s="492"/>
      <c r="F169" s="522"/>
      <c r="G169" s="492"/>
      <c r="H169" s="522"/>
      <c r="I169" s="492"/>
      <c r="J169" s="522"/>
      <c r="K169" s="492"/>
      <c r="L169" s="522"/>
      <c r="M169" s="492"/>
      <c r="N169" s="522"/>
      <c r="O169" s="492"/>
      <c r="P169" s="522"/>
      <c r="Q169" s="492"/>
      <c r="R169" s="378" t="s">
        <v>126</v>
      </c>
      <c r="S169" s="522" t="s">
        <v>126</v>
      </c>
      <c r="T169" s="522" t="s">
        <v>126</v>
      </c>
      <c r="U169" s="522" t="s">
        <v>126</v>
      </c>
      <c r="V169" s="492" t="s">
        <v>126</v>
      </c>
      <c r="W169" s="52">
        <f>+W168/R168-1</f>
        <v>0.10969976905311785</v>
      </c>
      <c r="X169" s="52">
        <f>+X168/S168-1</f>
        <v>5.8984910836762605E-2</v>
      </c>
      <c r="Y169" s="52">
        <f>+Y168/T168-1</f>
        <v>0.12667478684531064</v>
      </c>
      <c r="Z169" s="52">
        <f>+Z168/U168-1</f>
        <v>1.1086474501109667E-3</v>
      </c>
      <c r="AA169" s="112">
        <f>+AA168/V168-1</f>
        <v>7.3236889692585905E-2</v>
      </c>
      <c r="AB169" s="112"/>
      <c r="AC169" s="52">
        <f>+AC168/W168-1</f>
        <v>-0.10093652445369405</v>
      </c>
      <c r="AD169" s="52">
        <f>+AD168/X168-1</f>
        <v>7.7720207253886064E-2</v>
      </c>
      <c r="AE169" s="52">
        <f>+AE168/Y168-1</f>
        <v>1.6216216216216273E-2</v>
      </c>
      <c r="AF169" s="52">
        <f>+AF168/Z168-1</f>
        <v>0.19158361018826131</v>
      </c>
      <c r="AG169" s="112">
        <f>+AG168/AA168-1</f>
        <v>4.2403819151923594E-2</v>
      </c>
      <c r="AH169" s="52">
        <f t="shared" ref="AH169:BP169" si="405">+AH168/AC168-1</f>
        <v>0.26967592592592582</v>
      </c>
      <c r="AI169" s="52">
        <f t="shared" si="405"/>
        <v>1.5625E-2</v>
      </c>
      <c r="AJ169" s="52">
        <f t="shared" si="405"/>
        <v>0.10425531914893615</v>
      </c>
      <c r="AK169" s="52">
        <f t="shared" si="405"/>
        <v>5.4832713754646933E-2</v>
      </c>
      <c r="AL169" s="112">
        <f t="shared" si="405"/>
        <v>0.10856681034482762</v>
      </c>
      <c r="AM169" s="52">
        <f t="shared" si="405"/>
        <v>0.179580674567001</v>
      </c>
      <c r="AN169" s="52">
        <f t="shared" si="405"/>
        <v>0.26863905325443782</v>
      </c>
      <c r="AO169" s="52">
        <f t="shared" si="405"/>
        <v>0.12716763005780352</v>
      </c>
      <c r="AP169" s="52">
        <f t="shared" si="405"/>
        <v>0.12511013215859035</v>
      </c>
      <c r="AQ169" s="112">
        <f t="shared" si="405"/>
        <v>0.16962332928311064</v>
      </c>
      <c r="AR169" s="52">
        <f t="shared" si="405"/>
        <v>0.25579598145285942</v>
      </c>
      <c r="AS169" s="52">
        <f t="shared" si="405"/>
        <v>0.17070895522388052</v>
      </c>
      <c r="AT169" s="52">
        <f t="shared" si="405"/>
        <v>9.145299145299135E-2</v>
      </c>
      <c r="AU169" s="52">
        <f t="shared" si="405"/>
        <v>-8.3007047768206776E-2</v>
      </c>
      <c r="AV169" s="112">
        <f t="shared" si="405"/>
        <v>0.10700186993559102</v>
      </c>
      <c r="AW169" s="52">
        <f t="shared" si="405"/>
        <v>-0.20123076923076921</v>
      </c>
      <c r="AX169" s="52">
        <f t="shared" si="405"/>
        <v>-6.3745019920318224E-3</v>
      </c>
      <c r="AY169" s="52">
        <f t="shared" si="405"/>
        <v>5.873140172278779E-2</v>
      </c>
      <c r="AZ169" s="52">
        <f t="shared" si="405"/>
        <v>0.10589239965841157</v>
      </c>
      <c r="BA169" s="112">
        <f t="shared" si="405"/>
        <v>-2.5525525525525561E-2</v>
      </c>
      <c r="BB169" s="52">
        <f t="shared" si="405"/>
        <v>0.1032357473035439</v>
      </c>
      <c r="BC169" s="52">
        <f t="shared" si="405"/>
        <v>-4.8115477145148411E-2</v>
      </c>
      <c r="BD169" s="52">
        <f t="shared" si="405"/>
        <v>3.6982248520710082E-2</v>
      </c>
      <c r="BE169" s="52">
        <f t="shared" si="405"/>
        <v>0.16138996138996142</v>
      </c>
      <c r="BF169" s="112">
        <f t="shared" si="405"/>
        <v>6.4137134052388189E-2</v>
      </c>
      <c r="BG169" s="52">
        <f t="shared" si="405"/>
        <v>0.10684357541899447</v>
      </c>
      <c r="BH169" s="52">
        <f t="shared" si="405"/>
        <v>0.17101937657961241</v>
      </c>
      <c r="BI169" s="52">
        <f t="shared" si="405"/>
        <v>0.17261055634807421</v>
      </c>
      <c r="BJ169" s="52">
        <f t="shared" si="405"/>
        <v>0.15558510638297873</v>
      </c>
      <c r="BK169" s="112">
        <f t="shared" si="405"/>
        <v>0.15058823529411769</v>
      </c>
      <c r="BL169" s="52">
        <f t="shared" si="405"/>
        <v>0.17476340694006298</v>
      </c>
      <c r="BM169" s="52">
        <f t="shared" si="405"/>
        <v>0.13956834532374107</v>
      </c>
      <c r="BN169" s="52">
        <f t="shared" si="405"/>
        <v>-5.1094890510948954E-2</v>
      </c>
      <c r="BO169" s="52">
        <f t="shared" si="405"/>
        <v>-1.2071346375143843</v>
      </c>
      <c r="BP169" s="112">
        <f t="shared" si="405"/>
        <v>-0.26915211577788267</v>
      </c>
      <c r="BQ169" s="52">
        <f t="shared" ref="BQ169:BZ169" si="406">+BQ168/BL168-1</f>
        <v>0.13265306122448983</v>
      </c>
      <c r="BR169" s="52">
        <f t="shared" si="406"/>
        <v>0.36174242424242431</v>
      </c>
      <c r="BS169" s="52">
        <f t="shared" si="406"/>
        <v>0.3025641025641026</v>
      </c>
      <c r="BT169" s="52">
        <f t="shared" si="406"/>
        <v>-7.5083333333333337</v>
      </c>
      <c r="BU169" s="112">
        <f t="shared" si="406"/>
        <v>0.85987946620749023</v>
      </c>
      <c r="BV169" s="52">
        <f t="shared" si="406"/>
        <v>0.18729255571360826</v>
      </c>
      <c r="BW169" s="52">
        <f t="shared" si="406"/>
        <v>-0.1066295781177562</v>
      </c>
      <c r="BX169" s="52">
        <f t="shared" si="406"/>
        <v>-3.1988188976378007E-2</v>
      </c>
      <c r="BY169" s="52">
        <f t="shared" si="406"/>
        <v>-0.14297908664105852</v>
      </c>
      <c r="BZ169" s="112">
        <f t="shared" si="406"/>
        <v>-2.7195926397407755E-2</v>
      </c>
      <c r="CA169" s="52">
        <f t="shared" ref="CA169" si="407">+CA168/BV168-1</f>
        <v>-0.11900958466453671</v>
      </c>
      <c r="CB169" s="52">
        <f t="shared" ref="CB169:CC169" si="408">+CB168/BW168-1</f>
        <v>0.17125064867669959</v>
      </c>
      <c r="CC169" s="52">
        <f t="shared" si="408"/>
        <v>1.7793594306049876E-2</v>
      </c>
      <c r="CD169" s="52">
        <f t="shared" ref="CD169" si="409">+CD168/BY168-1</f>
        <v>-5.6772908366533814E-2</v>
      </c>
      <c r="CE169" s="112">
        <f t="shared" ref="CE169" si="410">+CE168/BZ168-1</f>
        <v>-5.5912443492743824E-3</v>
      </c>
      <c r="CF169" s="52">
        <f t="shared" ref="CF169" si="411">+CF168/CA168-1</f>
        <v>-4.8957388939256608E-2</v>
      </c>
      <c r="CG169" s="52">
        <f t="shared" ref="CG169:CH169" si="412">+CG168/CB168-1</f>
        <v>2.7913159060700021E-2</v>
      </c>
      <c r="CH169" s="52">
        <f t="shared" si="412"/>
        <v>6.2937062937062915E-2</v>
      </c>
      <c r="CI169" s="52">
        <f t="shared" ref="CI169" si="413">+CI168/CD168-1</f>
        <v>0.12882787750791969</v>
      </c>
      <c r="CJ169" s="112">
        <f t="shared" ref="CJ169:CL169" si="414">+CJ168/CE168-1</f>
        <v>3.8880248833592645E-2</v>
      </c>
      <c r="CK169" s="52">
        <f t="shared" si="414"/>
        <v>-0.19685414680648239</v>
      </c>
      <c r="CL169" s="52">
        <f t="shared" si="414"/>
        <v>-0.17931034482758623</v>
      </c>
      <c r="CM169" s="52">
        <f t="shared" ref="CM169" si="415">+CM168/CH168-1</f>
        <v>-0.40930451127819545</v>
      </c>
      <c r="CN169" s="52">
        <f t="shared" ref="CN169" si="416">+CN168/CI168-1</f>
        <v>-0.58185219831618329</v>
      </c>
      <c r="CO169" s="112">
        <f t="shared" ref="CO169" si="417">+CO168/CJ168-1</f>
        <v>-0.33901427913403959</v>
      </c>
      <c r="CP169" s="52">
        <f t="shared" ref="CP169:CQ169" si="418">+CP168/CK168-1</f>
        <v>-0.16676557863501484</v>
      </c>
      <c r="CQ169" s="52">
        <f t="shared" si="418"/>
        <v>-0.21113445378151263</v>
      </c>
      <c r="CR169" s="52">
        <f t="shared" ref="CR169" si="419">+CR168/CM168-1</f>
        <v>-0.13603818615751795</v>
      </c>
      <c r="CS169" s="52">
        <f t="shared" ref="CS169" si="420">+CS168/CN168-1</f>
        <v>1.0838926174496644</v>
      </c>
      <c r="CT169" s="112">
        <f t="shared" ref="CT169" si="421">+CT168/CO168-1</f>
        <v>2.0034843205574804E-2</v>
      </c>
      <c r="CU169" s="52">
        <f t="shared" ref="CU169" si="422">+CU168/CP168-1</f>
        <v>-0.14910132691347333</v>
      </c>
      <c r="CV169" s="52">
        <f t="shared" ref="CV169" si="423">+CV168/CQ168-1</f>
        <v>-0.15160435495188362</v>
      </c>
      <c r="CW169" s="52">
        <f t="shared" ref="CW169" si="424">+CW168/CR168-1</f>
        <v>-9.9925096140545344E-2</v>
      </c>
      <c r="CX169" s="52">
        <f t="shared" ref="CX169" si="425">+CX168/CS168-1</f>
        <v>-0.28124958205039818</v>
      </c>
      <c r="CY169" s="112">
        <f t="shared" ref="CY169" si="426">+CY168/CT168-1</f>
        <v>-0.18267030399534923</v>
      </c>
      <c r="CZ169" s="52">
        <f t="shared" ref="CZ169" si="427">+CZ168/CU168-1</f>
        <v>-3.276239303001538E-2</v>
      </c>
      <c r="DA169" s="52">
        <f t="shared" ref="DA169" si="428">+DA168/CV168-1</f>
        <v>3.6188179235418838E-2</v>
      </c>
      <c r="DB169" s="52">
        <f t="shared" ref="DB169" si="429">+DB168/CW168-1</f>
        <v>7.3466109004416635E-2</v>
      </c>
      <c r="DC169" s="52">
        <f t="shared" ref="DC169" si="430">+DC168/CX168-1</f>
        <v>5.12772472320977E-2</v>
      </c>
      <c r="DD169" s="112">
        <f t="shared" ref="DD169" si="431">+DD168/CY168-1</f>
        <v>3.0811610362916575E-2</v>
      </c>
      <c r="DE169" s="52">
        <f t="shared" ref="DE169" si="432">+DE168/CZ168-1</f>
        <v>8.191676521607083E-2</v>
      </c>
      <c r="DF169" s="52">
        <f t="shared" ref="DF169" si="433">+DF168/DA168-1</f>
        <v>7.8770230537695163E-2</v>
      </c>
      <c r="DG169" s="52">
        <f t="shared" ref="DG169" si="434">+DG168/DB168-1</f>
        <v>0.10084175376151117</v>
      </c>
      <c r="DH169" s="52">
        <f t="shared" ref="DH169" si="435">+DH168/DC168-1</f>
        <v>7.1052440557044294E-2</v>
      </c>
      <c r="DI169" s="112">
        <f t="shared" ref="DI169" si="436">+DI168/DD168-1</f>
        <v>8.1999782623857431E-2</v>
      </c>
    </row>
    <row r="170" spans="1:113" s="373" customFormat="1" ht="12" customHeight="1">
      <c r="A170" s="525" t="str">
        <f t="shared" si="364"/>
        <v xml:space="preserve"> </v>
      </c>
      <c r="B170" s="553" t="s">
        <v>170</v>
      </c>
      <c r="C170" s="492"/>
      <c r="D170" s="522"/>
      <c r="E170" s="492"/>
      <c r="F170" s="522"/>
      <c r="G170" s="492"/>
      <c r="H170" s="522"/>
      <c r="I170" s="492"/>
      <c r="J170" s="522"/>
      <c r="K170" s="492"/>
      <c r="L170" s="522"/>
      <c r="M170" s="492"/>
      <c r="N170" s="522"/>
      <c r="O170" s="492"/>
      <c r="P170" s="522"/>
      <c r="Q170" s="492"/>
      <c r="R170" s="52">
        <f t="shared" ref="R170:AA170" si="437">+R168/R14</f>
        <v>0.19317421369618559</v>
      </c>
      <c r="S170" s="52">
        <f t="shared" si="437"/>
        <v>0.17229969274403215</v>
      </c>
      <c r="T170" s="52">
        <f t="shared" si="437"/>
        <v>0.18553672316384182</v>
      </c>
      <c r="U170" s="52">
        <f t="shared" si="437"/>
        <v>0.18018377946464242</v>
      </c>
      <c r="V170" s="112">
        <f t="shared" si="437"/>
        <v>0.18286029209148527</v>
      </c>
      <c r="W170" s="52">
        <f t="shared" si="437"/>
        <v>0.18087709392057219</v>
      </c>
      <c r="X170" s="52">
        <f t="shared" si="437"/>
        <v>0.15250888976689056</v>
      </c>
      <c r="Y170" s="52">
        <f t="shared" si="437"/>
        <v>0.18133699274652029</v>
      </c>
      <c r="Z170" s="52">
        <f t="shared" si="437"/>
        <v>0.16136526090064332</v>
      </c>
      <c r="AA170" s="112">
        <f t="shared" si="437"/>
        <v>0.16899202733485194</v>
      </c>
      <c r="AB170" s="112"/>
      <c r="AC170" s="52">
        <f t="shared" ref="AC170:BH170" si="438">+AC168/AC14</f>
        <v>0.14240975770562056</v>
      </c>
      <c r="AD170" s="52">
        <f t="shared" si="438"/>
        <v>0.14730878186968838</v>
      </c>
      <c r="AE170" s="52">
        <f t="shared" si="438"/>
        <v>0.16126265225596156</v>
      </c>
      <c r="AF170" s="52">
        <f t="shared" si="438"/>
        <v>0.16979643364367997</v>
      </c>
      <c r="AG170" s="112">
        <f t="shared" si="438"/>
        <v>0.15543737699426322</v>
      </c>
      <c r="AH170" s="52">
        <f t="shared" si="438"/>
        <v>0.16960420531849102</v>
      </c>
      <c r="AI170" s="52">
        <f t="shared" si="438"/>
        <v>0.13920922570016475</v>
      </c>
      <c r="AJ170" s="52">
        <f t="shared" si="438"/>
        <v>0.15837656393042418</v>
      </c>
      <c r="AK170" s="52">
        <f t="shared" si="438"/>
        <v>0.16168091168091167</v>
      </c>
      <c r="AL170" s="112">
        <f t="shared" si="438"/>
        <v>0.15759037990196079</v>
      </c>
      <c r="AM170" s="52">
        <f t="shared" si="438"/>
        <v>0.17437003099312762</v>
      </c>
      <c r="AN170" s="52">
        <f t="shared" si="438"/>
        <v>0.15404512142549218</v>
      </c>
      <c r="AO170" s="52">
        <f t="shared" si="438"/>
        <v>0.16861219195849547</v>
      </c>
      <c r="AP170" s="52">
        <f t="shared" si="438"/>
        <v>0.17298835004063939</v>
      </c>
      <c r="AQ170" s="112">
        <f t="shared" si="438"/>
        <v>0.16769450541792968</v>
      </c>
      <c r="AR170" s="52">
        <f t="shared" si="438"/>
        <v>0.20574829070650796</v>
      </c>
      <c r="AS170" s="52">
        <f t="shared" si="438"/>
        <v>0.17151838185048518</v>
      </c>
      <c r="AT170" s="52">
        <f t="shared" si="438"/>
        <v>0.16875908550284127</v>
      </c>
      <c r="AU170" s="52">
        <f t="shared" si="438"/>
        <v>0.15158576051779935</v>
      </c>
      <c r="AV170" s="112">
        <f t="shared" si="438"/>
        <v>0.17464844134133151</v>
      </c>
      <c r="AW170" s="52">
        <f t="shared" si="438"/>
        <v>0.15344603381014305</v>
      </c>
      <c r="AX170" s="52">
        <f t="shared" si="438"/>
        <v>0.16144484722941482</v>
      </c>
      <c r="AY170" s="52">
        <f t="shared" si="438"/>
        <v>0.1706424334216837</v>
      </c>
      <c r="AZ170" s="52">
        <f t="shared" si="438"/>
        <v>0.15934539190353145</v>
      </c>
      <c r="BA170" s="112">
        <f t="shared" si="438"/>
        <v>0.1610771569509509</v>
      </c>
      <c r="BB170" s="52">
        <f t="shared" si="438"/>
        <v>0.16680256260920209</v>
      </c>
      <c r="BC170" s="52">
        <f t="shared" si="438"/>
        <v>0.14589478859390365</v>
      </c>
      <c r="BD170" s="52">
        <f t="shared" si="438"/>
        <v>0.16503825779870512</v>
      </c>
      <c r="BE170" s="52">
        <f t="shared" si="438"/>
        <v>0.16226130111123099</v>
      </c>
      <c r="BF170" s="112">
        <f t="shared" si="438"/>
        <v>0.16021458605190664</v>
      </c>
      <c r="BG170" s="52">
        <f t="shared" si="438"/>
        <v>0.16831262610173092</v>
      </c>
      <c r="BH170" s="52">
        <f t="shared" si="438"/>
        <v>0.15537670467247933</v>
      </c>
      <c r="BI170" s="52">
        <f t="shared" ref="BI170:CN170" si="439">+BI168/BI14</f>
        <v>0.17971141233056406</v>
      </c>
      <c r="BJ170" s="52">
        <f t="shared" si="439"/>
        <v>0.17904604924281448</v>
      </c>
      <c r="BK170" s="112">
        <f t="shared" si="439"/>
        <v>0.17080444945993875</v>
      </c>
      <c r="BL170" s="52">
        <f t="shared" si="439"/>
        <v>0.18442947702060222</v>
      </c>
      <c r="BM170" s="52">
        <f t="shared" si="439"/>
        <v>0.16091019910605445</v>
      </c>
      <c r="BN170" s="52">
        <f t="shared" si="439"/>
        <v>0.16222961730449251</v>
      </c>
      <c r="BO170" s="52">
        <f t="shared" si="439"/>
        <v>-5.9880239520958084E-2</v>
      </c>
      <c r="BP170" s="112">
        <f t="shared" si="439"/>
        <v>0.13062303193882141</v>
      </c>
      <c r="BQ170" s="52">
        <f t="shared" si="439"/>
        <v>0.21052106208824117</v>
      </c>
      <c r="BR170" s="52">
        <f t="shared" si="439"/>
        <v>0.20081929056884834</v>
      </c>
      <c r="BS170" s="52">
        <f t="shared" si="439"/>
        <v>0.20791977898291211</v>
      </c>
      <c r="BT170" s="52">
        <f t="shared" si="439"/>
        <v>0.19921775359238161</v>
      </c>
      <c r="BU170" s="112">
        <f t="shared" si="439"/>
        <v>0.20431277043482374</v>
      </c>
      <c r="BV170" s="52">
        <f t="shared" si="439"/>
        <v>0.21512027491408936</v>
      </c>
      <c r="BW170" s="52">
        <f t="shared" si="439"/>
        <v>0.1781619822485207</v>
      </c>
      <c r="BX170" s="52">
        <f t="shared" si="439"/>
        <v>0.1905453840937712</v>
      </c>
      <c r="BY170" s="52">
        <f t="shared" si="439"/>
        <v>0.17225701295359011</v>
      </c>
      <c r="BZ170" s="112">
        <f t="shared" si="439"/>
        <v>0.18917094247907101</v>
      </c>
      <c r="CA170" s="52">
        <f t="shared" si="439"/>
        <v>0.18310092961487384</v>
      </c>
      <c r="CB170" s="52">
        <f t="shared" si="439"/>
        <v>0.17738132662684691</v>
      </c>
      <c r="CC170" s="52">
        <f t="shared" si="439"/>
        <v>0.17015128335883054</v>
      </c>
      <c r="CD170" s="52">
        <f t="shared" si="439"/>
        <v>0.15492842535787321</v>
      </c>
      <c r="CE170" s="112">
        <f t="shared" si="439"/>
        <v>0.17142095441215677</v>
      </c>
      <c r="CF170" s="52">
        <f t="shared" si="439"/>
        <v>0.16983728648911195</v>
      </c>
      <c r="CG170" s="52">
        <f t="shared" si="439"/>
        <v>0.18023617153511498</v>
      </c>
      <c r="CH170" s="52">
        <f t="shared" si="439"/>
        <v>0.17810512219618346</v>
      </c>
      <c r="CI170" s="52">
        <f t="shared" si="439"/>
        <v>0.17598156226849945</v>
      </c>
      <c r="CJ170" s="112">
        <f t="shared" si="439"/>
        <v>0.17606747496046388</v>
      </c>
      <c r="CK170" s="52">
        <f t="shared" si="439"/>
        <v>0.15165151651516515</v>
      </c>
      <c r="CL170" s="52">
        <f t="shared" si="439"/>
        <v>0.1593305439330544</v>
      </c>
      <c r="CM170" s="52">
        <f t="shared" si="439"/>
        <v>0.11542699724517906</v>
      </c>
      <c r="CN170" s="52">
        <f t="shared" si="439"/>
        <v>8.3062343212858866E-2</v>
      </c>
      <c r="CO170" s="112">
        <f t="shared" ref="CO170:DI170" si="440">+CO168/CO14</f>
        <v>0.12837142729346512</v>
      </c>
      <c r="CP170" s="52">
        <f t="shared" si="440"/>
        <v>0.12356979405034325</v>
      </c>
      <c r="CQ170" s="52">
        <f t="shared" si="440"/>
        <v>0.12388650610359617</v>
      </c>
      <c r="CR170" s="52">
        <f t="shared" si="440"/>
        <v>9.861968761351253E-2</v>
      </c>
      <c r="CS170" s="52">
        <f t="shared" si="440"/>
        <v>0.17372249160760911</v>
      </c>
      <c r="CT170" s="112">
        <f t="shared" si="440"/>
        <v>0.12947238069965947</v>
      </c>
      <c r="CU170" s="52">
        <f t="shared" si="440"/>
        <v>0.10908160491357591</v>
      </c>
      <c r="CV170" s="52">
        <f t="shared" si="440"/>
        <v>0.119616872579158</v>
      </c>
      <c r="CW170" s="52">
        <f t="shared" si="440"/>
        <v>9.6830345462304179E-2</v>
      </c>
      <c r="CX170" s="52">
        <f t="shared" si="440"/>
        <v>0.13824202032641486</v>
      </c>
      <c r="CY170" s="112">
        <f t="shared" si="440"/>
        <v>0.1156299844116371</v>
      </c>
      <c r="CZ170" s="52">
        <f t="shared" si="440"/>
        <v>0.1146534896948935</v>
      </c>
      <c r="DA170" s="52">
        <f t="shared" si="440"/>
        <v>0.13013707610955325</v>
      </c>
      <c r="DB170" s="52">
        <f t="shared" si="440"/>
        <v>0.10686711970702163</v>
      </c>
      <c r="DC170" s="52">
        <f t="shared" si="440"/>
        <v>0.14917390789202623</v>
      </c>
      <c r="DD170" s="112">
        <f t="shared" si="440"/>
        <v>0.12494743224459522</v>
      </c>
      <c r="DE170" s="52">
        <f t="shared" si="440"/>
        <v>0.12397392159159015</v>
      </c>
      <c r="DF170" s="52">
        <f t="shared" si="440"/>
        <v>0.14011591040652438</v>
      </c>
      <c r="DG170" s="52">
        <f t="shared" si="440"/>
        <v>0.11682227528733462</v>
      </c>
      <c r="DH170" s="52">
        <f t="shared" si="440"/>
        <v>0.15861695442977747</v>
      </c>
      <c r="DI170" s="112">
        <f t="shared" si="440"/>
        <v>0.13463602338135941</v>
      </c>
    </row>
    <row r="171" spans="1:113" s="574" customFormat="1" ht="12" customHeight="1">
      <c r="A171" s="490" t="str">
        <f t="shared" si="364"/>
        <v xml:space="preserve"> </v>
      </c>
      <c r="B171" s="566" t="s">
        <v>174</v>
      </c>
      <c r="C171" s="571"/>
      <c r="D171" s="572"/>
      <c r="E171" s="571"/>
      <c r="F171" s="572"/>
      <c r="G171" s="571"/>
      <c r="H171" s="572"/>
      <c r="I171" s="571"/>
      <c r="J171" s="572"/>
      <c r="K171" s="571"/>
      <c r="L171" s="572"/>
      <c r="M171" s="571"/>
      <c r="N171" s="572"/>
      <c r="O171" s="571"/>
      <c r="P171" s="572"/>
      <c r="Q171" s="571"/>
      <c r="R171" s="573" t="s">
        <v>126</v>
      </c>
      <c r="S171" s="572" t="s">
        <v>126</v>
      </c>
      <c r="T171" s="572" t="s">
        <v>126</v>
      </c>
      <c r="U171" s="572" t="s">
        <v>126</v>
      </c>
      <c r="V171" s="571" t="s">
        <v>126</v>
      </c>
      <c r="W171" s="572">
        <f>(W170-R170)*100*100</f>
        <v>-122.97119775613403</v>
      </c>
      <c r="X171" s="572">
        <f>(X170-S170)*100*100</f>
        <v>-197.90802977141587</v>
      </c>
      <c r="Y171" s="572">
        <f>(Y170-T170)*100*100</f>
        <v>-41.997304173215234</v>
      </c>
      <c r="Z171" s="572">
        <f>(Z170-U170)*100*100</f>
        <v>-188.18518563999103</v>
      </c>
      <c r="AA171" s="571">
        <f>(AA170-V170)*100*100</f>
        <v>-138.68264756633332</v>
      </c>
      <c r="AB171" s="571"/>
      <c r="AC171" s="572">
        <f>(AC170-W170)*100*100</f>
        <v>-384.67336214951632</v>
      </c>
      <c r="AD171" s="572">
        <f>(AD170-X170)*100*100</f>
        <v>-52.00107897202183</v>
      </c>
      <c r="AE171" s="572">
        <f>(AE170-Y170)*100*100</f>
        <v>-200.74340490558731</v>
      </c>
      <c r="AF171" s="572">
        <f>(AF170-Z170)*100*100</f>
        <v>84.311727430366474</v>
      </c>
      <c r="AG171" s="571">
        <f>(AG170-AA170)*100*100</f>
        <v>-135.54650340588725</v>
      </c>
      <c r="AH171" s="572">
        <f t="shared" ref="AH171:BP171" si="441">(AH170-AC170)*100*100</f>
        <v>271.94447612870459</v>
      </c>
      <c r="AI171" s="572">
        <f t="shared" si="441"/>
        <v>-80.995561695236248</v>
      </c>
      <c r="AJ171" s="572">
        <f t="shared" si="441"/>
        <v>-28.860883255373835</v>
      </c>
      <c r="AK171" s="572">
        <f t="shared" si="441"/>
        <v>-81.155219627682968</v>
      </c>
      <c r="AL171" s="571">
        <f t="shared" si="441"/>
        <v>21.530029076975708</v>
      </c>
      <c r="AM171" s="572">
        <f t="shared" si="441"/>
        <v>47.658256746365979</v>
      </c>
      <c r="AN171" s="572">
        <f t="shared" si="441"/>
        <v>148.35895725327424</v>
      </c>
      <c r="AO171" s="572">
        <f t="shared" si="441"/>
        <v>102.35628028071292</v>
      </c>
      <c r="AP171" s="572">
        <f t="shared" si="441"/>
        <v>113.07438359727722</v>
      </c>
      <c r="AQ171" s="571">
        <f t="shared" si="441"/>
        <v>101.04125515968899</v>
      </c>
      <c r="AR171" s="572">
        <f t="shared" si="441"/>
        <v>313.78259713380345</v>
      </c>
      <c r="AS171" s="572">
        <f t="shared" si="441"/>
        <v>174.73260424993003</v>
      </c>
      <c r="AT171" s="572">
        <f t="shared" si="441"/>
        <v>1.4689354434579971</v>
      </c>
      <c r="AU171" s="572">
        <f t="shared" si="441"/>
        <v>-214.02589522840049</v>
      </c>
      <c r="AV171" s="571">
        <f t="shared" si="441"/>
        <v>69.539359234018221</v>
      </c>
      <c r="AW171" s="572">
        <f t="shared" si="441"/>
        <v>-523.02256896364918</v>
      </c>
      <c r="AX171" s="572">
        <f t="shared" si="441"/>
        <v>-100.73534621070357</v>
      </c>
      <c r="AY171" s="572">
        <f t="shared" si="441"/>
        <v>18.833479188424263</v>
      </c>
      <c r="AZ171" s="572">
        <f t="shared" si="441"/>
        <v>77.596313857321022</v>
      </c>
      <c r="BA171" s="571">
        <f t="shared" si="441"/>
        <v>-135.71284390380606</v>
      </c>
      <c r="BB171" s="572">
        <f t="shared" si="441"/>
        <v>133.56528799059046</v>
      </c>
      <c r="BC171" s="572">
        <f t="shared" si="441"/>
        <v>-155.50058635511178</v>
      </c>
      <c r="BD171" s="572">
        <f t="shared" si="441"/>
        <v>-56.041756229785747</v>
      </c>
      <c r="BE171" s="572">
        <f t="shared" si="441"/>
        <v>29.159092076995464</v>
      </c>
      <c r="BF171" s="571">
        <f t="shared" si="441"/>
        <v>-8.625708990442627</v>
      </c>
      <c r="BG171" s="572">
        <f t="shared" si="441"/>
        <v>15.100634925288292</v>
      </c>
      <c r="BH171" s="572">
        <f t="shared" si="441"/>
        <v>94.819160785756807</v>
      </c>
      <c r="BI171" s="572">
        <f t="shared" si="441"/>
        <v>146.73154531858938</v>
      </c>
      <c r="BJ171" s="572">
        <f t="shared" si="441"/>
        <v>167.84748131583481</v>
      </c>
      <c r="BK171" s="571">
        <f t="shared" si="441"/>
        <v>105.89863408032114</v>
      </c>
      <c r="BL171" s="572">
        <f t="shared" si="441"/>
        <v>161.16850918871299</v>
      </c>
      <c r="BM171" s="572">
        <f t="shared" si="441"/>
        <v>55.334944335751203</v>
      </c>
      <c r="BN171" s="572">
        <f t="shared" si="441"/>
        <v>-174.81795026071555</v>
      </c>
      <c r="BO171" s="572">
        <f t="shared" si="441"/>
        <v>-2389.2628876377257</v>
      </c>
      <c r="BP171" s="571">
        <f t="shared" si="441"/>
        <v>-401.81417521117339</v>
      </c>
      <c r="BQ171" s="572">
        <f t="shared" ref="BQ171:BZ171" si="442">(BQ170-BL170)*100*100</f>
        <v>260.91585067638954</v>
      </c>
      <c r="BR171" s="572">
        <f t="shared" si="442"/>
        <v>399.09091462793896</v>
      </c>
      <c r="BS171" s="572">
        <f t="shared" si="442"/>
        <v>456.90161678419605</v>
      </c>
      <c r="BT171" s="572">
        <f t="shared" si="442"/>
        <v>2590.9799311333968</v>
      </c>
      <c r="BU171" s="571">
        <f t="shared" si="442"/>
        <v>736.89738496002326</v>
      </c>
      <c r="BV171" s="572">
        <f t="shared" si="442"/>
        <v>45.99212825848187</v>
      </c>
      <c r="BW171" s="572">
        <f t="shared" si="442"/>
        <v>-226.57308320327641</v>
      </c>
      <c r="BX171" s="572">
        <f t="shared" si="442"/>
        <v>-173.74394889140916</v>
      </c>
      <c r="BY171" s="572">
        <f t="shared" si="442"/>
        <v>-269.60740638791503</v>
      </c>
      <c r="BZ171" s="571">
        <f t="shared" si="442"/>
        <v>-151.41827955752723</v>
      </c>
      <c r="CA171" s="572">
        <f t="shared" ref="CA171" si="443">(CA170-BV170)*100*100</f>
        <v>-320.19345299215513</v>
      </c>
      <c r="CB171" s="572">
        <f t="shared" ref="CB171:CC171" si="444">(CB170-BW170)*100*100</f>
        <v>-7.8065562167378699</v>
      </c>
      <c r="CC171" s="572">
        <f t="shared" si="444"/>
        <v>-203.94100734940662</v>
      </c>
      <c r="CD171" s="572">
        <f t="shared" ref="CD171" si="445">(CD170-BY170)*100*100</f>
        <v>-173.28587595716897</v>
      </c>
      <c r="CE171" s="571">
        <f t="shared" ref="CE171" si="446">(CE170-BZ170)*100*100</f>
        <v>-177.49988066914247</v>
      </c>
      <c r="CF171" s="572">
        <f t="shared" ref="CF171" si="447">(CF170-CA170)*100*100</f>
        <v>-132.63643125761894</v>
      </c>
      <c r="CG171" s="572">
        <f t="shared" ref="CG171:CH171" si="448">(CG170-CB170)*100*100</f>
        <v>28.548449082680673</v>
      </c>
      <c r="CH171" s="572">
        <f t="shared" si="448"/>
        <v>79.538388373529273</v>
      </c>
      <c r="CI171" s="572">
        <f t="shared" ref="CI171" si="449">(CI170-CD170)*100*100</f>
        <v>210.53136910626242</v>
      </c>
      <c r="CJ171" s="571">
        <f t="shared" ref="CJ171:CL171" si="450">(CJ170-CE170)*100*100</f>
        <v>46.465205483071095</v>
      </c>
      <c r="CK171" s="572">
        <f t="shared" si="450"/>
        <v>-181.85769973946805</v>
      </c>
      <c r="CL171" s="572">
        <f t="shared" si="450"/>
        <v>-209.05627602060579</v>
      </c>
      <c r="CM171" s="572">
        <f t="shared" ref="CM171" si="451">(CM170-CH170)*100*100</f>
        <v>-626.78124951004395</v>
      </c>
      <c r="CN171" s="572">
        <f t="shared" ref="CN171" si="452">(CN170-CI170)*100*100</f>
        <v>-929.19219055640576</v>
      </c>
      <c r="CO171" s="571">
        <f t="shared" ref="CO171" si="453">(CO170-CJ170)*100*100</f>
        <v>-476.96047666998754</v>
      </c>
      <c r="CP171" s="572">
        <f t="shared" ref="CP171:CQ171" si="454">(CP170-CK170)*100*100</f>
        <v>-280.81722464821894</v>
      </c>
      <c r="CQ171" s="572">
        <f t="shared" si="454"/>
        <v>-354.44037829458239</v>
      </c>
      <c r="CR171" s="572">
        <f t="shared" ref="CR171" si="455">(CR170-CM170)*100*100</f>
        <v>-168.07309631666533</v>
      </c>
      <c r="CS171" s="572">
        <f t="shared" ref="CS171" si="456">(CS170-CN170)*100*100</f>
        <v>906.6014839475024</v>
      </c>
      <c r="CT171" s="571">
        <f t="shared" ref="CT171" si="457">(CT170-CO170)*100*100</f>
        <v>11.009534061943437</v>
      </c>
      <c r="CU171" s="572">
        <f t="shared" ref="CU171" si="458">(CU170-CP170)*100*100</f>
        <v>-144.88189136767346</v>
      </c>
      <c r="CV171" s="572">
        <f t="shared" ref="CV171" si="459">(CV170-CQ170)*100*100</f>
        <v>-42.696335244381686</v>
      </c>
      <c r="CW171" s="572">
        <f t="shared" ref="CW171" si="460">(CW170-CR170)*100*100</f>
        <v>-17.893421512083506</v>
      </c>
      <c r="CX171" s="572">
        <f t="shared" ref="CX171" si="461">(CX170-CS170)*100*100</f>
        <v>-354.80471281194247</v>
      </c>
      <c r="CY171" s="571">
        <f t="shared" ref="CY171" si="462">(CY170-CT170)*100*100</f>
        <v>-138.42396288022363</v>
      </c>
      <c r="CZ171" s="572">
        <f t="shared" ref="CZ171" si="463">(CZ170-CU170)*100*100</f>
        <v>55.718847813175934</v>
      </c>
      <c r="DA171" s="572">
        <f t="shared" ref="DA171" si="464">(DA170-CV170)*100*100</f>
        <v>105.20203530395247</v>
      </c>
      <c r="DB171" s="572">
        <f t="shared" ref="DB171" si="465">(DB170-CW170)*100*100</f>
        <v>100.36774244717452</v>
      </c>
      <c r="DC171" s="572">
        <f t="shared" ref="DC171" si="466">(DC170-CX170)*100*100</f>
        <v>109.31887565611365</v>
      </c>
      <c r="DD171" s="571">
        <f t="shared" ref="DD171" si="467">(DD170-CY170)*100*100</f>
        <v>93.17447832958112</v>
      </c>
      <c r="DE171" s="572">
        <f t="shared" ref="DE171" si="468">(DE170-CZ170)*100*100</f>
        <v>93.204318966966511</v>
      </c>
      <c r="DF171" s="572">
        <f t="shared" ref="DF171" si="469">(DF170-DA170)*100*100</f>
        <v>99.788342969711337</v>
      </c>
      <c r="DG171" s="572">
        <f t="shared" ref="DG171" si="470">(DG170-DB170)*100*100</f>
        <v>99.551555803129858</v>
      </c>
      <c r="DH171" s="572">
        <f t="shared" ref="DH171" si="471">(DH170-DC170)*100*100</f>
        <v>94.430465377512434</v>
      </c>
      <c r="DI171" s="571">
        <f t="shared" ref="DI171" si="472">(DI170-DD170)*100*100</f>
        <v>96.885911367641924</v>
      </c>
    </row>
    <row r="172" spans="1:113" ht="12" hidden="1" customHeight="1" outlineLevel="1">
      <c r="A172" s="219"/>
      <c r="B172" s="575"/>
      <c r="C172" s="576"/>
      <c r="D172" s="577"/>
      <c r="E172" s="576"/>
      <c r="F172" s="577"/>
      <c r="G172" s="576"/>
      <c r="H172" s="577"/>
      <c r="I172" s="576"/>
      <c r="J172" s="577"/>
      <c r="K172" s="576"/>
      <c r="L172" s="577"/>
      <c r="M172" s="576"/>
      <c r="N172" s="577"/>
      <c r="O172" s="576"/>
      <c r="P172" s="577"/>
      <c r="Q172" s="576"/>
      <c r="R172" s="578"/>
      <c r="S172" s="578"/>
      <c r="T172" s="578"/>
      <c r="U172" s="578"/>
      <c r="V172" s="579"/>
      <c r="W172" s="578"/>
      <c r="X172" s="578"/>
      <c r="Y172" s="578"/>
      <c r="Z172" s="578"/>
      <c r="AA172" s="579"/>
      <c r="AB172" s="579"/>
      <c r="AC172" s="578"/>
      <c r="AD172" s="578"/>
      <c r="AE172" s="578"/>
      <c r="AF172" s="578"/>
      <c r="AG172" s="579"/>
      <c r="AH172" s="578"/>
      <c r="AI172" s="578"/>
      <c r="AJ172" s="578"/>
      <c r="AK172" s="578"/>
      <c r="AL172" s="579"/>
      <c r="AM172" s="578"/>
      <c r="AN172" s="578"/>
      <c r="AO172" s="578"/>
      <c r="AP172" s="578"/>
      <c r="AQ172" s="579"/>
      <c r="AR172" s="578"/>
      <c r="AS172" s="578"/>
      <c r="AT172" s="578"/>
      <c r="AU172" s="578"/>
      <c r="AV172" s="579"/>
      <c r="AW172" s="578"/>
      <c r="AX172" s="578"/>
      <c r="AY172" s="578"/>
      <c r="AZ172" s="578"/>
      <c r="BA172" s="579"/>
      <c r="BB172" s="578"/>
      <c r="BC172" s="578"/>
      <c r="BD172" s="578"/>
      <c r="BE172" s="578"/>
      <c r="BF172" s="579"/>
      <c r="BG172" s="578"/>
      <c r="BH172" s="578"/>
      <c r="BI172" s="578"/>
      <c r="BJ172" s="578"/>
      <c r="BK172" s="579"/>
      <c r="BL172" s="578"/>
      <c r="BM172" s="578"/>
      <c r="BN172" s="578"/>
      <c r="BO172" s="578"/>
      <c r="BP172" s="579"/>
      <c r="BQ172" s="578"/>
      <c r="BR172" s="578"/>
      <c r="BS172" s="578"/>
      <c r="BT172" s="578"/>
      <c r="BU172" s="579"/>
      <c r="BV172" s="578"/>
      <c r="BW172" s="578"/>
      <c r="BX172" s="578"/>
      <c r="BY172" s="578"/>
      <c r="BZ172" s="579"/>
      <c r="CA172" s="578"/>
      <c r="CB172" s="578"/>
      <c r="CC172" s="578"/>
      <c r="CD172" s="578"/>
      <c r="CE172" s="579"/>
      <c r="CF172" s="578"/>
      <c r="CG172" s="578"/>
      <c r="CH172" s="578"/>
      <c r="CI172" s="578"/>
      <c r="CJ172" s="579"/>
      <c r="CK172" s="578"/>
      <c r="CL172" s="578"/>
      <c r="CM172" s="578"/>
      <c r="CN172" s="578"/>
      <c r="CO172" s="579"/>
      <c r="CP172" s="578"/>
      <c r="CQ172" s="578"/>
      <c r="CR172" s="578"/>
      <c r="CS172" s="578"/>
      <c r="CT172" s="579"/>
      <c r="CU172" s="578"/>
      <c r="CV172" s="578"/>
      <c r="CW172" s="578"/>
      <c r="CX172" s="578"/>
      <c r="CY172" s="579"/>
      <c r="CZ172" s="578"/>
      <c r="DA172" s="578"/>
      <c r="DB172" s="578"/>
      <c r="DC172" s="578"/>
      <c r="DD172" s="579"/>
      <c r="DE172" s="578"/>
      <c r="DF172" s="578"/>
      <c r="DG172" s="578"/>
      <c r="DH172" s="578"/>
      <c r="DI172" s="579"/>
    </row>
    <row r="173" spans="1:113" ht="12" customHeight="1" collapsed="1">
      <c r="A173" s="219" t="str">
        <f t="shared" si="364"/>
        <v xml:space="preserve"> </v>
      </c>
      <c r="B173" s="17" t="s">
        <v>100</v>
      </c>
      <c r="C173" s="36"/>
      <c r="D173" s="43"/>
      <c r="E173" s="36"/>
      <c r="F173" s="43"/>
      <c r="G173" s="36"/>
      <c r="H173" s="43"/>
      <c r="I173" s="36"/>
      <c r="J173" s="43"/>
      <c r="K173" s="36"/>
      <c r="L173" s="43"/>
      <c r="M173" s="36"/>
      <c r="N173" s="43"/>
      <c r="O173" s="36"/>
      <c r="P173" s="43"/>
      <c r="Q173" s="36"/>
      <c r="R173" s="43">
        <f>+R553</f>
        <v>109</v>
      </c>
      <c r="S173" s="43">
        <f>+S553</f>
        <v>59</v>
      </c>
      <c r="T173" s="43">
        <f>+T553</f>
        <v>85</v>
      </c>
      <c r="U173" s="43">
        <f>+U553</f>
        <v>82</v>
      </c>
      <c r="V173" s="36">
        <f>SUM(R173:U173)</f>
        <v>335</v>
      </c>
      <c r="W173" s="43">
        <f>+W553</f>
        <v>86</v>
      </c>
      <c r="X173" s="43">
        <f>+X553</f>
        <v>57</v>
      </c>
      <c r="Y173" s="43">
        <f>+Y553</f>
        <v>87</v>
      </c>
      <c r="Z173" s="43">
        <f>+Z553</f>
        <v>111</v>
      </c>
      <c r="AA173" s="36">
        <f>SUM(W173:Z173)</f>
        <v>341</v>
      </c>
      <c r="AB173" s="36"/>
      <c r="AC173" s="43">
        <f>+AC553</f>
        <v>124</v>
      </c>
      <c r="AD173" s="43">
        <f>+AD553</f>
        <v>91</v>
      </c>
      <c r="AE173" s="43">
        <f>+AE553</f>
        <v>121</v>
      </c>
      <c r="AF173" s="43">
        <f>+AF553</f>
        <v>89</v>
      </c>
      <c r="AG173" s="36">
        <f>SUM(AC173:AF173)</f>
        <v>425</v>
      </c>
      <c r="AH173" s="43">
        <f>+AH553</f>
        <v>169</v>
      </c>
      <c r="AI173" s="43">
        <f>+AI553</f>
        <v>100</v>
      </c>
      <c r="AJ173" s="43">
        <f>+AJ553</f>
        <v>133</v>
      </c>
      <c r="AK173" s="43">
        <f>+AK553</f>
        <v>94</v>
      </c>
      <c r="AL173" s="36">
        <f>SUM(AH173:AK173)</f>
        <v>496</v>
      </c>
      <c r="AM173" s="43">
        <f>+AM553</f>
        <v>186</v>
      </c>
      <c r="AN173" s="43">
        <f>+AN553</f>
        <v>88</v>
      </c>
      <c r="AO173" s="43">
        <f>+AO553</f>
        <v>163</v>
      </c>
      <c r="AP173" s="43">
        <f>+AP553</f>
        <v>80</v>
      </c>
      <c r="AQ173" s="36">
        <f>SUM(AM173:AP173)</f>
        <v>517</v>
      </c>
      <c r="AR173" s="43">
        <f>+AR553</f>
        <v>147</v>
      </c>
      <c r="AS173" s="43">
        <f>+AS553</f>
        <v>85</v>
      </c>
      <c r="AT173" s="43">
        <f>+AT553</f>
        <v>127</v>
      </c>
      <c r="AU173" s="43">
        <f>+AU553</f>
        <v>128</v>
      </c>
      <c r="AV173" s="36">
        <f>SUM(AR173:AU173)</f>
        <v>487</v>
      </c>
      <c r="AW173" s="43">
        <f>+AW553</f>
        <v>153</v>
      </c>
      <c r="AX173" s="43">
        <f>+AX553</f>
        <v>78</v>
      </c>
      <c r="AY173" s="43">
        <f>+AY553</f>
        <v>109</v>
      </c>
      <c r="AZ173" s="43">
        <f>+AZ553</f>
        <v>137</v>
      </c>
      <c r="BA173" s="36">
        <f>SUM(AW173:AZ173)</f>
        <v>477</v>
      </c>
      <c r="BB173" s="43">
        <f>+BB553</f>
        <v>89</v>
      </c>
      <c r="BC173" s="43">
        <f>+BC553</f>
        <v>48</v>
      </c>
      <c r="BD173" s="43">
        <f>+BD553</f>
        <v>69</v>
      </c>
      <c r="BE173" s="43">
        <f>+BE553</f>
        <v>104</v>
      </c>
      <c r="BF173" s="36">
        <f>SUM(BB173:BE173)</f>
        <v>310</v>
      </c>
      <c r="BG173" s="43">
        <f>+BG553</f>
        <v>98</v>
      </c>
      <c r="BH173" s="43">
        <f>+BH553</f>
        <v>44</v>
      </c>
      <c r="BI173" s="43">
        <f>+BI553</f>
        <v>79</v>
      </c>
      <c r="BJ173" s="43">
        <f>+BJ553</f>
        <v>82</v>
      </c>
      <c r="BK173" s="36">
        <f>SUM(BG173:BJ173)</f>
        <v>303</v>
      </c>
      <c r="BL173" s="43">
        <f>+BL553</f>
        <v>138</v>
      </c>
      <c r="BM173" s="43">
        <f>+BM553</f>
        <v>90</v>
      </c>
      <c r="BN173" s="43">
        <f>+BN553</f>
        <v>96</v>
      </c>
      <c r="BO173" s="43">
        <f>+BO553</f>
        <v>-27</v>
      </c>
      <c r="BP173" s="36">
        <f>SUM(BL173:BO173)</f>
        <v>297</v>
      </c>
      <c r="BQ173" s="43">
        <f>+BQ553</f>
        <v>168</v>
      </c>
      <c r="BR173" s="43">
        <f>+BR553</f>
        <v>87</v>
      </c>
      <c r="BS173" s="43">
        <f>+BS553</f>
        <v>150</v>
      </c>
      <c r="BT173" s="43">
        <f>+BT553</f>
        <v>138</v>
      </c>
      <c r="BU173" s="36">
        <f>SUM(BQ173:BT173)</f>
        <v>543</v>
      </c>
      <c r="BV173" s="43">
        <f>+BV553</f>
        <v>204</v>
      </c>
      <c r="BW173" s="43">
        <f>+BW553</f>
        <v>132</v>
      </c>
      <c r="BX173" s="43">
        <f>+BX553</f>
        <v>168</v>
      </c>
      <c r="BY173" s="43">
        <f>+BY553</f>
        <v>165</v>
      </c>
      <c r="BZ173" s="36">
        <f>SUM(BV173:BY173)</f>
        <v>669</v>
      </c>
      <c r="CA173" s="43">
        <f>+CA553</f>
        <v>209</v>
      </c>
      <c r="CB173" s="43">
        <f>+CB553</f>
        <v>153</v>
      </c>
      <c r="CC173" s="43">
        <f>+CC553</f>
        <v>164</v>
      </c>
      <c r="CD173" s="43">
        <f>+CD553</f>
        <v>150</v>
      </c>
      <c r="CE173" s="36">
        <f>SUM(CA173:CD173)</f>
        <v>676</v>
      </c>
      <c r="CF173" s="43">
        <f>+CF553</f>
        <v>167</v>
      </c>
      <c r="CG173" s="43">
        <f>+CG553</f>
        <v>115</v>
      </c>
      <c r="CH173" s="43">
        <f>+CH553</f>
        <v>98</v>
      </c>
      <c r="CI173" s="43">
        <f>+CI553</f>
        <v>94</v>
      </c>
      <c r="CJ173" s="36">
        <f>SUM(CF173:CI173)</f>
        <v>474</v>
      </c>
      <c r="CK173" s="43">
        <f>+CK553</f>
        <v>121</v>
      </c>
      <c r="CL173" s="43">
        <f>+CL553</f>
        <v>53</v>
      </c>
      <c r="CM173" s="43">
        <f>+CM553</f>
        <v>39</v>
      </c>
      <c r="CN173" s="43">
        <f>+CN553</f>
        <v>27</v>
      </c>
      <c r="CO173" s="36">
        <f>SUM(CK173:CN173)</f>
        <v>240</v>
      </c>
      <c r="CP173" s="43">
        <f>+CP553</f>
        <v>39</v>
      </c>
      <c r="CQ173" s="43">
        <f>+CQ553</f>
        <v>-4</v>
      </c>
      <c r="CR173" s="43">
        <f>+CR553</f>
        <v>-40</v>
      </c>
      <c r="CS173" s="43">
        <f>+CS553</f>
        <v>23</v>
      </c>
      <c r="CT173" s="36">
        <f>SUM(CP173:CS173)</f>
        <v>18</v>
      </c>
      <c r="CU173" s="43">
        <f>+CU553</f>
        <v>25</v>
      </c>
      <c r="CV173" s="43">
        <f>+CV553</f>
        <v>-4.125</v>
      </c>
      <c r="CW173" s="43">
        <f>+CW553</f>
        <v>-33.056000000000004</v>
      </c>
      <c r="CX173" s="43">
        <f>+CX553</f>
        <v>17.423999999999999</v>
      </c>
      <c r="CY173" s="36">
        <f>SUM(CU173:CX173)</f>
        <v>5.242999999999995</v>
      </c>
      <c r="CZ173" s="43">
        <f>+CZ553</f>
        <v>23.749999999999996</v>
      </c>
      <c r="DA173" s="43">
        <f>+DA553</f>
        <v>-3.9187500000000002</v>
      </c>
      <c r="DB173" s="43">
        <f>+DB553</f>
        <v>-32.394880000000001</v>
      </c>
      <c r="DC173" s="43">
        <f>+DC553</f>
        <v>17.075520000000001</v>
      </c>
      <c r="DD173" s="36">
        <f>SUM(CZ173:DC173)</f>
        <v>4.5118899999999975</v>
      </c>
      <c r="DE173" s="43">
        <f>+DE553</f>
        <v>23.749999999999996</v>
      </c>
      <c r="DF173" s="43">
        <f>+DF553</f>
        <v>-3.9187500000000002</v>
      </c>
      <c r="DG173" s="43">
        <f>+DG553</f>
        <v>-32.394880000000001</v>
      </c>
      <c r="DH173" s="43">
        <f>+DH553</f>
        <v>17.075520000000001</v>
      </c>
      <c r="DI173" s="36">
        <f>SUM(DE173:DH173)</f>
        <v>4.5118899999999975</v>
      </c>
    </row>
    <row r="174" spans="1:113" ht="12" customHeight="1">
      <c r="A174" s="219" t="str">
        <f t="shared" si="364"/>
        <v xml:space="preserve"> </v>
      </c>
      <c r="B174" s="17" t="s">
        <v>94</v>
      </c>
      <c r="C174" s="36"/>
      <c r="D174" s="43"/>
      <c r="E174" s="36"/>
      <c r="F174" s="43"/>
      <c r="G174" s="36"/>
      <c r="H174" s="43"/>
      <c r="I174" s="36"/>
      <c r="J174" s="43"/>
      <c r="K174" s="36"/>
      <c r="L174" s="43"/>
      <c r="M174" s="36"/>
      <c r="N174" s="43"/>
      <c r="O174" s="36"/>
      <c r="P174" s="43"/>
      <c r="Q174" s="36"/>
      <c r="R174" s="43">
        <f>+R582</f>
        <v>-221</v>
      </c>
      <c r="S174" s="43">
        <f>+S582</f>
        <v>-178</v>
      </c>
      <c r="T174" s="43">
        <f>+T582</f>
        <v>-199</v>
      </c>
      <c r="U174" s="43">
        <f>+U582</f>
        <v>-207</v>
      </c>
      <c r="V174" s="36">
        <f>SUM(R174:U174)</f>
        <v>-805</v>
      </c>
      <c r="W174" s="43">
        <f>+W582</f>
        <v>-195</v>
      </c>
      <c r="X174" s="43">
        <f>+X582</f>
        <v>-208</v>
      </c>
      <c r="Y174" s="43">
        <f>+Y582</f>
        <v>-242</v>
      </c>
      <c r="Z174" s="43">
        <f>+Z582</f>
        <v>-271</v>
      </c>
      <c r="AA174" s="36">
        <f>SUM(W174:Z174)</f>
        <v>-916</v>
      </c>
      <c r="AB174" s="36"/>
      <c r="AC174" s="43">
        <f>+AC582</f>
        <v>-196</v>
      </c>
      <c r="AD174" s="43">
        <f>+AD582</f>
        <v>-214</v>
      </c>
      <c r="AE174" s="43">
        <f>+AE582</f>
        <v>-207</v>
      </c>
      <c r="AF174" s="43">
        <f>+AF582</f>
        <v>-267</v>
      </c>
      <c r="AG174" s="36">
        <f>SUM(AC174:AF174)</f>
        <v>-884</v>
      </c>
      <c r="AH174" s="43">
        <f>+AH582</f>
        <v>-218</v>
      </c>
      <c r="AI174" s="43">
        <f>+AI582</f>
        <v>-220</v>
      </c>
      <c r="AJ174" s="43">
        <f>+AJ582</f>
        <v>-282</v>
      </c>
      <c r="AK174" s="43">
        <f>+AK582</f>
        <v>-301</v>
      </c>
      <c r="AL174" s="36">
        <f>SUM(AH174:AK174)</f>
        <v>-1021</v>
      </c>
      <c r="AM174" s="43">
        <f>+AM582</f>
        <v>-242</v>
      </c>
      <c r="AN174" s="43">
        <f>+AN582</f>
        <v>-273</v>
      </c>
      <c r="AO174" s="43">
        <f>+AO582</f>
        <v>-281</v>
      </c>
      <c r="AP174" s="43">
        <f>+AP582</f>
        <v>-301</v>
      </c>
      <c r="AQ174" s="36">
        <f>SUM(AM174:AP174)</f>
        <v>-1097</v>
      </c>
      <c r="AR174" s="43">
        <f>+AR582</f>
        <v>-323</v>
      </c>
      <c r="AS174" s="43">
        <f>+AS582</f>
        <v>-365</v>
      </c>
      <c r="AT174" s="43">
        <f>+AT582</f>
        <v>-264</v>
      </c>
      <c r="AU174" s="43">
        <f>+AU582</f>
        <v>-221</v>
      </c>
      <c r="AV174" s="36">
        <f>SUM(AR174:AU174)</f>
        <v>-1173</v>
      </c>
      <c r="AW174" s="43">
        <f>+AW582</f>
        <v>-163</v>
      </c>
      <c r="AX174" s="43">
        <f>+AX582</f>
        <v>-196</v>
      </c>
      <c r="AY174" s="43">
        <f>+AY582</f>
        <v>-119</v>
      </c>
      <c r="AZ174" s="43">
        <f>+AZ582</f>
        <v>-246</v>
      </c>
      <c r="BA174" s="36">
        <f>SUM(AW174:AZ174)</f>
        <v>-724</v>
      </c>
      <c r="BB174" s="43">
        <f>+BB582</f>
        <v>-433</v>
      </c>
      <c r="BC174" s="43">
        <f>+BC582</f>
        <v>-343</v>
      </c>
      <c r="BD174" s="43">
        <f>+BD582</f>
        <v>-299</v>
      </c>
      <c r="BE174" s="43">
        <f>+BE582</f>
        <v>-381</v>
      </c>
      <c r="BF174" s="36">
        <f>SUM(BB174:BE174)</f>
        <v>-1456</v>
      </c>
      <c r="BG174" s="43">
        <f>+BG582</f>
        <v>-402</v>
      </c>
      <c r="BH174" s="43">
        <f>+BH582</f>
        <v>-423</v>
      </c>
      <c r="BI174" s="43">
        <f>+BI582</f>
        <v>-420</v>
      </c>
      <c r="BJ174" s="43">
        <f>+BJ582</f>
        <v>-565</v>
      </c>
      <c r="BK174" s="36">
        <f>SUM(BG174:BJ174)</f>
        <v>-1810</v>
      </c>
      <c r="BL174" s="43">
        <f>+BL582</f>
        <v>-424</v>
      </c>
      <c r="BM174" s="43">
        <f>+BM582</f>
        <v>-413</v>
      </c>
      <c r="BN174" s="43">
        <f>+BN582</f>
        <v>-763</v>
      </c>
      <c r="BO174" s="43">
        <f>+BO582</f>
        <v>-367</v>
      </c>
      <c r="BP174" s="36">
        <f>SUM(BL174:BO174)</f>
        <v>-1967</v>
      </c>
      <c r="BQ174" s="43">
        <f>+BQ582</f>
        <v>-497</v>
      </c>
      <c r="BR174" s="43">
        <f>+BR582</f>
        <v>-718</v>
      </c>
      <c r="BS174" s="43">
        <f>+BS582</f>
        <v>-482</v>
      </c>
      <c r="BT174" s="43">
        <f>+BT582</f>
        <v>-564</v>
      </c>
      <c r="BU174" s="36">
        <f>SUM(BQ174:BT174)</f>
        <v>-2261</v>
      </c>
      <c r="BV174" s="43">
        <f>+BV582</f>
        <v>-545</v>
      </c>
      <c r="BW174" s="43">
        <f>+BW582</f>
        <v>-503</v>
      </c>
      <c r="BX174" s="43">
        <f>+BX582</f>
        <v>-412</v>
      </c>
      <c r="BY174" s="43">
        <f>+BY582</f>
        <v>-759</v>
      </c>
      <c r="BZ174" s="36">
        <f>SUM(BV174:BY174)</f>
        <v>-2219</v>
      </c>
      <c r="CA174" s="43">
        <f>+CA582</f>
        <v>-574</v>
      </c>
      <c r="CB174" s="43">
        <f>+CB582</f>
        <v>-744</v>
      </c>
      <c r="CC174" s="43">
        <f>+CC582</f>
        <v>-696</v>
      </c>
      <c r="CD174" s="43">
        <f>+CD582</f>
        <v>-826</v>
      </c>
      <c r="CE174" s="36">
        <f>SUM(CA174:CD174)</f>
        <v>-2840</v>
      </c>
      <c r="CF174" s="43">
        <f>+CF582</f>
        <v>-651</v>
      </c>
      <c r="CG174" s="43">
        <f>+CG582</f>
        <v>-535</v>
      </c>
      <c r="CH174" s="43">
        <f>+CH582</f>
        <v>-471</v>
      </c>
      <c r="CI174" s="43">
        <f>+CI582</f>
        <v>-519</v>
      </c>
      <c r="CJ174" s="36">
        <f>SUM(CF174:CI174)</f>
        <v>-2176</v>
      </c>
      <c r="CK174" s="43">
        <f>+CK582</f>
        <v>-542</v>
      </c>
      <c r="CL174" s="43">
        <f>+CL582</f>
        <v>-565</v>
      </c>
      <c r="CM174" s="43">
        <f>+CM582</f>
        <v>-470</v>
      </c>
      <c r="CN174" s="43">
        <f>+CN582</f>
        <v>-625</v>
      </c>
      <c r="CO174" s="36">
        <f>SUM(CK174:CN174)</f>
        <v>-2202</v>
      </c>
      <c r="CP174" s="43">
        <f>+CP582</f>
        <v>-539</v>
      </c>
      <c r="CQ174" s="43">
        <f>+CQ582</f>
        <v>-508</v>
      </c>
      <c r="CR174" s="43">
        <f>+CR582</f>
        <v>-411</v>
      </c>
      <c r="CS174" s="43">
        <f>+CS582</f>
        <v>-565</v>
      </c>
      <c r="CT174" s="36">
        <f>SUM(CP174:CS174)</f>
        <v>-2023</v>
      </c>
      <c r="CU174" s="43">
        <f>+CU582</f>
        <v>-312.66173701348339</v>
      </c>
      <c r="CV174" s="43">
        <f>+CV582</f>
        <v>-559.4808269854268</v>
      </c>
      <c r="CW174" s="43">
        <f>+CW582</f>
        <v>-398.36659244889279</v>
      </c>
      <c r="CX174" s="43">
        <f>+CX582</f>
        <v>-1084.6797928610652</v>
      </c>
      <c r="CY174" s="36">
        <f>SUM(CU174:CX174)</f>
        <v>-2355.1889493088684</v>
      </c>
      <c r="CZ174" s="43">
        <f>+CZ582</f>
        <v>-325.51924724885339</v>
      </c>
      <c r="DA174" s="43">
        <f>+DA582</f>
        <v>-697.80657727441599</v>
      </c>
      <c r="DB174" s="43">
        <f>+DB582</f>
        <v>-490.28495190350054</v>
      </c>
      <c r="DC174" s="43">
        <f>+DC582</f>
        <v>-1164.5793670544626</v>
      </c>
      <c r="DD174" s="36">
        <f>SUM(CZ174:DC174)</f>
        <v>-2678.1901434812326</v>
      </c>
      <c r="DE174" s="43">
        <f>+DE582</f>
        <v>-362.86296585741911</v>
      </c>
      <c r="DF174" s="43">
        <f>+DF582</f>
        <v>-743.56911057182333</v>
      </c>
      <c r="DG174" s="43">
        <f>+DG582</f>
        <v>-537.01879005176397</v>
      </c>
      <c r="DH174" s="43">
        <f>+DH582</f>
        <v>-1209.4804045372857</v>
      </c>
      <c r="DI174" s="36">
        <f>SUM(DE174:DH174)</f>
        <v>-2852.9312710182921</v>
      </c>
    </row>
    <row r="175" spans="1:113" s="4" customFormat="1" ht="12" customHeight="1">
      <c r="A175" s="219" t="str">
        <f t="shared" si="364"/>
        <v xml:space="preserve"> </v>
      </c>
      <c r="B175" s="18" t="s">
        <v>202</v>
      </c>
      <c r="C175" s="364"/>
      <c r="D175" s="363"/>
      <c r="E175" s="364"/>
      <c r="F175" s="363"/>
      <c r="G175" s="364"/>
      <c r="H175" s="363"/>
      <c r="I175" s="364"/>
      <c r="J175" s="363"/>
      <c r="K175" s="364"/>
      <c r="L175" s="363"/>
      <c r="M175" s="364"/>
      <c r="N175" s="363"/>
      <c r="O175" s="364"/>
      <c r="P175" s="363"/>
      <c r="Q175" s="364"/>
      <c r="R175" s="363">
        <f>R173+R174+R168</f>
        <v>754</v>
      </c>
      <c r="S175" s="363">
        <f>S173+S174+S168</f>
        <v>610</v>
      </c>
      <c r="T175" s="363">
        <f>T173+T174+T168</f>
        <v>707</v>
      </c>
      <c r="U175" s="363">
        <f>U173+U174+U168</f>
        <v>777</v>
      </c>
      <c r="V175" s="364">
        <f>SUM(R175:U175)</f>
        <v>2848</v>
      </c>
      <c r="W175" s="363">
        <f>W173+W174+W168</f>
        <v>852</v>
      </c>
      <c r="X175" s="363">
        <f>X173+X174+X168</f>
        <v>621</v>
      </c>
      <c r="Y175" s="363">
        <f>Y173+Y174+Y168</f>
        <v>770</v>
      </c>
      <c r="Z175" s="363">
        <f>Z173+Z174+Z168</f>
        <v>743</v>
      </c>
      <c r="AA175" s="364">
        <f>SUM(W175:Z175)</f>
        <v>2986</v>
      </c>
      <c r="AB175" s="364"/>
      <c r="AC175" s="363">
        <f>AC173+AC174+AC168</f>
        <v>792</v>
      </c>
      <c r="AD175" s="363">
        <f>AD173+AD174+AD168</f>
        <v>709</v>
      </c>
      <c r="AE175" s="363">
        <f>AE173+AE174+AE168</f>
        <v>854</v>
      </c>
      <c r="AF175" s="363">
        <f>AF173+AF174+AF168</f>
        <v>898</v>
      </c>
      <c r="AG175" s="364">
        <f>SUM(AC175:AF175)</f>
        <v>3253</v>
      </c>
      <c r="AH175" s="363">
        <f>AH173+AH174+AH168</f>
        <v>1048</v>
      </c>
      <c r="AI175" s="363">
        <f>AI173+AI174+AI168</f>
        <v>725</v>
      </c>
      <c r="AJ175" s="363">
        <f>AJ173+AJ174+AJ168</f>
        <v>889</v>
      </c>
      <c r="AK175" s="363">
        <f>AK173+AK174+AK168</f>
        <v>928</v>
      </c>
      <c r="AL175" s="364">
        <f>SUM(AH175:AK175)</f>
        <v>3590</v>
      </c>
      <c r="AM175" s="363">
        <f>AM173+AM174+AM168</f>
        <v>1238</v>
      </c>
      <c r="AN175" s="363">
        <f>AN173+AN174+AN168</f>
        <v>887</v>
      </c>
      <c r="AO175" s="363">
        <f>AO173+AO174+AO168</f>
        <v>1052</v>
      </c>
      <c r="AP175" s="363">
        <f>AP173+AP174+AP168</f>
        <v>1056</v>
      </c>
      <c r="AQ175" s="364">
        <f>SUM(AM175:AP175)</f>
        <v>4233</v>
      </c>
      <c r="AR175" s="363">
        <f>AR173+AR174+AR168</f>
        <v>1449</v>
      </c>
      <c r="AS175" s="363">
        <f>AS173+AS174+AS168</f>
        <v>975</v>
      </c>
      <c r="AT175" s="363">
        <f>AT173+AT174+AT168</f>
        <v>1140</v>
      </c>
      <c r="AU175" s="363">
        <f>AU173+AU174+AU168</f>
        <v>1078</v>
      </c>
      <c r="AV175" s="364">
        <f>SUM(AR175:AU175)</f>
        <v>4642</v>
      </c>
      <c r="AW175" s="363">
        <f>AW173+AW174+AW168</f>
        <v>1288</v>
      </c>
      <c r="AX175" s="363">
        <f>AX173+AX174+AX168</f>
        <v>1129</v>
      </c>
      <c r="AY175" s="363">
        <f>AY173+AY174+AY168</f>
        <v>1342</v>
      </c>
      <c r="AZ175" s="363">
        <f>AZ173+AZ174+AZ168</f>
        <v>1186</v>
      </c>
      <c r="BA175" s="364">
        <f>SUM(AW175:AZ175)</f>
        <v>4945</v>
      </c>
      <c r="BB175" s="363">
        <f>BB173+BB174+BB168</f>
        <v>1088</v>
      </c>
      <c r="BC175" s="363">
        <f>BC173+BC174+BC168</f>
        <v>892</v>
      </c>
      <c r="BD175" s="363">
        <f>BD173+BD174+BD168</f>
        <v>1172</v>
      </c>
      <c r="BE175" s="363">
        <f>BE173+BE174+BE168</f>
        <v>1227</v>
      </c>
      <c r="BF175" s="364">
        <f>SUM(BB175:BE175)</f>
        <v>4379</v>
      </c>
      <c r="BG175" s="363">
        <f>BG173+BG174+BG168</f>
        <v>1281</v>
      </c>
      <c r="BH175" s="363">
        <f>BH173+BH174+BH168</f>
        <v>1011</v>
      </c>
      <c r="BI175" s="363">
        <f>BI173+BI174+BI168</f>
        <v>1303</v>
      </c>
      <c r="BJ175" s="363">
        <f>BJ173+BJ174+BJ168</f>
        <v>1255</v>
      </c>
      <c r="BK175" s="364">
        <f>SUM(BG175:BJ175)</f>
        <v>4850</v>
      </c>
      <c r="BL175" s="363">
        <f>BL173+BL174+BL168</f>
        <v>1576</v>
      </c>
      <c r="BM175" s="363">
        <f>BM173+BM174+BM168</f>
        <v>1261</v>
      </c>
      <c r="BN175" s="363">
        <f>BN173+BN174+BN168</f>
        <v>893</v>
      </c>
      <c r="BO175" s="363">
        <f>BO173+BO174+BO168</f>
        <v>-754</v>
      </c>
      <c r="BP175" s="364">
        <f>SUM(BL175:BO175)</f>
        <v>2976</v>
      </c>
      <c r="BQ175" s="363">
        <f>BQ173+BQ174+BQ168</f>
        <v>1780</v>
      </c>
      <c r="BR175" s="363">
        <f>BR173+BR174+BR168</f>
        <v>1526</v>
      </c>
      <c r="BS175" s="363">
        <f>BS173+BS174+BS168</f>
        <v>1700</v>
      </c>
      <c r="BT175" s="363">
        <f>BT173+BT174+BT168</f>
        <v>1917</v>
      </c>
      <c r="BU175" s="364">
        <f>SUM(BQ175:BT175)</f>
        <v>6923</v>
      </c>
      <c r="BV175" s="363">
        <f>BV173+BV174+BV168</f>
        <v>2163</v>
      </c>
      <c r="BW175" s="363">
        <f>BW173+BW174+BW168</f>
        <v>1556</v>
      </c>
      <c r="BX175" s="363">
        <f>BX173+BX174+BX168</f>
        <v>1723</v>
      </c>
      <c r="BY175" s="363">
        <f>BY173+BY174+BY168</f>
        <v>1414</v>
      </c>
      <c r="BZ175" s="364">
        <f>SUM(BV175:BY175)</f>
        <v>6856</v>
      </c>
      <c r="CA175" s="363">
        <f>CA173+CA174+CA168</f>
        <v>1841</v>
      </c>
      <c r="CB175" s="363">
        <f>CB173+CB174+CB168</f>
        <v>1666</v>
      </c>
      <c r="CC175" s="363">
        <f>CC173+CC174+CC168</f>
        <v>1470</v>
      </c>
      <c r="CD175" s="363">
        <f>CD173+CD174+CD168</f>
        <v>1218</v>
      </c>
      <c r="CE175" s="364">
        <f>SUM(CA175:CD175)</f>
        <v>6195</v>
      </c>
      <c r="CF175" s="363">
        <f>CF173+CF174+CF168</f>
        <v>1614</v>
      </c>
      <c r="CG175" s="363">
        <f>CG173+CG174+CG168</f>
        <v>1900</v>
      </c>
      <c r="CH175" s="363">
        <f>CH173+CH174+CH168</f>
        <v>1755</v>
      </c>
      <c r="CI175" s="363">
        <f>CI173+CI174+CI168</f>
        <v>1713</v>
      </c>
      <c r="CJ175" s="364">
        <f>SUM(CF175:CI175)</f>
        <v>6982</v>
      </c>
      <c r="CK175" s="363">
        <f>CK173+CK174+CK168</f>
        <v>1264</v>
      </c>
      <c r="CL175" s="363">
        <f>CL173+CL174+CL168</f>
        <v>1392</v>
      </c>
      <c r="CM175" s="363">
        <f>CM173+CM174+CM168</f>
        <v>826</v>
      </c>
      <c r="CN175" s="363">
        <f>CN173+CN174+CN168</f>
        <v>296</v>
      </c>
      <c r="CO175" s="364">
        <f>SUM(CK175:CN175)</f>
        <v>3778</v>
      </c>
      <c r="CP175" s="363">
        <f>CP173+CP174+CP168</f>
        <v>904</v>
      </c>
      <c r="CQ175" s="363">
        <f>CQ173+CQ174+CQ168</f>
        <v>990</v>
      </c>
      <c r="CR175" s="363">
        <f>CR173+CR174+CR168</f>
        <v>635</v>
      </c>
      <c r="CS175" s="363">
        <f>CS173+CS174+CS168</f>
        <v>1321</v>
      </c>
      <c r="CT175" s="364">
        <f>SUM(CP175:CS175)</f>
        <v>3850</v>
      </c>
      <c r="CU175" s="363">
        <f>CU173+CU174+CU168</f>
        <v>907</v>
      </c>
      <c r="CV175" s="363">
        <f>CV173+CV174+CV168</f>
        <v>710.68443187684397</v>
      </c>
      <c r="CW175" s="363">
        <f>CW173+CW174+CW168</f>
        <v>546.05875314247487</v>
      </c>
      <c r="CX175" s="363">
        <f>CX173+CX174+CX168</f>
        <v>271.77623577904296</v>
      </c>
      <c r="CY175" s="364">
        <f>SUM(CU175:CX175)</f>
        <v>2435.5194207983618</v>
      </c>
      <c r="CZ175" s="363">
        <f>CZ173+CZ174+CZ168</f>
        <v>853.75251239867339</v>
      </c>
      <c r="DA175" s="363">
        <f>DA173+DA174+DA168</f>
        <v>618.67917587351076</v>
      </c>
      <c r="DB175" s="363">
        <f>DB173+DB174+DB168</f>
        <v>526.61326477286639</v>
      </c>
      <c r="DC175" s="363">
        <f>DC173+DC174+DC168</f>
        <v>260.19005796992178</v>
      </c>
      <c r="DD175" s="364">
        <f>SUM(CZ175:DC175)</f>
        <v>2259.2350110149723</v>
      </c>
      <c r="DE175" s="363">
        <f>DE173+DE174+DE168</f>
        <v>911.06539847721524</v>
      </c>
      <c r="DF175" s="363">
        <f>DF173+DF174+DF168</f>
        <v>676.92520969207635</v>
      </c>
      <c r="DG175" s="363">
        <f>DG173+DG174+DG168</f>
        <v>585.6919827032948</v>
      </c>
      <c r="DH175" s="363">
        <f>DH173+DH174+DH168</f>
        <v>315.3091079963574</v>
      </c>
      <c r="DI175" s="364">
        <f>SUM(DE175:DH175)</f>
        <v>2488.9916988689438</v>
      </c>
    </row>
    <row r="176" spans="1:113" ht="12" customHeight="1">
      <c r="A176" s="219" t="str">
        <f t="shared" si="364"/>
        <v xml:space="preserve"> </v>
      </c>
      <c r="B176" s="491" t="s">
        <v>171</v>
      </c>
      <c r="C176" s="492"/>
      <c r="D176" s="522"/>
      <c r="E176" s="492"/>
      <c r="F176" s="522"/>
      <c r="G176" s="492"/>
      <c r="H176" s="522"/>
      <c r="I176" s="492"/>
      <c r="J176" s="522"/>
      <c r="K176" s="492"/>
      <c r="L176" s="522"/>
      <c r="M176" s="492"/>
      <c r="N176" s="522"/>
      <c r="O176" s="492"/>
      <c r="P176" s="522"/>
      <c r="Q176" s="492"/>
      <c r="R176" s="378" t="s">
        <v>126</v>
      </c>
      <c r="S176" s="522" t="s">
        <v>126</v>
      </c>
      <c r="T176" s="522" t="s">
        <v>126</v>
      </c>
      <c r="U176" s="522" t="s">
        <v>126</v>
      </c>
      <c r="V176" s="492" t="s">
        <v>126</v>
      </c>
      <c r="W176" s="52">
        <f>+W175/R175-1</f>
        <v>0.12997347480106103</v>
      </c>
      <c r="X176" s="52">
        <f>+X175/S175-1</f>
        <v>1.8032786885245899E-2</v>
      </c>
      <c r="Y176" s="52">
        <f>+Y175/T175-1</f>
        <v>8.9108910891089188E-2</v>
      </c>
      <c r="Z176" s="52">
        <f>+Z175/U175-1</f>
        <v>-4.3758043758043708E-2</v>
      </c>
      <c r="AA176" s="112">
        <f>+AA175/V175-1</f>
        <v>4.8455056179775191E-2</v>
      </c>
      <c r="AB176" s="112"/>
      <c r="AC176" s="52">
        <f>+AC175/W175-1</f>
        <v>-7.0422535211267623E-2</v>
      </c>
      <c r="AD176" s="52">
        <f>+AD175/X175-1</f>
        <v>0.14170692431561993</v>
      </c>
      <c r="AE176" s="52">
        <f>+AE175/Y175-1</f>
        <v>0.10909090909090913</v>
      </c>
      <c r="AF176" s="52">
        <f>+AF175/Z175-1</f>
        <v>0.20861372812920598</v>
      </c>
      <c r="AG176" s="112">
        <f>+AG175/AA175-1</f>
        <v>8.9417280643000696E-2</v>
      </c>
      <c r="AH176" s="52">
        <f t="shared" ref="AH176:BP176" si="473">+AH175/AC175-1</f>
        <v>0.32323232323232332</v>
      </c>
      <c r="AI176" s="52">
        <f t="shared" si="473"/>
        <v>2.2566995768688258E-2</v>
      </c>
      <c r="AJ176" s="52">
        <f t="shared" si="473"/>
        <v>4.0983606557376984E-2</v>
      </c>
      <c r="AK176" s="52">
        <f t="shared" si="473"/>
        <v>3.3407572383073569E-2</v>
      </c>
      <c r="AL176" s="112">
        <f t="shared" si="473"/>
        <v>0.10359667998770372</v>
      </c>
      <c r="AM176" s="52">
        <f t="shared" si="473"/>
        <v>0.18129770992366412</v>
      </c>
      <c r="AN176" s="52">
        <f t="shared" si="473"/>
        <v>0.22344827586206906</v>
      </c>
      <c r="AO176" s="52">
        <f t="shared" si="473"/>
        <v>0.18335208098987632</v>
      </c>
      <c r="AP176" s="52">
        <f t="shared" si="473"/>
        <v>0.13793103448275867</v>
      </c>
      <c r="AQ176" s="112">
        <f t="shared" si="473"/>
        <v>0.17910863509749309</v>
      </c>
      <c r="AR176" s="52">
        <f t="shared" si="473"/>
        <v>0.17043618739903077</v>
      </c>
      <c r="AS176" s="52">
        <f t="shared" si="473"/>
        <v>9.9210822998872628E-2</v>
      </c>
      <c r="AT176" s="52">
        <f t="shared" si="473"/>
        <v>8.365019011406849E-2</v>
      </c>
      <c r="AU176" s="52">
        <f t="shared" si="473"/>
        <v>2.0833333333333259E-2</v>
      </c>
      <c r="AV176" s="112">
        <f t="shared" si="473"/>
        <v>9.6621781242617555E-2</v>
      </c>
      <c r="AW176" s="52">
        <f t="shared" si="473"/>
        <v>-0.11111111111111116</v>
      </c>
      <c r="AX176" s="52">
        <f t="shared" si="473"/>
        <v>0.15794871794871801</v>
      </c>
      <c r="AY176" s="52">
        <f t="shared" si="473"/>
        <v>0.17719298245614046</v>
      </c>
      <c r="AZ176" s="52">
        <f t="shared" si="473"/>
        <v>0.1001855287569573</v>
      </c>
      <c r="BA176" s="112">
        <f t="shared" si="473"/>
        <v>6.5273588970271357E-2</v>
      </c>
      <c r="BB176" s="52">
        <f t="shared" si="473"/>
        <v>-0.15527950310559002</v>
      </c>
      <c r="BC176" s="52">
        <f t="shared" si="473"/>
        <v>-0.20992028343666957</v>
      </c>
      <c r="BD176" s="52">
        <f t="shared" si="473"/>
        <v>-0.12667660208643816</v>
      </c>
      <c r="BE176" s="52">
        <f t="shared" si="473"/>
        <v>3.4569983136593541E-2</v>
      </c>
      <c r="BF176" s="112">
        <f t="shared" si="473"/>
        <v>-0.11445904954499497</v>
      </c>
      <c r="BG176" s="52">
        <f t="shared" si="473"/>
        <v>0.17738970588235303</v>
      </c>
      <c r="BH176" s="52">
        <f t="shared" si="473"/>
        <v>0.13340807174887903</v>
      </c>
      <c r="BI176" s="52">
        <f t="shared" si="473"/>
        <v>0.11177474402730381</v>
      </c>
      <c r="BJ176" s="52">
        <f t="shared" si="473"/>
        <v>2.2819885900570602E-2</v>
      </c>
      <c r="BK176" s="112">
        <f t="shared" si="473"/>
        <v>0.10755880337976698</v>
      </c>
      <c r="BL176" s="52">
        <f t="shared" si="473"/>
        <v>0.23028883684621393</v>
      </c>
      <c r="BM176" s="52">
        <f t="shared" si="473"/>
        <v>0.24727992087042527</v>
      </c>
      <c r="BN176" s="52">
        <f t="shared" si="473"/>
        <v>-0.3146584804297774</v>
      </c>
      <c r="BO176" s="52">
        <f t="shared" si="473"/>
        <v>-1.600796812749004</v>
      </c>
      <c r="BP176" s="112">
        <f t="shared" si="473"/>
        <v>-0.38639175257731961</v>
      </c>
      <c r="BQ176" s="52">
        <f t="shared" ref="BQ176:BZ176" si="474">+BQ175/BL175-1</f>
        <v>0.12944162436548234</v>
      </c>
      <c r="BR176" s="52">
        <f t="shared" si="474"/>
        <v>0.21015067406819976</v>
      </c>
      <c r="BS176" s="52">
        <f t="shared" si="474"/>
        <v>0.90369540873460252</v>
      </c>
      <c r="BT176" s="52">
        <f t="shared" si="474"/>
        <v>-3.5424403183023871</v>
      </c>
      <c r="BU176" s="112">
        <f t="shared" si="474"/>
        <v>1.32627688172043</v>
      </c>
      <c r="BV176" s="52">
        <f t="shared" si="474"/>
        <v>0.21516853932584268</v>
      </c>
      <c r="BW176" s="52">
        <f t="shared" si="474"/>
        <v>1.9659239842725995E-2</v>
      </c>
      <c r="BX176" s="52">
        <f t="shared" si="474"/>
        <v>1.352941176470579E-2</v>
      </c>
      <c r="BY176" s="52">
        <f t="shared" si="474"/>
        <v>-0.26238914971309335</v>
      </c>
      <c r="BZ176" s="112">
        <f t="shared" si="474"/>
        <v>-9.67788530983682E-3</v>
      </c>
      <c r="CA176" s="52">
        <f t="shared" ref="CA176" si="475">+CA175/BV175-1</f>
        <v>-0.14886731391585761</v>
      </c>
      <c r="CB176" s="52">
        <f t="shared" ref="CB176:CC176" si="476">+CB175/BW175-1</f>
        <v>7.069408740359906E-2</v>
      </c>
      <c r="CC176" s="52">
        <f t="shared" si="476"/>
        <v>-0.14683691236215901</v>
      </c>
      <c r="CD176" s="52">
        <f t="shared" ref="CD176" si="477">+CD175/BY175-1</f>
        <v>-0.13861386138613863</v>
      </c>
      <c r="CE176" s="112">
        <f t="shared" ref="CE176" si="478">+CE175/BZ175-1</f>
        <v>-9.6411901983663895E-2</v>
      </c>
      <c r="CF176" s="52">
        <f t="shared" ref="CF176" si="479">+CF175/CA175-1</f>
        <v>-0.12330255296034764</v>
      </c>
      <c r="CG176" s="52">
        <f t="shared" ref="CG176:CH176" si="480">+CG175/CB175-1</f>
        <v>0.1404561824729893</v>
      </c>
      <c r="CH176" s="52">
        <f t="shared" si="480"/>
        <v>0.19387755102040827</v>
      </c>
      <c r="CI176" s="52">
        <f t="shared" ref="CI176" si="481">+CI175/CD175-1</f>
        <v>0.40640394088669951</v>
      </c>
      <c r="CJ176" s="112">
        <f t="shared" ref="CJ176:CL176" si="482">+CJ175/CE175-1</f>
        <v>0.12703793381759487</v>
      </c>
      <c r="CK176" s="52">
        <f t="shared" si="482"/>
        <v>-0.21685254027261458</v>
      </c>
      <c r="CL176" s="52">
        <f t="shared" si="482"/>
        <v>-0.26736842105263159</v>
      </c>
      <c r="CM176" s="52">
        <f t="shared" ref="CM176" si="483">+CM175/CH175-1</f>
        <v>-0.52934472934472931</v>
      </c>
      <c r="CN176" s="52">
        <f t="shared" ref="CN176" si="484">+CN175/CI175-1</f>
        <v>-0.82720373613543496</v>
      </c>
      <c r="CO176" s="112">
        <f t="shared" ref="CO176" si="485">+CO175/CJ175-1</f>
        <v>-0.45889429962761386</v>
      </c>
      <c r="CP176" s="52">
        <f t="shared" ref="CP176:CQ176" si="486">+CP175/CK175-1</f>
        <v>-0.28481012658227844</v>
      </c>
      <c r="CQ176" s="52">
        <f t="shared" si="486"/>
        <v>-0.28879310344827591</v>
      </c>
      <c r="CR176" s="52">
        <f t="shared" ref="CR176" si="487">+CR175/CM175-1</f>
        <v>-0.23123486682808714</v>
      </c>
      <c r="CS176" s="52">
        <f t="shared" ref="CS176" si="488">+CS175/CN175-1</f>
        <v>3.4628378378378377</v>
      </c>
      <c r="CT176" s="112">
        <f t="shared" ref="CT176" si="489">+CT175/CO175-1</f>
        <v>1.9057702488088912E-2</v>
      </c>
      <c r="CU176" s="52">
        <f t="shared" ref="CU176" si="490">+CU175/CP175-1</f>
        <v>3.3185840707965486E-3</v>
      </c>
      <c r="CV176" s="52">
        <f t="shared" ref="CV176" si="491">+CV175/CQ175-1</f>
        <v>-0.2821369374981374</v>
      </c>
      <c r="CW176" s="52">
        <f t="shared" ref="CW176" si="492">+CW175/CR175-1</f>
        <v>-0.14006495568114197</v>
      </c>
      <c r="CX176" s="52">
        <f t="shared" ref="CX176" si="493">+CX175/CS175-1</f>
        <v>-0.79426477230958137</v>
      </c>
      <c r="CY176" s="112">
        <f t="shared" ref="CY176" si="494">+CY175/CT175-1</f>
        <v>-0.36739755303938659</v>
      </c>
      <c r="CZ176" s="52">
        <f t="shared" ref="CZ176" si="495">+CZ175/CU175-1</f>
        <v>-5.8707263066512305E-2</v>
      </c>
      <c r="DA176" s="52">
        <f t="shared" ref="DA176" si="496">+DA175/CV175-1</f>
        <v>-0.12946006958441014</v>
      </c>
      <c r="DB176" s="52">
        <f t="shared" ref="DB176" si="497">+DB175/CW175-1</f>
        <v>-3.5610615630100262E-2</v>
      </c>
      <c r="DC176" s="52">
        <f t="shared" ref="DC176" si="498">+DC175/CX175-1</f>
        <v>-4.2631313131221926E-2</v>
      </c>
      <c r="DD176" s="112">
        <f t="shared" ref="DD176" si="499">+DD175/CY175-1</f>
        <v>-7.2380621676834567E-2</v>
      </c>
      <c r="DE176" s="52">
        <f t="shared" ref="DE176" si="500">+DE175/CZ175-1</f>
        <v>6.7130562131545002E-2</v>
      </c>
      <c r="DF176" s="52">
        <f t="shared" ref="DF176" si="501">+DF175/DA175-1</f>
        <v>9.414578038177579E-2</v>
      </c>
      <c r="DG176" s="52">
        <f t="shared" ref="DG176" si="502">+DG175/DB175-1</f>
        <v>0.11218615610814453</v>
      </c>
      <c r="DH176" s="52">
        <f t="shared" ref="DH176" si="503">+DH175/DC175-1</f>
        <v>0.21184149177908806</v>
      </c>
      <c r="DI176" s="112">
        <f t="shared" ref="DI176" si="504">+DI175/DD175-1</f>
        <v>0.10169667464154264</v>
      </c>
    </row>
    <row r="177" spans="1:113" s="373" customFormat="1" ht="12" customHeight="1">
      <c r="A177" s="525" t="str">
        <f t="shared" si="364"/>
        <v xml:space="preserve"> </v>
      </c>
      <c r="B177" s="553" t="s">
        <v>170</v>
      </c>
      <c r="C177" s="492"/>
      <c r="D177" s="522"/>
      <c r="E177" s="492"/>
      <c r="F177" s="522"/>
      <c r="G177" s="492"/>
      <c r="H177" s="522"/>
      <c r="I177" s="492"/>
      <c r="J177" s="522"/>
      <c r="K177" s="492"/>
      <c r="L177" s="522"/>
      <c r="M177" s="492"/>
      <c r="N177" s="522"/>
      <c r="O177" s="492"/>
      <c r="P177" s="522"/>
      <c r="Q177" s="492"/>
      <c r="R177" s="52">
        <f t="shared" ref="R177:AA177" si="505">+R175/R20</f>
        <v>0.14570048309178743</v>
      </c>
      <c r="S177" s="52">
        <f t="shared" si="505"/>
        <v>0.12598099958694753</v>
      </c>
      <c r="T177" s="52">
        <f t="shared" si="505"/>
        <v>0.13920063004528452</v>
      </c>
      <c r="U177" s="52">
        <f t="shared" si="505"/>
        <v>0.13475546305931321</v>
      </c>
      <c r="V177" s="112">
        <f t="shared" si="505"/>
        <v>0.13651615377240917</v>
      </c>
      <c r="W177" s="52">
        <f t="shared" si="505"/>
        <v>0.14010853478046373</v>
      </c>
      <c r="X177" s="52">
        <f t="shared" si="505"/>
        <v>0.1083580526958646</v>
      </c>
      <c r="Y177" s="52">
        <f t="shared" si="505"/>
        <v>0.13171399247348614</v>
      </c>
      <c r="Z177" s="52">
        <f t="shared" si="505"/>
        <v>0.11483771251931994</v>
      </c>
      <c r="AA177" s="112">
        <f t="shared" si="505"/>
        <v>0.12375663129973474</v>
      </c>
      <c r="AB177" s="112"/>
      <c r="AC177" s="52">
        <f t="shared" ref="AC177:BH177" si="506">+AC175/AC20</f>
        <v>0.12233549582947173</v>
      </c>
      <c r="AD177" s="52">
        <f t="shared" si="506"/>
        <v>0.11905961376994123</v>
      </c>
      <c r="AE177" s="52">
        <f t="shared" si="506"/>
        <v>0.1380313560691773</v>
      </c>
      <c r="AF177" s="52">
        <f t="shared" si="506"/>
        <v>0.13408989099596835</v>
      </c>
      <c r="AG177" s="112">
        <f t="shared" si="506"/>
        <v>0.12851104175719985</v>
      </c>
      <c r="AH177" s="52">
        <f t="shared" si="506"/>
        <v>0.15033711088796442</v>
      </c>
      <c r="AI177" s="52">
        <f t="shared" si="506"/>
        <v>0.11273518892862697</v>
      </c>
      <c r="AJ177" s="52">
        <f t="shared" si="506"/>
        <v>0.12751004016064257</v>
      </c>
      <c r="AK177" s="52">
        <f t="shared" si="506"/>
        <v>0.12498316498316499</v>
      </c>
      <c r="AL177" s="112">
        <f t="shared" si="506"/>
        <v>0.12914133601928127</v>
      </c>
      <c r="AM177" s="52">
        <f t="shared" si="506"/>
        <v>0.15509897268854925</v>
      </c>
      <c r="AN177" s="52">
        <f t="shared" si="506"/>
        <v>0.12018970189701897</v>
      </c>
      <c r="AO177" s="52">
        <f t="shared" si="506"/>
        <v>0.14101876675603217</v>
      </c>
      <c r="AP177" s="52">
        <f t="shared" si="506"/>
        <v>0.13575009641342076</v>
      </c>
      <c r="AQ177" s="112">
        <f t="shared" si="506"/>
        <v>0.13832881278389594</v>
      </c>
      <c r="AR177" s="52">
        <f t="shared" si="506"/>
        <v>0.17221297836938437</v>
      </c>
      <c r="AS177" s="52">
        <f t="shared" si="506"/>
        <v>0.12685402029664325</v>
      </c>
      <c r="AT177" s="52">
        <f t="shared" si="506"/>
        <v>0.14193227091633467</v>
      </c>
      <c r="AU177" s="52">
        <f t="shared" si="506"/>
        <v>0.13076176613294518</v>
      </c>
      <c r="AV177" s="112">
        <f t="shared" si="506"/>
        <v>0.14337781072399308</v>
      </c>
      <c r="AW177" s="52">
        <f t="shared" si="506"/>
        <v>0.14214766582054961</v>
      </c>
      <c r="AX177" s="52">
        <f t="shared" si="506"/>
        <v>0.13801955990220049</v>
      </c>
      <c r="AY177" s="52">
        <f t="shared" si="506"/>
        <v>0.15915559772296015</v>
      </c>
      <c r="AZ177" s="52">
        <f t="shared" si="506"/>
        <v>0.13668318543275326</v>
      </c>
      <c r="BA177" s="112">
        <f t="shared" si="506"/>
        <v>0.14395924308588065</v>
      </c>
      <c r="BB177" s="52">
        <f t="shared" si="506"/>
        <v>0.11995589856670341</v>
      </c>
      <c r="BC177" s="52">
        <f t="shared" si="506"/>
        <v>0.10427870002338087</v>
      </c>
      <c r="BD177" s="52">
        <f t="shared" si="506"/>
        <v>0.13045414069456812</v>
      </c>
      <c r="BE177" s="52">
        <f t="shared" si="506"/>
        <v>0.12534477474716518</v>
      </c>
      <c r="BF177" s="112">
        <f t="shared" si="506"/>
        <v>0.12031211363573921</v>
      </c>
      <c r="BG177" s="52">
        <f t="shared" si="506"/>
        <v>0.1287696019300362</v>
      </c>
      <c r="BH177" s="52">
        <f t="shared" si="506"/>
        <v>0.10785150416044378</v>
      </c>
      <c r="BI177" s="52">
        <f t="shared" ref="BI177:CN177" si="507">+BI175/BI20</f>
        <v>0.13557382166267817</v>
      </c>
      <c r="BJ177" s="52">
        <f t="shared" si="507"/>
        <v>0.12323252160251374</v>
      </c>
      <c r="BK177" s="112">
        <f t="shared" si="507"/>
        <v>0.12398701331901731</v>
      </c>
      <c r="BL177" s="52">
        <f t="shared" si="507"/>
        <v>0.14784240150093808</v>
      </c>
      <c r="BM177" s="52">
        <f t="shared" si="507"/>
        <v>0.1221189231067209</v>
      </c>
      <c r="BN177" s="52">
        <f t="shared" si="507"/>
        <v>8.8380839271575612E-2</v>
      </c>
      <c r="BO177" s="52">
        <f t="shared" si="507"/>
        <v>-0.11943608427055283</v>
      </c>
      <c r="BP177" s="112">
        <f t="shared" si="507"/>
        <v>7.9565810229126011E-2</v>
      </c>
      <c r="BQ177" s="52">
        <f t="shared" si="507"/>
        <v>0.16801963375495563</v>
      </c>
      <c r="BR177" s="52">
        <f t="shared" si="507"/>
        <v>0.13572889798096593</v>
      </c>
      <c r="BS177" s="52">
        <f t="shared" si="507"/>
        <v>0.16414019503717292</v>
      </c>
      <c r="BT177" s="52">
        <f t="shared" si="507"/>
        <v>0.15529812054439404</v>
      </c>
      <c r="BU177" s="112">
        <f t="shared" si="507"/>
        <v>0.1554402981723472</v>
      </c>
      <c r="BV177" s="52">
        <f t="shared" si="507"/>
        <v>0.17660026126714565</v>
      </c>
      <c r="BW177" s="52">
        <f t="shared" si="507"/>
        <v>0.13700801267940477</v>
      </c>
      <c r="BX177" s="52">
        <f t="shared" si="507"/>
        <v>0.15849507864961826</v>
      </c>
      <c r="BY177" s="52">
        <f t="shared" si="507"/>
        <v>0.11557953245054765</v>
      </c>
      <c r="BZ177" s="112">
        <f t="shared" si="507"/>
        <v>0.14677799186469706</v>
      </c>
      <c r="CA177" s="52">
        <f t="shared" si="507"/>
        <v>0.14510916686371877</v>
      </c>
      <c r="CB177" s="52">
        <f t="shared" si="507"/>
        <v>0.12512204280886219</v>
      </c>
      <c r="CC177" s="52">
        <f t="shared" si="507"/>
        <v>0.11864406779661017</v>
      </c>
      <c r="CD177" s="52">
        <f t="shared" si="507"/>
        <v>9.4970760233918122E-2</v>
      </c>
      <c r="CE177" s="112">
        <f t="shared" si="507"/>
        <v>0.12095593260050373</v>
      </c>
      <c r="CF177" s="52">
        <f t="shared" si="507"/>
        <v>0.12473916067702295</v>
      </c>
      <c r="CG177" s="52">
        <f t="shared" si="507"/>
        <v>0.14191813564386016</v>
      </c>
      <c r="CH177" s="52">
        <f t="shared" si="507"/>
        <v>0.14120202751629254</v>
      </c>
      <c r="CI177" s="52">
        <f t="shared" si="507"/>
        <v>0.13588767253688719</v>
      </c>
      <c r="CJ177" s="112">
        <f t="shared" si="507"/>
        <v>0.13593707410147579</v>
      </c>
      <c r="CK177" s="52">
        <f t="shared" si="507"/>
        <v>0.10906894468892915</v>
      </c>
      <c r="CL177" s="52">
        <f t="shared" si="507"/>
        <v>0.11267605633802817</v>
      </c>
      <c r="CM177" s="52">
        <f t="shared" si="507"/>
        <v>7.3298429319371722E-2</v>
      </c>
      <c r="CN177" s="52">
        <f t="shared" si="507"/>
        <v>2.6673875822294312E-2</v>
      </c>
      <c r="CO177" s="112">
        <f t="shared" ref="CO177:DI177" si="508">+CO175/CO20</f>
        <v>8.1582413785657212E-2</v>
      </c>
      <c r="CP177" s="52">
        <f t="shared" si="508"/>
        <v>7.7133105802047783E-2</v>
      </c>
      <c r="CQ177" s="52">
        <f t="shared" si="508"/>
        <v>7.9665245030980922E-2</v>
      </c>
      <c r="CR177" s="52">
        <f t="shared" si="508"/>
        <v>5.629931731536484E-2</v>
      </c>
      <c r="CS177" s="52">
        <f t="shared" si="508"/>
        <v>0.12039737513671163</v>
      </c>
      <c r="CT177" s="112">
        <f t="shared" si="508"/>
        <v>8.2977714556661919E-2</v>
      </c>
      <c r="CU177" s="52">
        <f t="shared" si="508"/>
        <v>8.0888254704361007E-2</v>
      </c>
      <c r="CV177" s="52">
        <f t="shared" si="508"/>
        <v>6.533168167787648E-2</v>
      </c>
      <c r="CW177" s="52">
        <f t="shared" si="508"/>
        <v>5.2984634460943869E-2</v>
      </c>
      <c r="CX177" s="52">
        <f t="shared" si="508"/>
        <v>2.7503976494143732E-2</v>
      </c>
      <c r="CY177" s="112">
        <f t="shared" si="508"/>
        <v>5.760667405300849E-2</v>
      </c>
      <c r="CZ177" s="52">
        <f t="shared" si="508"/>
        <v>8.2662012766797174E-2</v>
      </c>
      <c r="DA177" s="52">
        <f t="shared" si="508"/>
        <v>5.9718014252525889E-2</v>
      </c>
      <c r="DB177" s="52">
        <f t="shared" si="508"/>
        <v>5.2526611106418875E-2</v>
      </c>
      <c r="DC177" s="52">
        <f t="shared" si="508"/>
        <v>2.7024613229553091E-2</v>
      </c>
      <c r="DD177" s="112">
        <f t="shared" si="508"/>
        <v>5.6002361588081341E-2</v>
      </c>
      <c r="DE177" s="52">
        <f t="shared" si="508"/>
        <v>8.8161467330427665E-2</v>
      </c>
      <c r="DF177" s="52">
        <f t="shared" si="508"/>
        <v>6.5216181977289095E-2</v>
      </c>
      <c r="DG177" s="52">
        <f t="shared" si="508"/>
        <v>5.8019788732558926E-2</v>
      </c>
      <c r="DH177" s="52">
        <f t="shared" si="508"/>
        <v>3.251724579846732E-2</v>
      </c>
      <c r="DI177" s="112">
        <f t="shared" si="508"/>
        <v>6.144879635903399E-2</v>
      </c>
    </row>
    <row r="178" spans="1:113" s="3" customFormat="1" ht="12" customHeight="1">
      <c r="A178" s="490" t="str">
        <f t="shared" si="364"/>
        <v xml:space="preserve"> </v>
      </c>
      <c r="B178" s="566" t="s">
        <v>174</v>
      </c>
      <c r="C178" s="571"/>
      <c r="D178" s="572"/>
      <c r="E178" s="571"/>
      <c r="F178" s="572"/>
      <c r="G178" s="571"/>
      <c r="H178" s="572"/>
      <c r="I178" s="571"/>
      <c r="J178" s="572"/>
      <c r="K178" s="571"/>
      <c r="L178" s="572"/>
      <c r="M178" s="571"/>
      <c r="N178" s="572"/>
      <c r="O178" s="571"/>
      <c r="P178" s="572"/>
      <c r="Q178" s="571"/>
      <c r="R178" s="573" t="s">
        <v>126</v>
      </c>
      <c r="S178" s="572" t="s">
        <v>126</v>
      </c>
      <c r="T178" s="572" t="s">
        <v>126</v>
      </c>
      <c r="U178" s="572" t="s">
        <v>126</v>
      </c>
      <c r="V178" s="571" t="s">
        <v>126</v>
      </c>
      <c r="W178" s="572">
        <f>(W177-R177)*100*100</f>
        <v>-55.919483113237021</v>
      </c>
      <c r="X178" s="572">
        <f>(X177-S177)*100*100</f>
        <v>-176.2294689108293</v>
      </c>
      <c r="Y178" s="572">
        <f>(Y177-T177)*100*100</f>
        <v>-74.866375717983772</v>
      </c>
      <c r="Z178" s="572">
        <f>(Z177-U177)*100*100</f>
        <v>-199.1775053999327</v>
      </c>
      <c r="AA178" s="571">
        <f>(AA177-V177)*100*100</f>
        <v>-127.59522472674422</v>
      </c>
      <c r="AB178" s="571"/>
      <c r="AC178" s="572">
        <f>(AC177-W177)*100*100</f>
        <v>-177.73038950992</v>
      </c>
      <c r="AD178" s="572">
        <f>(AD177-X177)*100*100</f>
        <v>107.01561074076631</v>
      </c>
      <c r="AE178" s="572">
        <f>(AE177-Y177)*100*100</f>
        <v>63.173635956911554</v>
      </c>
      <c r="AF178" s="572">
        <f>(AF177-Z177)*100*100</f>
        <v>192.5217847664841</v>
      </c>
      <c r="AG178" s="571">
        <f>(AG177-AA177)*100*100</f>
        <v>47.54410457465108</v>
      </c>
      <c r="AH178" s="572">
        <f t="shared" ref="AH178:BP178" si="509">(AH177-AC177)*100*100</f>
        <v>280.01615058492695</v>
      </c>
      <c r="AI178" s="572">
        <f t="shared" si="509"/>
        <v>-63.244248413142635</v>
      </c>
      <c r="AJ178" s="572">
        <f t="shared" si="509"/>
        <v>-105.21315908534723</v>
      </c>
      <c r="AK178" s="572">
        <f t="shared" si="509"/>
        <v>-91.067260128033652</v>
      </c>
      <c r="AL178" s="571">
        <f t="shared" si="509"/>
        <v>6.3029426208141555</v>
      </c>
      <c r="AM178" s="572">
        <f t="shared" si="509"/>
        <v>47.618618005848269</v>
      </c>
      <c r="AN178" s="572">
        <f t="shared" si="509"/>
        <v>74.545129683920024</v>
      </c>
      <c r="AO178" s="572">
        <f t="shared" si="509"/>
        <v>135.08726595389598</v>
      </c>
      <c r="AP178" s="572">
        <f t="shared" si="509"/>
        <v>107.66931430255768</v>
      </c>
      <c r="AQ178" s="571">
        <f t="shared" si="509"/>
        <v>91.874767646146765</v>
      </c>
      <c r="AR178" s="572">
        <f t="shared" si="509"/>
        <v>171.14005680835126</v>
      </c>
      <c r="AS178" s="572">
        <f t="shared" si="509"/>
        <v>66.643183996242811</v>
      </c>
      <c r="AT178" s="572">
        <f t="shared" si="509"/>
        <v>9.1350416030250301</v>
      </c>
      <c r="AU178" s="572">
        <f t="shared" si="509"/>
        <v>-49.883302804755722</v>
      </c>
      <c r="AV178" s="571">
        <f t="shared" si="509"/>
        <v>50.489979400971386</v>
      </c>
      <c r="AW178" s="572">
        <f t="shared" si="509"/>
        <v>-300.65312548834765</v>
      </c>
      <c r="AX178" s="572">
        <f t="shared" si="509"/>
        <v>111.65539605557244</v>
      </c>
      <c r="AY178" s="572">
        <f t="shared" si="509"/>
        <v>172.23326806625471</v>
      </c>
      <c r="AZ178" s="572">
        <f t="shared" si="509"/>
        <v>59.214192998080783</v>
      </c>
      <c r="BA178" s="571">
        <f t="shared" si="509"/>
        <v>5.8143236188756831</v>
      </c>
      <c r="BB178" s="572">
        <f t="shared" si="509"/>
        <v>-221.91767253846194</v>
      </c>
      <c r="BC178" s="572">
        <f t="shared" si="509"/>
        <v>-337.40859878819623</v>
      </c>
      <c r="BD178" s="572">
        <f t="shared" si="509"/>
        <v>-287.01457028392025</v>
      </c>
      <c r="BE178" s="572">
        <f t="shared" si="509"/>
        <v>-113.38410685588079</v>
      </c>
      <c r="BF178" s="571">
        <f t="shared" si="509"/>
        <v>-236.47129450141443</v>
      </c>
      <c r="BG178" s="572">
        <f t="shared" si="509"/>
        <v>88.13703363332786</v>
      </c>
      <c r="BH178" s="572">
        <f t="shared" si="509"/>
        <v>35.728041370629157</v>
      </c>
      <c r="BI178" s="572">
        <f t="shared" si="509"/>
        <v>51.196809681100518</v>
      </c>
      <c r="BJ178" s="572">
        <f t="shared" si="509"/>
        <v>-21.12253144651438</v>
      </c>
      <c r="BK178" s="571">
        <f t="shared" si="509"/>
        <v>36.748996832780961</v>
      </c>
      <c r="BL178" s="572">
        <f t="shared" si="509"/>
        <v>190.72799570901884</v>
      </c>
      <c r="BM178" s="572">
        <f t="shared" si="509"/>
        <v>142.67418946277118</v>
      </c>
      <c r="BN178" s="572">
        <f t="shared" si="509"/>
        <v>-471.92982391102561</v>
      </c>
      <c r="BO178" s="572">
        <f t="shared" si="509"/>
        <v>-2426.6860587306655</v>
      </c>
      <c r="BP178" s="571">
        <f t="shared" si="509"/>
        <v>-444.21203089891293</v>
      </c>
      <c r="BQ178" s="572">
        <f t="shared" ref="BQ178:BZ178" si="510">(BQ177-BL177)*100*100</f>
        <v>201.77232254017548</v>
      </c>
      <c r="BR178" s="572">
        <f t="shared" si="510"/>
        <v>136.09974874245034</v>
      </c>
      <c r="BS178" s="572">
        <f t="shared" si="510"/>
        <v>757.59355765597309</v>
      </c>
      <c r="BT178" s="572">
        <f t="shared" si="510"/>
        <v>2747.3420481494691</v>
      </c>
      <c r="BU178" s="571">
        <f t="shared" si="510"/>
        <v>758.74487943221186</v>
      </c>
      <c r="BV178" s="572">
        <f t="shared" si="510"/>
        <v>85.8062751219002</v>
      </c>
      <c r="BW178" s="572">
        <f t="shared" si="510"/>
        <v>12.791146984388323</v>
      </c>
      <c r="BX178" s="572">
        <f t="shared" si="510"/>
        <v>-56.451163875546605</v>
      </c>
      <c r="BY178" s="572">
        <f t="shared" si="510"/>
        <v>-397.18588093846392</v>
      </c>
      <c r="BZ178" s="571">
        <f t="shared" si="510"/>
        <v>-86.623063076501367</v>
      </c>
      <c r="CA178" s="572">
        <f t="shared" ref="CA178" si="511">(CA177-BV177)*100*100</f>
        <v>-314.91094403426871</v>
      </c>
      <c r="CB178" s="572">
        <f t="shared" ref="CB178:CC178" si="512">(CB177-BW177)*100*100</f>
        <v>-118.85969870542579</v>
      </c>
      <c r="CC178" s="572">
        <f t="shared" si="512"/>
        <v>-398.51010853008091</v>
      </c>
      <c r="CD178" s="572">
        <f t="shared" ref="CD178" si="513">(CD177-BY177)*100*100</f>
        <v>-206.08772216629529</v>
      </c>
      <c r="CE178" s="571">
        <f t="shared" ref="CE178" si="514">(CE177-BZ177)*100*100</f>
        <v>-258.22059264193331</v>
      </c>
      <c r="CF178" s="572">
        <f t="shared" ref="CF178" si="515">(CF177-CA177)*100*100</f>
        <v>-203.70006186695821</v>
      </c>
      <c r="CG178" s="572">
        <f t="shared" ref="CG178:CH178" si="516">(CG177-CB177)*100*100</f>
        <v>167.96092834997972</v>
      </c>
      <c r="CH178" s="572">
        <f t="shared" si="516"/>
        <v>225.5795971968237</v>
      </c>
      <c r="CI178" s="572">
        <f t="shared" ref="CI178" si="517">(CI177-CD177)*100*100</f>
        <v>409.1691230296907</v>
      </c>
      <c r="CJ178" s="571">
        <f t="shared" ref="CJ178:CL178" si="518">(CJ177-CE177)*100*100</f>
        <v>149.8114150097206</v>
      </c>
      <c r="CK178" s="572">
        <f t="shared" si="518"/>
        <v>-156.70215988093804</v>
      </c>
      <c r="CL178" s="572">
        <f t="shared" si="518"/>
        <v>-292.42079305831987</v>
      </c>
      <c r="CM178" s="572">
        <f t="shared" ref="CM178" si="519">(CM177-CH177)*100*100</f>
        <v>-679.03598196920814</v>
      </c>
      <c r="CN178" s="572">
        <f t="shared" ref="CN178" si="520">(CN177-CI177)*100*100</f>
        <v>-1092.1379671459288</v>
      </c>
      <c r="CO178" s="571">
        <f t="shared" ref="CO178" si="521">(CO177-CJ177)*100*100</f>
        <v>-543.5466031581858</v>
      </c>
      <c r="CP178" s="572">
        <f t="shared" ref="CP178:CQ178" si="522">(CP177-CK177)*100*100</f>
        <v>-319.35838886881368</v>
      </c>
      <c r="CQ178" s="572">
        <f t="shared" si="522"/>
        <v>-330.10811307047254</v>
      </c>
      <c r="CR178" s="572">
        <f t="shared" ref="CR178" si="523">(CR177-CM177)*100*100</f>
        <v>-169.99112004006884</v>
      </c>
      <c r="CS178" s="572">
        <f t="shared" ref="CS178" si="524">(CS177-CN177)*100*100</f>
        <v>937.23499314417302</v>
      </c>
      <c r="CT178" s="571">
        <f t="shared" ref="CT178" si="525">(CT177-CO177)*100*100</f>
        <v>13.953007710047066</v>
      </c>
      <c r="CU178" s="572">
        <f t="shared" ref="CU178" si="526">(CU177-CP177)*100*100</f>
        <v>37.551489023132241</v>
      </c>
      <c r="CV178" s="572">
        <f t="shared" ref="CV178" si="527">(CV177-CQ177)*100*100</f>
        <v>-143.33563353104441</v>
      </c>
      <c r="CW178" s="572">
        <f t="shared" ref="CW178" si="528">(CW177-CR177)*100*100</f>
        <v>-33.146828544209704</v>
      </c>
      <c r="CX178" s="572">
        <f t="shared" ref="CX178" si="529">(CX177-CS177)*100*100</f>
        <v>-928.93398642567911</v>
      </c>
      <c r="CY178" s="571">
        <f t="shared" ref="CY178" si="530">(CY177-CT177)*100*100</f>
        <v>-253.71040503653427</v>
      </c>
      <c r="CZ178" s="572">
        <f t="shared" ref="CZ178" si="531">(CZ177-CU177)*100*100</f>
        <v>17.737580624361676</v>
      </c>
      <c r="DA178" s="572">
        <f t="shared" ref="DA178" si="532">(DA177-CV177)*100*100</f>
        <v>-56.136674253505902</v>
      </c>
      <c r="DB178" s="572">
        <f t="shared" ref="DB178" si="533">(DB177-CW177)*100*100</f>
        <v>-4.5802335452499454</v>
      </c>
      <c r="DC178" s="572">
        <f t="shared" ref="DC178" si="534">(DC177-CX177)*100*100</f>
        <v>-4.7936326459064107</v>
      </c>
      <c r="DD178" s="571">
        <f t="shared" ref="DD178" si="535">(DD177-CY177)*100*100</f>
        <v>-16.043124649271491</v>
      </c>
      <c r="DE178" s="572">
        <f t="shared" ref="DE178" si="536">(DE177-CZ177)*100*100</f>
        <v>54.994545636304906</v>
      </c>
      <c r="DF178" s="572">
        <f t="shared" ref="DF178" si="537">(DF177-DA177)*100*100</f>
        <v>54.981677247632057</v>
      </c>
      <c r="DG178" s="572">
        <f t="shared" ref="DG178" si="538">(DG177-DB177)*100*100</f>
        <v>54.931776261400515</v>
      </c>
      <c r="DH178" s="572">
        <f t="shared" ref="DH178" si="539">(DH177-DC177)*100*100</f>
        <v>54.926325689142288</v>
      </c>
      <c r="DI178" s="571">
        <f t="shared" ref="DI178" si="540">(DI177-DD177)*100*100</f>
        <v>54.464347709526486</v>
      </c>
    </row>
    <row r="179" spans="1:113" ht="12" customHeight="1">
      <c r="A179" s="219"/>
      <c r="B179" s="17"/>
      <c r="C179" s="79"/>
      <c r="D179" s="6"/>
      <c r="E179" s="79"/>
      <c r="F179" s="6"/>
      <c r="G179" s="79"/>
      <c r="H179" s="6"/>
      <c r="I179" s="79"/>
      <c r="J179" s="6"/>
      <c r="K179" s="79"/>
      <c r="L179" s="6"/>
      <c r="M179" s="79"/>
      <c r="N179" s="6"/>
      <c r="O179" s="79"/>
      <c r="P179" s="6"/>
      <c r="Q179" s="79"/>
      <c r="R179" s="6"/>
      <c r="S179" s="6"/>
      <c r="T179" s="6"/>
      <c r="U179" s="6"/>
      <c r="V179" s="79"/>
      <c r="W179" s="6"/>
      <c r="X179" s="6"/>
      <c r="Y179" s="6"/>
      <c r="Z179" s="6"/>
      <c r="AA179" s="79"/>
      <c r="AB179" s="79"/>
      <c r="AC179" s="6"/>
      <c r="AD179" s="6"/>
      <c r="AE179" s="6"/>
      <c r="AF179" s="6"/>
      <c r="AG179" s="79"/>
      <c r="AH179" s="6"/>
      <c r="AI179" s="6"/>
      <c r="AJ179" s="6"/>
      <c r="AK179" s="6"/>
      <c r="AL179" s="79"/>
      <c r="AM179" s="6"/>
      <c r="AN179" s="6"/>
      <c r="AO179" s="6"/>
      <c r="AP179" s="6"/>
      <c r="AQ179" s="79"/>
      <c r="AR179" s="6"/>
      <c r="AS179" s="6"/>
      <c r="AT179" s="6"/>
      <c r="AU179" s="6"/>
      <c r="AV179" s="79"/>
      <c r="AW179" s="6"/>
      <c r="AX179" s="6"/>
      <c r="AY179" s="6"/>
      <c r="AZ179" s="6"/>
      <c r="BA179" s="79"/>
      <c r="BB179" s="6"/>
      <c r="BC179" s="6"/>
      <c r="BD179" s="6"/>
      <c r="BE179" s="6"/>
      <c r="BF179" s="79"/>
      <c r="BG179" s="6"/>
      <c r="BH179" s="6"/>
      <c r="BI179" s="6"/>
      <c r="BJ179" s="6"/>
      <c r="BK179" s="79"/>
      <c r="BL179" s="6"/>
      <c r="BM179" s="54"/>
      <c r="BN179" s="6"/>
      <c r="BO179" s="6"/>
      <c r="BP179" s="79"/>
      <c r="BQ179" s="6"/>
      <c r="BR179" s="6"/>
      <c r="BS179" s="6"/>
      <c r="BT179" s="6"/>
      <c r="BU179" s="79"/>
      <c r="BV179" s="6"/>
      <c r="BW179" s="6"/>
      <c r="BX179" s="6"/>
      <c r="BY179" s="6"/>
      <c r="BZ179" s="79"/>
      <c r="CA179" s="6"/>
      <c r="CB179" s="6"/>
      <c r="CC179" s="6"/>
      <c r="CD179" s="6"/>
      <c r="CE179" s="79"/>
      <c r="CF179" s="6"/>
      <c r="CG179" s="6"/>
      <c r="CH179" s="6"/>
      <c r="CI179" s="6"/>
      <c r="CJ179" s="79"/>
      <c r="CK179" s="6"/>
      <c r="CL179" s="6"/>
      <c r="CM179" s="6"/>
      <c r="CN179" s="6"/>
      <c r="CO179" s="79"/>
      <c r="CP179" s="6"/>
      <c r="CQ179" s="6"/>
      <c r="CR179" s="6"/>
      <c r="CS179" s="6"/>
      <c r="CT179" s="79"/>
      <c r="CU179" s="6"/>
      <c r="CV179" s="6"/>
      <c r="CW179" s="6"/>
      <c r="CX179" s="6"/>
      <c r="CY179" s="79"/>
      <c r="CZ179" s="6"/>
      <c r="DA179" s="6"/>
      <c r="DB179" s="6"/>
      <c r="DC179" s="6"/>
      <c r="DD179" s="79"/>
      <c r="DE179" s="6"/>
      <c r="DF179" s="6"/>
      <c r="DG179" s="6"/>
      <c r="DH179" s="6"/>
      <c r="DI179" s="79"/>
    </row>
    <row r="180" spans="1:113" ht="12" customHeight="1">
      <c r="A180" s="5" t="str">
        <f t="shared" si="364"/>
        <v xml:space="preserve"> </v>
      </c>
      <c r="B180" s="78" t="s">
        <v>166</v>
      </c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  <c r="AA180" s="214"/>
      <c r="AB180" s="214"/>
      <c r="AC180" s="214"/>
      <c r="AD180" s="214"/>
      <c r="AE180" s="214"/>
      <c r="AF180" s="214"/>
      <c r="AG180" s="214"/>
      <c r="AH180" s="214"/>
      <c r="AI180" s="214"/>
      <c r="AJ180" s="214"/>
      <c r="AK180" s="214"/>
      <c r="AL180" s="214"/>
      <c r="AM180" s="214"/>
      <c r="AN180" s="214"/>
      <c r="AO180" s="214"/>
      <c r="AP180" s="214"/>
      <c r="AQ180" s="214"/>
      <c r="AR180" s="214"/>
      <c r="AS180" s="214"/>
      <c r="AT180" s="214"/>
      <c r="AU180" s="214"/>
      <c r="AV180" s="214"/>
      <c r="AW180" s="214"/>
      <c r="AX180" s="214"/>
      <c r="AY180" s="214"/>
      <c r="AZ180" s="214"/>
      <c r="BA180" s="214"/>
      <c r="BB180" s="214"/>
      <c r="BC180" s="298"/>
      <c r="BD180" s="298"/>
      <c r="BE180" s="214"/>
      <c r="BF180" s="214"/>
      <c r="BG180" s="214"/>
      <c r="BH180" s="214"/>
      <c r="BI180" s="214"/>
      <c r="BJ180" s="214"/>
      <c r="BK180" s="214"/>
      <c r="BL180" s="214"/>
      <c r="BM180" s="214"/>
      <c r="BN180" s="214"/>
      <c r="BO180" s="214"/>
      <c r="BP180" s="214"/>
      <c r="BQ180" s="214"/>
      <c r="BR180" s="214"/>
      <c r="BS180" s="214"/>
      <c r="BT180" s="214"/>
      <c r="BU180" s="214"/>
      <c r="BV180" s="214"/>
      <c r="BW180" s="214"/>
      <c r="BX180" s="214"/>
      <c r="BY180" s="214"/>
      <c r="BZ180" s="214"/>
      <c r="CA180" s="214"/>
      <c r="CB180" s="214"/>
      <c r="CC180" s="214"/>
      <c r="CD180" s="214"/>
      <c r="CE180" s="214"/>
      <c r="CF180" s="214"/>
      <c r="CG180" s="214"/>
      <c r="CH180" s="214"/>
      <c r="CI180" s="214"/>
      <c r="CJ180" s="214"/>
      <c r="CK180" s="214"/>
      <c r="CL180" s="214"/>
      <c r="CM180" s="214"/>
      <c r="CN180" s="214"/>
      <c r="CO180" s="214"/>
      <c r="CP180" s="214"/>
      <c r="CQ180" s="214"/>
      <c r="CR180" s="214"/>
      <c r="CS180" s="214"/>
      <c r="CT180" s="214"/>
      <c r="CU180" s="214"/>
      <c r="CV180" s="214"/>
      <c r="CW180" s="214"/>
      <c r="CX180" s="214"/>
      <c r="CY180" s="299"/>
      <c r="CZ180" s="214"/>
      <c r="DA180" s="214"/>
      <c r="DB180" s="214"/>
      <c r="DC180" s="214"/>
      <c r="DD180" s="299"/>
      <c r="DE180" s="214"/>
      <c r="DF180" s="214"/>
      <c r="DG180" s="214"/>
      <c r="DH180" s="214"/>
      <c r="DI180" s="299"/>
    </row>
    <row r="181" spans="1:113" ht="12" customHeight="1">
      <c r="A181" s="5" t="str">
        <f t="shared" si="364"/>
        <v xml:space="preserve"> </v>
      </c>
      <c r="B181" s="61" t="s">
        <v>79</v>
      </c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37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90"/>
      <c r="AP181" s="90"/>
      <c r="AQ181" s="89"/>
      <c r="AR181" s="89"/>
      <c r="AS181" s="89"/>
      <c r="AT181" s="90"/>
      <c r="AU181" s="90"/>
      <c r="AV181" s="90"/>
      <c r="AW181" s="89"/>
      <c r="AX181" s="89"/>
      <c r="AY181" s="90"/>
      <c r="AZ181" s="90"/>
      <c r="BA181" s="90"/>
      <c r="BB181" s="89"/>
      <c r="BC181" s="108"/>
      <c r="BD181" s="108"/>
      <c r="BE181" s="90"/>
      <c r="BF181" s="90"/>
      <c r="BG181" s="108"/>
      <c r="BH181" s="108"/>
      <c r="BI181" s="108"/>
      <c r="BJ181" s="90"/>
      <c r="BK181" s="90"/>
      <c r="BL181" s="89"/>
      <c r="BM181" s="47"/>
      <c r="BN181" s="90"/>
      <c r="BO181" s="90"/>
      <c r="BP181" s="90"/>
      <c r="BQ181" s="208"/>
      <c r="BR181" s="208"/>
      <c r="BS181" s="208"/>
      <c r="BT181" s="208"/>
      <c r="BU181" s="90"/>
      <c r="BV181" s="89"/>
      <c r="BW181" s="47"/>
      <c r="BX181" s="208"/>
      <c r="BY181" s="90"/>
      <c r="BZ181" s="90"/>
      <c r="CA181" s="234"/>
      <c r="CB181" s="234"/>
      <c r="CC181" s="234"/>
      <c r="CD181" s="234"/>
      <c r="CE181" s="90"/>
      <c r="CF181" s="234"/>
      <c r="CG181" s="234"/>
      <c r="CH181" s="208"/>
      <c r="CI181" s="90"/>
      <c r="CJ181" s="90"/>
      <c r="CK181" s="89"/>
      <c r="CL181" s="47"/>
      <c r="CM181" s="208"/>
      <c r="CN181" s="90"/>
      <c r="CO181" s="90"/>
      <c r="CP181" s="89"/>
      <c r="CQ181" s="47"/>
      <c r="CR181" s="208"/>
      <c r="CS181" s="90"/>
      <c r="CT181" s="90"/>
      <c r="CU181" s="89"/>
      <c r="CV181" s="47"/>
      <c r="CW181" s="208"/>
      <c r="CX181" s="89"/>
      <c r="CY181" s="47"/>
      <c r="CZ181" s="89"/>
      <c r="DA181" s="47"/>
      <c r="DB181" s="89"/>
      <c r="DC181" s="47"/>
      <c r="DD181" s="89"/>
      <c r="DE181" s="47"/>
      <c r="DF181" s="47"/>
      <c r="DG181" s="208"/>
      <c r="DH181" s="90"/>
      <c r="DI181" s="182"/>
    </row>
    <row r="182" spans="1:113" s="7" customFormat="1" ht="12" customHeight="1">
      <c r="A182" s="239" t="str">
        <f t="shared" si="364"/>
        <v xml:space="preserve"> </v>
      </c>
      <c r="B182" s="20" t="s">
        <v>165</v>
      </c>
      <c r="C182" s="36"/>
      <c r="D182" s="43"/>
      <c r="E182" s="36"/>
      <c r="F182" s="43"/>
      <c r="G182" s="36"/>
      <c r="H182" s="43"/>
      <c r="I182" s="36"/>
      <c r="J182" s="43"/>
      <c r="K182" s="36"/>
      <c r="L182" s="43"/>
      <c r="M182" s="36"/>
      <c r="N182" s="43"/>
      <c r="O182" s="36"/>
      <c r="P182" s="43"/>
      <c r="Q182" s="36"/>
      <c r="R182" s="43">
        <v>1903</v>
      </c>
      <c r="S182" s="43">
        <v>1701</v>
      </c>
      <c r="T182" s="43">
        <v>1836</v>
      </c>
      <c r="U182" s="43">
        <v>2139</v>
      </c>
      <c r="V182" s="36">
        <f>SUM(R182:U182)</f>
        <v>7579</v>
      </c>
      <c r="W182" s="43">
        <v>2200</v>
      </c>
      <c r="X182" s="43">
        <v>2066</v>
      </c>
      <c r="Y182" s="43">
        <v>2149</v>
      </c>
      <c r="Z182" s="43">
        <v>2424</v>
      </c>
      <c r="AA182" s="36">
        <f>SUM(W182:Z182)</f>
        <v>8839</v>
      </c>
      <c r="AB182" s="36"/>
      <c r="AC182" s="43">
        <v>2866</v>
      </c>
      <c r="AD182" s="43">
        <v>2564</v>
      </c>
      <c r="AE182" s="43">
        <v>2737</v>
      </c>
      <c r="AF182" s="43">
        <v>2991</v>
      </c>
      <c r="AG182" s="36">
        <f>SUM(AC182:AF182)</f>
        <v>11158</v>
      </c>
      <c r="AH182" s="43">
        <v>3135</v>
      </c>
      <c r="AI182" s="43">
        <v>2801</v>
      </c>
      <c r="AJ182" s="43">
        <v>3069</v>
      </c>
      <c r="AK182" s="43">
        <v>3294</v>
      </c>
      <c r="AL182" s="36">
        <f>SUM(AH182:AK182)</f>
        <v>12299</v>
      </c>
      <c r="AM182" s="43">
        <v>3513</v>
      </c>
      <c r="AN182" s="43">
        <v>3241</v>
      </c>
      <c r="AO182" s="43">
        <v>3254</v>
      </c>
      <c r="AP182" s="43">
        <v>3732</v>
      </c>
      <c r="AQ182" s="36">
        <f>SUM(AM182:AP182)</f>
        <v>13740</v>
      </c>
      <c r="AR182" s="43">
        <v>3799</v>
      </c>
      <c r="AS182" s="43">
        <v>3547</v>
      </c>
      <c r="AT182" s="43">
        <v>3683</v>
      </c>
      <c r="AU182" s="43">
        <v>3735</v>
      </c>
      <c r="AV182" s="36">
        <f>SUM(AR182:AU182)</f>
        <v>14764</v>
      </c>
      <c r="AW182" s="43">
        <v>4031</v>
      </c>
      <c r="AX182" s="43">
        <v>3650</v>
      </c>
      <c r="AY182" s="43">
        <v>3782</v>
      </c>
      <c r="AZ182" s="43">
        <v>3753</v>
      </c>
      <c r="BA182" s="36">
        <f>SUM(AW182:AZ182)</f>
        <v>15216</v>
      </c>
      <c r="BB182" s="43">
        <v>3924</v>
      </c>
      <c r="BC182" s="43">
        <v>3485</v>
      </c>
      <c r="BD182" s="43">
        <v>3571</v>
      </c>
      <c r="BE182" s="43">
        <v>3875</v>
      </c>
      <c r="BF182" s="36">
        <f>SUM(BB182:BE182)</f>
        <v>14855</v>
      </c>
      <c r="BG182" s="43">
        <v>4145</v>
      </c>
      <c r="BH182" s="43">
        <v>3782</v>
      </c>
      <c r="BI182" s="43">
        <v>3810</v>
      </c>
      <c r="BJ182" s="43">
        <v>4165</v>
      </c>
      <c r="BK182" s="36">
        <f>SUM(BG182:BJ182)</f>
        <v>15902</v>
      </c>
      <c r="BL182" s="43">
        <v>4293</v>
      </c>
      <c r="BM182" s="43">
        <v>3982</v>
      </c>
      <c r="BN182" s="43">
        <v>3979</v>
      </c>
      <c r="BO182" s="43">
        <v>2230</v>
      </c>
      <c r="BP182" s="36">
        <f>SUM(BL182:BO182)</f>
        <v>14484</v>
      </c>
      <c r="BQ182" s="43">
        <v>4225</v>
      </c>
      <c r="BR182" s="43">
        <v>4006</v>
      </c>
      <c r="BS182" s="43">
        <v>3564</v>
      </c>
      <c r="BT182" s="43">
        <v>5384</v>
      </c>
      <c r="BU182" s="36">
        <f>SUM(BQ182:BT182)</f>
        <v>17179</v>
      </c>
      <c r="BV182" s="43">
        <v>4879</v>
      </c>
      <c r="BW182" s="43">
        <v>4477</v>
      </c>
      <c r="BX182" s="43">
        <v>3882</v>
      </c>
      <c r="BY182" s="43">
        <v>5115</v>
      </c>
      <c r="BZ182" s="36">
        <f>SUM(BV182:BY182)</f>
        <v>18353</v>
      </c>
      <c r="CA182" s="43">
        <v>5510</v>
      </c>
      <c r="CB182" s="43">
        <v>5830</v>
      </c>
      <c r="CC182" s="43">
        <v>4913</v>
      </c>
      <c r="CD182" s="43">
        <v>5355</v>
      </c>
      <c r="CE182" s="36">
        <f>SUM(CA182:CD182)</f>
        <v>21608</v>
      </c>
      <c r="CF182" s="43">
        <v>5423</v>
      </c>
      <c r="CG182" s="43">
        <v>5625</v>
      </c>
      <c r="CH182" s="43">
        <v>5070</v>
      </c>
      <c r="CI182" s="43">
        <v>5278</v>
      </c>
      <c r="CJ182" s="36">
        <f>SUM(CF182:CI182)</f>
        <v>21396</v>
      </c>
      <c r="CK182" s="43">
        <v>4826</v>
      </c>
      <c r="CL182" s="43">
        <v>5179</v>
      </c>
      <c r="CM182" s="43">
        <v>4864</v>
      </c>
      <c r="CN182" s="43">
        <v>4703</v>
      </c>
      <c r="CO182" s="36">
        <f>SUM(CK182:CN182)</f>
        <v>19572</v>
      </c>
      <c r="CP182" s="43">
        <v>5020</v>
      </c>
      <c r="CQ182" s="43">
        <v>5633</v>
      </c>
      <c r="CR182" s="43">
        <v>5026</v>
      </c>
      <c r="CS182" s="43">
        <v>4832</v>
      </c>
      <c r="CT182" s="36">
        <f>SUM(CP182:CS182)</f>
        <v>20511</v>
      </c>
      <c r="CU182" s="43">
        <v>5127</v>
      </c>
      <c r="CV182" s="43">
        <f>CQ182*(1+CV184)*(1+CV185)</f>
        <v>5050.9340099999999</v>
      </c>
      <c r="CW182" s="43">
        <f>CR182*(1+CW184)*(1+CW185)</f>
        <v>4799.0825999999988</v>
      </c>
      <c r="CX182" s="43">
        <f>CS182*(1+CX184)*(1+CX185)</f>
        <v>4509.502919999999</v>
      </c>
      <c r="CY182" s="36">
        <f>SUM(CU182:CX182)</f>
        <v>19486.519529999998</v>
      </c>
      <c r="CZ182" s="43">
        <f>CU182*(1+CZ184)*(1+CZ185)</f>
        <v>4775.4098099999992</v>
      </c>
      <c r="DA182" s="43">
        <f>CV182*(1+DA184)*(1+DA185)</f>
        <v>4837.1291288999982</v>
      </c>
      <c r="DB182" s="43">
        <f>CW182*(1+DB184)*(1+DB185)</f>
        <v>4671.5671419999981</v>
      </c>
      <c r="DC182" s="43">
        <f>CX182*(1+DC184)*(1+DC185)</f>
        <v>4389.3339395999983</v>
      </c>
      <c r="DD182" s="36">
        <f>SUM(CZ182:DC182)</f>
        <v>18673.440020499995</v>
      </c>
      <c r="DE182" s="43">
        <f>CZ182*(1+DE184)*(1+DE185)</f>
        <v>4775.4098099999992</v>
      </c>
      <c r="DF182" s="43">
        <f>DA182*(1+DF184)*(1+DF185)</f>
        <v>4837.1291288999982</v>
      </c>
      <c r="DG182" s="43">
        <f>DB182*(1+DG184)*(1+DG185)</f>
        <v>4671.5671419999981</v>
      </c>
      <c r="DH182" s="43">
        <f>DC182*(1+DH184)*(1+DH185)</f>
        <v>4389.3339395999983</v>
      </c>
      <c r="DI182" s="36">
        <f>SUM(DE182:DH182)</f>
        <v>18673.440020499995</v>
      </c>
    </row>
    <row r="183" spans="1:113" ht="12" customHeight="1">
      <c r="A183" s="219" t="str">
        <f t="shared" si="364"/>
        <v xml:space="preserve"> </v>
      </c>
      <c r="B183" s="491" t="s">
        <v>171</v>
      </c>
      <c r="C183" s="492"/>
      <c r="D183" s="522"/>
      <c r="E183" s="492"/>
      <c r="F183" s="522"/>
      <c r="G183" s="492"/>
      <c r="H183" s="522"/>
      <c r="I183" s="492"/>
      <c r="J183" s="522"/>
      <c r="K183" s="492"/>
      <c r="L183" s="522"/>
      <c r="M183" s="492"/>
      <c r="N183" s="522"/>
      <c r="O183" s="492"/>
      <c r="P183" s="522"/>
      <c r="Q183" s="492"/>
      <c r="R183" s="378" t="s">
        <v>126</v>
      </c>
      <c r="S183" s="522" t="s">
        <v>126</v>
      </c>
      <c r="T183" s="522" t="s">
        <v>126</v>
      </c>
      <c r="U183" s="522" t="s">
        <v>126</v>
      </c>
      <c r="V183" s="492" t="s">
        <v>126</v>
      </c>
      <c r="W183" s="52">
        <f>+W182/R182-1</f>
        <v>0.1560693641618498</v>
      </c>
      <c r="X183" s="52">
        <f>+X182/S182-1</f>
        <v>0.21457965902410336</v>
      </c>
      <c r="Y183" s="52">
        <f>+Y182/T182-1</f>
        <v>0.170479302832244</v>
      </c>
      <c r="Z183" s="52">
        <f>+Z182/U182-1</f>
        <v>0.13323983169705467</v>
      </c>
      <c r="AA183" s="112">
        <f>+AA182/V182-1</f>
        <v>0.16624884549412844</v>
      </c>
      <c r="AB183" s="112"/>
      <c r="AC183" s="52">
        <f>+AC182/W182-1</f>
        <v>0.30272727272727273</v>
      </c>
      <c r="AD183" s="52">
        <f>+AD182/X182-1</f>
        <v>0.24104549854791868</v>
      </c>
      <c r="AE183" s="52">
        <f>+AE182/Y182-1</f>
        <v>0.27361563517915299</v>
      </c>
      <c r="AF183" s="52">
        <f>+AF182/Z182-1</f>
        <v>0.23391089108910901</v>
      </c>
      <c r="AG183" s="112">
        <f>+AG182/AA182-1</f>
        <v>0.2623599954746012</v>
      </c>
      <c r="AH183" s="52">
        <f t="shared" ref="AH183:BP183" si="541">+AH182/AC182-1</f>
        <v>9.3859036985345368E-2</v>
      </c>
      <c r="AI183" s="52">
        <f t="shared" si="541"/>
        <v>9.2433697347893862E-2</v>
      </c>
      <c r="AJ183" s="52">
        <f t="shared" si="541"/>
        <v>0.12130069419071976</v>
      </c>
      <c r="AK183" s="52">
        <f t="shared" si="541"/>
        <v>0.1013039117352057</v>
      </c>
      <c r="AL183" s="112">
        <f t="shared" si="541"/>
        <v>0.10225846925972393</v>
      </c>
      <c r="AM183" s="52">
        <f t="shared" si="541"/>
        <v>0.12057416267942589</v>
      </c>
      <c r="AN183" s="52">
        <f t="shared" si="541"/>
        <v>0.1570867547304533</v>
      </c>
      <c r="AO183" s="52">
        <f t="shared" si="541"/>
        <v>6.0280221570544246E-2</v>
      </c>
      <c r="AP183" s="52">
        <f t="shared" si="541"/>
        <v>0.13296903460837894</v>
      </c>
      <c r="AQ183" s="112">
        <f t="shared" si="541"/>
        <v>0.11716399707293279</v>
      </c>
      <c r="AR183" s="52">
        <f t="shared" si="541"/>
        <v>8.1411898662112181E-2</v>
      </c>
      <c r="AS183" s="52">
        <f t="shared" si="541"/>
        <v>9.4415303918543581E-2</v>
      </c>
      <c r="AT183" s="52">
        <f t="shared" si="541"/>
        <v>0.13183773816840816</v>
      </c>
      <c r="AU183" s="52">
        <f t="shared" si="541"/>
        <v>8.03858520900258E-4</v>
      </c>
      <c r="AV183" s="112">
        <f t="shared" si="541"/>
        <v>7.4526928675400228E-2</v>
      </c>
      <c r="AW183" s="52">
        <f t="shared" si="541"/>
        <v>6.1068702290076438E-2</v>
      </c>
      <c r="AX183" s="52">
        <f t="shared" si="541"/>
        <v>2.9038624189455797E-2</v>
      </c>
      <c r="AY183" s="52">
        <f t="shared" si="541"/>
        <v>2.6880260657073052E-2</v>
      </c>
      <c r="AZ183" s="52">
        <f t="shared" si="541"/>
        <v>4.8192771084336616E-3</v>
      </c>
      <c r="BA183" s="112">
        <f t="shared" si="541"/>
        <v>3.0615009482525046E-2</v>
      </c>
      <c r="BB183" s="52">
        <f t="shared" si="541"/>
        <v>-2.6544281815926607E-2</v>
      </c>
      <c r="BC183" s="52">
        <f t="shared" si="541"/>
        <v>-4.5205479452054775E-2</v>
      </c>
      <c r="BD183" s="52">
        <f t="shared" si="541"/>
        <v>-5.5790586991010027E-2</v>
      </c>
      <c r="BE183" s="52">
        <f t="shared" si="541"/>
        <v>3.2507327471356318E-2</v>
      </c>
      <c r="BF183" s="112">
        <f t="shared" si="541"/>
        <v>-2.372502628811779E-2</v>
      </c>
      <c r="BG183" s="52">
        <f t="shared" si="541"/>
        <v>5.6320081549439349E-2</v>
      </c>
      <c r="BH183" s="52">
        <f t="shared" si="541"/>
        <v>8.5222381635581046E-2</v>
      </c>
      <c r="BI183" s="52">
        <f t="shared" si="541"/>
        <v>6.6928031363763685E-2</v>
      </c>
      <c r="BJ183" s="52">
        <f t="shared" si="541"/>
        <v>7.4838709677419457E-2</v>
      </c>
      <c r="BK183" s="112">
        <f t="shared" si="541"/>
        <v>7.0481319421070276E-2</v>
      </c>
      <c r="BL183" s="52">
        <f t="shared" si="541"/>
        <v>3.5705669481302715E-2</v>
      </c>
      <c r="BM183" s="52">
        <f t="shared" si="541"/>
        <v>5.2882072977260774E-2</v>
      </c>
      <c r="BN183" s="52">
        <f t="shared" si="541"/>
        <v>4.4356955380577379E-2</v>
      </c>
      <c r="BO183" s="52">
        <f t="shared" si="541"/>
        <v>-0.46458583433373346</v>
      </c>
      <c r="BP183" s="112">
        <f t="shared" si="541"/>
        <v>-8.9171173437303519E-2</v>
      </c>
      <c r="BQ183" s="52">
        <f t="shared" ref="BQ183:BZ183" si="542">+BQ182/BL182-1</f>
        <v>-1.5839739110179329E-2</v>
      </c>
      <c r="BR183" s="52">
        <f t="shared" si="542"/>
        <v>6.0271220492214006E-3</v>
      </c>
      <c r="BS183" s="52">
        <f t="shared" si="542"/>
        <v>-0.10429756220155817</v>
      </c>
      <c r="BT183" s="52">
        <f t="shared" si="542"/>
        <v>1.4143497757847534</v>
      </c>
      <c r="BU183" s="112">
        <f t="shared" si="542"/>
        <v>0.18606738470035911</v>
      </c>
      <c r="BV183" s="52">
        <f t="shared" si="542"/>
        <v>0.15479289940828411</v>
      </c>
      <c r="BW183" s="52">
        <f t="shared" si="542"/>
        <v>0.117573639540689</v>
      </c>
      <c r="BX183" s="52">
        <f t="shared" si="542"/>
        <v>8.9225589225589319E-2</v>
      </c>
      <c r="BY183" s="52">
        <f t="shared" si="542"/>
        <v>-4.9962852897474042E-2</v>
      </c>
      <c r="BZ183" s="112">
        <f t="shared" si="542"/>
        <v>6.8339251411607238E-2</v>
      </c>
      <c r="CA183" s="52">
        <f t="shared" ref="CA183" si="543">+CA182/BV182-1</f>
        <v>0.12932978069276491</v>
      </c>
      <c r="CB183" s="52">
        <f t="shared" ref="CB183:CC183" si="544">+CB182/BW182-1</f>
        <v>0.30221130221130221</v>
      </c>
      <c r="CC183" s="52">
        <f t="shared" si="544"/>
        <v>0.26558475012879956</v>
      </c>
      <c r="CD183" s="52">
        <f t="shared" ref="CD183" si="545">+CD182/BY182-1</f>
        <v>4.692082111436946E-2</v>
      </c>
      <c r="CE183" s="112">
        <f t="shared" ref="CE183" si="546">+CE182/BZ182-1</f>
        <v>0.17735520078461287</v>
      </c>
      <c r="CF183" s="52">
        <f t="shared" ref="CF183" si="547">+CF182/CA182-1</f>
        <v>-1.5789473684210575E-2</v>
      </c>
      <c r="CG183" s="52">
        <f t="shared" ref="CG183:CH183" si="548">+CG182/CB182-1</f>
        <v>-3.5162950257289882E-2</v>
      </c>
      <c r="CH183" s="52">
        <f t="shared" si="548"/>
        <v>3.1956035009159445E-2</v>
      </c>
      <c r="CI183" s="52">
        <f t="shared" ref="CI183" si="549">+CI182/CD182-1</f>
        <v>-1.437908496732021E-2</v>
      </c>
      <c r="CJ183" s="112">
        <f t="shared" ref="CJ183" si="550">+CJ182/CE182-1</f>
        <v>-9.8111810440577596E-3</v>
      </c>
      <c r="CK183" s="52">
        <f t="shared" ref="CK183" si="551">+CK182/CF182-1</f>
        <v>-0.11008666789599852</v>
      </c>
      <c r="CL183" s="52">
        <f>+CL182/CG182-1</f>
        <v>-7.9288888888888853E-2</v>
      </c>
      <c r="CM183" s="52">
        <f t="shared" ref="CM183" si="552">+CM182/CH182-1</f>
        <v>-4.0631163708086837E-2</v>
      </c>
      <c r="CN183" s="52">
        <f t="shared" ref="CN183" si="553">+CN182/CI182-1</f>
        <v>-0.10894278135657443</v>
      </c>
      <c r="CO183" s="112">
        <f t="shared" ref="CO183:CP183" si="554">+CO182/CJ182-1</f>
        <v>-8.5249579360628158E-2</v>
      </c>
      <c r="CP183" s="52">
        <f t="shared" si="554"/>
        <v>4.0198922503108081E-2</v>
      </c>
      <c r="CQ183" s="52">
        <f>+CQ182/CL182-1</f>
        <v>8.7661710754971978E-2</v>
      </c>
      <c r="CR183" s="52">
        <f t="shared" ref="CR183" si="555">+CR182/CM182-1</f>
        <v>3.3305921052631637E-2</v>
      </c>
      <c r="CS183" s="52">
        <f t="shared" ref="CS183" si="556">+CS182/CN182-1</f>
        <v>2.7429300446523586E-2</v>
      </c>
      <c r="CT183" s="112">
        <f t="shared" ref="CT183" si="557">+CT182/CO182-1</f>
        <v>4.7976701410177736E-2</v>
      </c>
      <c r="CU183" s="52">
        <f t="shared" ref="CU183" si="558">+CU182/CP182-1</f>
        <v>2.131474103585651E-2</v>
      </c>
      <c r="CV183" s="52">
        <f t="shared" ref="CV183" si="559">+CV182/CQ182-1</f>
        <v>-0.10333143795490862</v>
      </c>
      <c r="CW183" s="52">
        <f t="shared" ref="CW183" si="560">+CW182/CR182-1</f>
        <v>-4.514870672503013E-2</v>
      </c>
      <c r="CX183" s="52">
        <f t="shared" ref="CX183" si="561">+CX182/CS182-1</f>
        <v>-6.6741945364238608E-2</v>
      </c>
      <c r="CY183" s="112">
        <f t="shared" ref="CY183" si="562">+CY182/CT182-1</f>
        <v>-4.9947855784700956E-2</v>
      </c>
      <c r="CZ183" s="52">
        <f t="shared" ref="CZ183" si="563">+CZ182/CU182-1</f>
        <v>-6.8576202457577673E-2</v>
      </c>
      <c r="DA183" s="52">
        <f t="shared" ref="DA183" si="564">+DA182/CV182-1</f>
        <v>-4.2329771221857992E-2</v>
      </c>
      <c r="DB183" s="52">
        <f t="shared" ref="DB183" si="565">+DB182/CW182-1</f>
        <v>-2.6570798760579994E-2</v>
      </c>
      <c r="DC183" s="52">
        <f t="shared" ref="DC183" si="566">+DC182/CX182-1</f>
        <v>-2.6647943804857466E-2</v>
      </c>
      <c r="DD183" s="112">
        <f t="shared" ref="DD183" si="567">+DD182/CY182-1</f>
        <v>-4.1725230010841385E-2</v>
      </c>
      <c r="DE183" s="52">
        <f t="shared" ref="DE183" si="568">+DE182/CZ182-1</f>
        <v>0</v>
      </c>
      <c r="DF183" s="52">
        <f t="shared" ref="DF183" si="569">+DF182/DA182-1</f>
        <v>0</v>
      </c>
      <c r="DG183" s="52">
        <f t="shared" ref="DG183" si="570">+DG182/DB182-1</f>
        <v>0</v>
      </c>
      <c r="DH183" s="52">
        <f t="shared" ref="DH183" si="571">+DH182/DC182-1</f>
        <v>0</v>
      </c>
      <c r="DI183" s="112">
        <f t="shared" ref="DI183" si="572">+DI182/DD182-1</f>
        <v>0</v>
      </c>
    </row>
    <row r="184" spans="1:113" s="529" customFormat="1" ht="12" customHeight="1">
      <c r="A184" s="219" t="str">
        <f t="shared" si="364"/>
        <v xml:space="preserve"> </v>
      </c>
      <c r="B184" s="526" t="s">
        <v>172</v>
      </c>
      <c r="C184" s="112"/>
      <c r="D184" s="52"/>
      <c r="E184" s="112"/>
      <c r="F184" s="52"/>
      <c r="G184" s="112"/>
      <c r="H184" s="52"/>
      <c r="I184" s="112"/>
      <c r="J184" s="52"/>
      <c r="K184" s="112"/>
      <c r="L184" s="52"/>
      <c r="M184" s="112"/>
      <c r="N184" s="52"/>
      <c r="O184" s="112"/>
      <c r="P184" s="52"/>
      <c r="Q184" s="112"/>
      <c r="R184" s="52">
        <v>0.08</v>
      </c>
      <c r="S184" s="52">
        <v>0.13</v>
      </c>
      <c r="T184" s="52">
        <v>0.09</v>
      </c>
      <c r="U184" s="52">
        <v>0.21</v>
      </c>
      <c r="V184" s="232" t="s">
        <v>126</v>
      </c>
      <c r="W184" s="52">
        <v>0.15</v>
      </c>
      <c r="X184" s="52">
        <v>0.21</v>
      </c>
      <c r="Y184" s="52">
        <v>0.17</v>
      </c>
      <c r="Z184" s="52">
        <v>0.13</v>
      </c>
      <c r="AA184" s="112">
        <f>SUMPRODUCT(W184:Z184,R182:U182)/V182</f>
        <v>0.16266657870431453</v>
      </c>
      <c r="AB184" s="232"/>
      <c r="AC184" s="52">
        <v>0.23</v>
      </c>
      <c r="AD184" s="52">
        <v>0.17</v>
      </c>
      <c r="AE184" s="52">
        <v>0.18</v>
      </c>
      <c r="AF184" s="52">
        <v>0.14000000000000001</v>
      </c>
      <c r="AG184" s="232">
        <v>0.17</v>
      </c>
      <c r="AH184" s="52">
        <v>0.09</v>
      </c>
      <c r="AI184" s="52">
        <v>0.09</v>
      </c>
      <c r="AJ184" s="52">
        <v>0.12</v>
      </c>
      <c r="AK184" s="52">
        <v>0.1</v>
      </c>
      <c r="AL184" s="112">
        <v>0.1</v>
      </c>
      <c r="AM184" s="52">
        <v>0.12</v>
      </c>
      <c r="AN184" s="52">
        <v>0.16</v>
      </c>
      <c r="AO184" s="52">
        <v>0.06</v>
      </c>
      <c r="AP184" s="52">
        <v>0.14000000000000001</v>
      </c>
      <c r="AQ184" s="112">
        <v>0.12</v>
      </c>
      <c r="AR184" s="52">
        <v>0.09</v>
      </c>
      <c r="AS184" s="52">
        <v>0.1</v>
      </c>
      <c r="AT184" s="52">
        <v>0.14000000000000001</v>
      </c>
      <c r="AU184" s="52">
        <v>0</v>
      </c>
      <c r="AV184" s="112">
        <v>0.08</v>
      </c>
      <c r="AW184" s="52">
        <v>0.06</v>
      </c>
      <c r="AX184" s="52">
        <v>0.03</v>
      </c>
      <c r="AY184" s="52">
        <v>0.03</v>
      </c>
      <c r="AZ184" s="52">
        <v>0.01</v>
      </c>
      <c r="BA184" s="112">
        <v>0.03</v>
      </c>
      <c r="BB184" s="52">
        <v>-0.03</v>
      </c>
      <c r="BC184" s="52">
        <v>-0.05</v>
      </c>
      <c r="BD184" s="114">
        <v>-0.06</v>
      </c>
      <c r="BE184" s="114">
        <v>0.03</v>
      </c>
      <c r="BF184" s="113">
        <f>SUMPRODUCT(BB184:BE184,AW182:AZ182)/BA182</f>
        <v>-2.7455310199789699E-2</v>
      </c>
      <c r="BG184" s="114">
        <v>0.06</v>
      </c>
      <c r="BH184" s="114">
        <v>0.09</v>
      </c>
      <c r="BI184" s="114">
        <v>7.0000000000000007E-2</v>
      </c>
      <c r="BJ184" s="114">
        <v>0.08</v>
      </c>
      <c r="BK184" s="113">
        <f>SUMPRODUCT(BG184:BJ184,BB182:BE182)/BF182</f>
        <v>7.4659037361157851E-2</v>
      </c>
      <c r="BL184" s="114">
        <v>0.04</v>
      </c>
      <c r="BM184" s="114">
        <v>0.05</v>
      </c>
      <c r="BN184" s="114">
        <v>0.04</v>
      </c>
      <c r="BO184" s="114">
        <v>-0.46</v>
      </c>
      <c r="BP184" s="113">
        <f>SUMPRODUCT(BL184:BO184,BG182:BJ182)/BK182</f>
        <v>-8.8580052823544198E-2</v>
      </c>
      <c r="BQ184" s="114">
        <v>-0.01</v>
      </c>
      <c r="BR184" s="114">
        <v>0.01</v>
      </c>
      <c r="BS184" s="114">
        <v>-0.11</v>
      </c>
      <c r="BT184" s="114">
        <v>1.41</v>
      </c>
      <c r="BU184" s="113">
        <f>SUMPRODUCT(BQ184:BT184,BL182:BO182)/BP182</f>
        <v>0.18665423916045287</v>
      </c>
      <c r="BV184" s="114">
        <v>0.15</v>
      </c>
      <c r="BW184" s="114">
        <v>0.12</v>
      </c>
      <c r="BX184" s="114">
        <v>0.09</v>
      </c>
      <c r="BY184" s="114">
        <v>-0.05</v>
      </c>
      <c r="BZ184" s="113">
        <f>SUMPRODUCT(BV184:BY184,BQ182:BT182)/BU182</f>
        <v>6.7875312882007099E-2</v>
      </c>
      <c r="CA184" s="114">
        <v>0.13</v>
      </c>
      <c r="CB184" s="114">
        <v>0.31</v>
      </c>
      <c r="CC184" s="114">
        <v>0.27</v>
      </c>
      <c r="CD184" s="114">
        <v>0.05</v>
      </c>
      <c r="CE184" s="113">
        <f>SUMPRODUCT(CA184:CD184,BV182:BY182)/BZ182</f>
        <v>0.18122541273906173</v>
      </c>
      <c r="CF184" s="114">
        <v>-0.01</v>
      </c>
      <c r="CG184" s="114">
        <v>-0.03</v>
      </c>
      <c r="CH184" s="114">
        <v>0.03</v>
      </c>
      <c r="CI184" s="114">
        <v>-0.01</v>
      </c>
      <c r="CJ184" s="113">
        <f>SUMPRODUCT(CF184:CI184,CA182:CD182)/CE182</f>
        <v>-6.3013698630136998E-3</v>
      </c>
      <c r="CK184" s="114">
        <v>-0.11</v>
      </c>
      <c r="CL184" s="114">
        <v>-0.08</v>
      </c>
      <c r="CM184" s="114">
        <v>-0.04</v>
      </c>
      <c r="CN184" s="114">
        <v>-0.11</v>
      </c>
      <c r="CO184" s="113">
        <f>SUMPRODUCT(CK184:CN184,CF182:CI182)/CJ182</f>
        <v>-8.5525799214806505E-2</v>
      </c>
      <c r="CP184" s="114">
        <v>0.04</v>
      </c>
      <c r="CQ184" s="114">
        <v>0.09</v>
      </c>
      <c r="CR184" s="114">
        <v>0.03</v>
      </c>
      <c r="CS184" s="114">
        <v>0.03</v>
      </c>
      <c r="CT184" s="113">
        <f>SUMPRODUCT(CP184:CS184,CK182:CN182)/CO182</f>
        <v>4.8342530145105249E-2</v>
      </c>
      <c r="CU184" s="114">
        <v>0.02</v>
      </c>
      <c r="CV184" s="114">
        <f>SUM(CQ187*(1+CV189),CQ194*(1+CV196),CQ201*(1+CV203))/SUM(CQ187,CQ194,CQ201)-1</f>
        <v>-0.10243387182673536</v>
      </c>
      <c r="CW184" s="114">
        <f>SUM(CR187*(1+CW189),CR194*(1+CW196),CR201*(1+CW203))/SUM(CR187,CR194,CR201)-1</f>
        <v>-4.3235177079188447E-2</v>
      </c>
      <c r="CX184" s="114">
        <f>SUM(CS187*(1+CX189),CS194*(1+CX196),CS201*(1+CX203))/SUM(CS187,CS194,CS201)-1</f>
        <v>-6.4871688741722E-2</v>
      </c>
      <c r="CY184" s="113">
        <f>SUMPRODUCT(CU184:CX184,CP182:CS182)/CT182</f>
        <v>-4.9113646336112433E-2</v>
      </c>
      <c r="CZ184" s="114">
        <f>SUM(CU187*(1+CZ189),CU194*(1+CZ196),CU201*(1+CZ203))/SUM(CU187,CU194,CU201)-1</f>
        <v>-6.7643846303881539E-2</v>
      </c>
      <c r="DA184" s="114">
        <f>SUM(CV187*(1+DA189),CV194*(1+DA196),CV201*(1+DA203))/SUM(CV187,CV194,CV201)-1</f>
        <v>-4.2329771221857992E-2</v>
      </c>
      <c r="DB184" s="114">
        <f>SUM(CW187*(1+DB189),CW194*(1+DB196),CW201*(1+DB203))/SUM(CW187,CW194,CW201)-1</f>
        <v>-2.6570798760579994E-2</v>
      </c>
      <c r="DC184" s="114">
        <f>SUM(CX187*(1+DC189),CX194*(1+DC196),CX201*(1+DC203))/SUM(CX187,CX194,CX201)-1</f>
        <v>-2.6647943804857466E-2</v>
      </c>
      <c r="DD184" s="113">
        <f>SUMPRODUCT(CZ184:DC184,CU182:CX182)/CY182</f>
        <v>-4.1479922479517518E-2</v>
      </c>
      <c r="DE184" s="114">
        <f>SUM(CZ187*(1+DE189),CZ194*(1+DE196),CZ201*(1+DE203))/SUM(CZ187,CZ194,CZ201)-1</f>
        <v>0</v>
      </c>
      <c r="DF184" s="114">
        <f>SUM(DA187*(1+DF189),DA194*(1+DF196),DA201*(1+DF203))/SUM(DA187,DA194,DA201)-1</f>
        <v>0</v>
      </c>
      <c r="DG184" s="114">
        <f>SUM(DB187*(1+DG189),DB194*(1+DG196),DB201*(1+DG203))/SUM(DB187,DB194,DB201)-1</f>
        <v>0</v>
      </c>
      <c r="DH184" s="114">
        <f>SUM(DC187*(1+DH189),DC194*(1+DH196),DC201*(1+DH203))/SUM(DC187,DC194,DC201)-1</f>
        <v>0</v>
      </c>
      <c r="DI184" s="113">
        <f>SUMPRODUCT(DE184:DH184,CZ182:DC182)/DD182</f>
        <v>0</v>
      </c>
    </row>
    <row r="185" spans="1:113" ht="12" customHeight="1">
      <c r="A185" s="219" t="str">
        <f t="shared" si="364"/>
        <v xml:space="preserve"> </v>
      </c>
      <c r="B185" s="491" t="s">
        <v>141</v>
      </c>
      <c r="C185" s="492"/>
      <c r="D185" s="522"/>
      <c r="E185" s="492"/>
      <c r="F185" s="522"/>
      <c r="G185" s="492"/>
      <c r="H185" s="522"/>
      <c r="I185" s="492"/>
      <c r="J185" s="522"/>
      <c r="K185" s="492"/>
      <c r="L185" s="522"/>
      <c r="M185" s="492"/>
      <c r="N185" s="522"/>
      <c r="O185" s="492"/>
      <c r="P185" s="522"/>
      <c r="Q185" s="492"/>
      <c r="R185" s="399" t="s">
        <v>126</v>
      </c>
      <c r="S185" s="376" t="s">
        <v>126</v>
      </c>
      <c r="T185" s="376" t="s">
        <v>126</v>
      </c>
      <c r="U185" s="376" t="s">
        <v>126</v>
      </c>
      <c r="V185" s="375" t="s">
        <v>126</v>
      </c>
      <c r="W185" s="52">
        <f>(1+W183)/(1+W184)-1</f>
        <v>5.2777079668260285E-3</v>
      </c>
      <c r="X185" s="52">
        <f>(1+X183)/(1+X184)-1</f>
        <v>3.78484216868058E-3</v>
      </c>
      <c r="Y185" s="52">
        <f>(1+Y183)/(1+Y184)-1</f>
        <v>4.0966054037960831E-4</v>
      </c>
      <c r="Z185" s="52">
        <f>(1+Z183)/(1+Z184)-1</f>
        <v>2.8671076965085529E-3</v>
      </c>
      <c r="AA185" s="391" t="s">
        <v>126</v>
      </c>
      <c r="AB185" s="391"/>
      <c r="AC185" s="52">
        <f t="shared" ref="AC185:BS185" si="573">(1+AC183)/(1+AC184)-1</f>
        <v>5.9127864005912745E-2</v>
      </c>
      <c r="AD185" s="52">
        <f t="shared" si="573"/>
        <v>6.0722648331554385E-2</v>
      </c>
      <c r="AE185" s="52">
        <f t="shared" si="573"/>
        <v>7.9335284050129795E-2</v>
      </c>
      <c r="AF185" s="52">
        <f t="shared" si="573"/>
        <v>8.2377974639569196E-2</v>
      </c>
      <c r="AG185" s="232">
        <f t="shared" si="573"/>
        <v>7.8940167072308887E-2</v>
      </c>
      <c r="AH185" s="52">
        <f t="shared" si="573"/>
        <v>3.5404009039865514E-3</v>
      </c>
      <c r="AI185" s="52">
        <f t="shared" si="573"/>
        <v>2.232749860453076E-3</v>
      </c>
      <c r="AJ185" s="52">
        <f t="shared" si="573"/>
        <v>1.16133409885677E-3</v>
      </c>
      <c r="AK185" s="52">
        <f t="shared" si="573"/>
        <v>1.1853743047323118E-3</v>
      </c>
      <c r="AL185" s="232">
        <f t="shared" si="573"/>
        <v>2.0531538724761766E-3</v>
      </c>
      <c r="AM185" s="52">
        <f t="shared" si="573"/>
        <v>5.1264524948724244E-4</v>
      </c>
      <c r="AN185" s="52">
        <f t="shared" si="573"/>
        <v>-2.5114183358160291E-3</v>
      </c>
      <c r="AO185" s="52">
        <f t="shared" si="573"/>
        <v>2.6435997221141427E-4</v>
      </c>
      <c r="AP185" s="52">
        <f t="shared" si="573"/>
        <v>-6.1675135014220839E-3</v>
      </c>
      <c r="AQ185" s="232">
        <f t="shared" si="573"/>
        <v>-2.5321454705957702E-3</v>
      </c>
      <c r="AR185" s="52">
        <f t="shared" si="573"/>
        <v>-7.8789920531081581E-3</v>
      </c>
      <c r="AS185" s="52">
        <f t="shared" si="573"/>
        <v>-5.0769964376877752E-3</v>
      </c>
      <c r="AT185" s="52">
        <f t="shared" si="573"/>
        <v>-7.1598787996420832E-3</v>
      </c>
      <c r="AU185" s="52">
        <f t="shared" si="573"/>
        <v>8.03858520900258E-4</v>
      </c>
      <c r="AV185" s="232">
        <f t="shared" si="573"/>
        <v>-5.0676586338886942E-3</v>
      </c>
      <c r="AW185" s="52">
        <f t="shared" si="573"/>
        <v>1.0082097076191676E-3</v>
      </c>
      <c r="AX185" s="52">
        <f t="shared" si="573"/>
        <v>-9.333745733438592E-4</v>
      </c>
      <c r="AY185" s="52">
        <f t="shared" si="573"/>
        <v>-3.0288731484727771E-3</v>
      </c>
      <c r="AZ185" s="52">
        <f t="shared" si="573"/>
        <v>-5.1294286055112437E-3</v>
      </c>
      <c r="BA185" s="232">
        <f t="shared" si="573"/>
        <v>5.9709658497575369E-4</v>
      </c>
      <c r="BB185" s="52">
        <f t="shared" si="573"/>
        <v>3.5625960660550238E-3</v>
      </c>
      <c r="BC185" s="52">
        <f t="shared" si="573"/>
        <v>5.0468637346792189E-3</v>
      </c>
      <c r="BD185" s="52">
        <f t="shared" si="573"/>
        <v>4.4780989457340326E-3</v>
      </c>
      <c r="BE185" s="52">
        <f t="shared" si="573"/>
        <v>2.4342985158798403E-3</v>
      </c>
      <c r="BF185" s="112">
        <f>SUMPRODUCT(BB185:BE185,AW182:AZ182)/BA182</f>
        <v>3.8679002311192228E-3</v>
      </c>
      <c r="BG185" s="52">
        <f t="shared" si="573"/>
        <v>-3.4716211797742869E-3</v>
      </c>
      <c r="BH185" s="52">
        <f t="shared" si="573"/>
        <v>-4.3831361141458691E-3</v>
      </c>
      <c r="BI185" s="52">
        <f t="shared" si="573"/>
        <v>-2.8709987254545988E-3</v>
      </c>
      <c r="BJ185" s="52">
        <f t="shared" si="573"/>
        <v>-4.7789725209079759E-3</v>
      </c>
      <c r="BK185" s="112">
        <f>SUMPRODUCT(BG185:BJ185,BB182:BE182)/BF182</f>
        <v>-3.8821087737697362E-3</v>
      </c>
      <c r="BL185" s="114">
        <f t="shared" si="573"/>
        <v>-4.1291639602858421E-3</v>
      </c>
      <c r="BM185" s="114">
        <f t="shared" si="573"/>
        <v>2.7448314069149493E-3</v>
      </c>
      <c r="BN185" s="114">
        <f t="shared" si="573"/>
        <v>4.189380173632129E-3</v>
      </c>
      <c r="BO185" s="114">
        <f t="shared" si="573"/>
        <v>-8.4922858032101534E-3</v>
      </c>
      <c r="BP185" s="112">
        <f>SUMPRODUCT(BL185:BO185,BG182:BJ182)/BK182</f>
        <v>-1.6440236538337537E-3</v>
      </c>
      <c r="BQ185" s="114">
        <f t="shared" si="573"/>
        <v>-5.8987263739185281E-3</v>
      </c>
      <c r="BR185" s="114">
        <f t="shared" si="573"/>
        <v>-3.9335425255233591E-3</v>
      </c>
      <c r="BS185" s="114">
        <f t="shared" si="573"/>
        <v>6.4072334813953802E-3</v>
      </c>
      <c r="BT185" s="114">
        <v>5.1483732462029533E-3</v>
      </c>
      <c r="BU185" s="112">
        <f>SUMPRODUCT(BQ185:BT185,BL182:BO182)/BP182</f>
        <v>-2.7695003440772286E-4</v>
      </c>
      <c r="BV185" s="114">
        <f t="shared" ref="BV185:BY185" si="574">(1+BV183)/(1+BV184)-1</f>
        <v>4.1677386158993635E-3</v>
      </c>
      <c r="BW185" s="114">
        <f t="shared" si="574"/>
        <v>-2.166393267242106E-3</v>
      </c>
      <c r="BX185" s="114">
        <f t="shared" si="574"/>
        <v>-7.1046860037682347E-4</v>
      </c>
      <c r="BY185" s="114">
        <f t="shared" si="574"/>
        <v>3.9102213185371326E-5</v>
      </c>
      <c r="BZ185" s="112">
        <f>SUMPRODUCT(BV185:BY185,BQ182:BT182)/BU182</f>
        <v>3.8468714405087451E-4</v>
      </c>
      <c r="CA185" s="114">
        <f t="shared" ref="CA185:CU185" si="575">(1+CA183)/(1+CA184)-1</f>
        <v>-5.9311443118137408E-4</v>
      </c>
      <c r="CB185" s="114">
        <f t="shared" si="575"/>
        <v>-5.9455708310670596E-3</v>
      </c>
      <c r="CC185" s="114">
        <f t="shared" si="575"/>
        <v>-3.476574701732682E-3</v>
      </c>
      <c r="CD185" s="114">
        <f t="shared" si="575"/>
        <v>-2.9325513196482023E-3</v>
      </c>
      <c r="CE185" s="112">
        <f>SUMPRODUCT(CA185:CD185,BV182:BY182)/BZ182</f>
        <v>-3.1606924705796318E-3</v>
      </c>
      <c r="CF185" s="114">
        <f t="shared" si="575"/>
        <v>-5.8479532163743242E-3</v>
      </c>
      <c r="CG185" s="114">
        <f t="shared" si="575"/>
        <v>-5.3226291312266083E-3</v>
      </c>
      <c r="CH185" s="114">
        <f t="shared" si="575"/>
        <v>1.8990631156887705E-3</v>
      </c>
      <c r="CI185" s="114">
        <f t="shared" si="575"/>
        <v>-4.4233181488082529E-3</v>
      </c>
      <c r="CJ185" s="112">
        <f>SUMPRODUCT(CF185:CI185,CA182:CD182)/CE182</f>
        <v>-3.5917216612718862E-3</v>
      </c>
      <c r="CK185" s="114">
        <f t="shared" si="575"/>
        <v>-9.7379658425378324E-5</v>
      </c>
      <c r="CL185" s="114">
        <f t="shared" si="575"/>
        <v>7.7294685990336731E-4</v>
      </c>
      <c r="CM185" s="114">
        <f t="shared" si="575"/>
        <v>-6.5746219592377475E-4</v>
      </c>
      <c r="CN185" s="114">
        <f t="shared" si="575"/>
        <v>1.1878861162084586E-3</v>
      </c>
      <c r="CO185" s="112">
        <f>SUMPRODUCT(CK185:CN185,CF182:CI182)/CJ182</f>
        <v>3.1576302988083386E-4</v>
      </c>
      <c r="CP185" s="114">
        <f t="shared" si="575"/>
        <v>1.9127163760379595E-4</v>
      </c>
      <c r="CQ185" s="114">
        <f t="shared" si="575"/>
        <v>-2.1452194908514466E-3</v>
      </c>
      <c r="CR185" s="114">
        <f t="shared" si="575"/>
        <v>3.2096320899335229E-3</v>
      </c>
      <c r="CS185" s="114">
        <f t="shared" si="575"/>
        <v>-2.4958248092004087E-3</v>
      </c>
      <c r="CT185" s="112">
        <f>SUMPRODUCT(CP185:CS185,CK182:CN182)/CO182</f>
        <v>-3.2256429656021807E-4</v>
      </c>
      <c r="CU185" s="114">
        <f t="shared" si="575"/>
        <v>1.2889617998592673E-3</v>
      </c>
      <c r="CV185" s="53">
        <v>-1E-3</v>
      </c>
      <c r="CW185" s="53">
        <v>-2E-3</v>
      </c>
      <c r="CX185" s="53">
        <v>-2E-3</v>
      </c>
      <c r="CY185" s="112">
        <f>SUMPRODUCT(CU185:CX185,CP182:CS182)/CT182</f>
        <v>-9.2040425940746317E-4</v>
      </c>
      <c r="CZ185" s="53">
        <v>-1E-3</v>
      </c>
      <c r="DA185" s="53">
        <v>0</v>
      </c>
      <c r="DB185" s="53">
        <v>0</v>
      </c>
      <c r="DC185" s="53">
        <v>0</v>
      </c>
      <c r="DD185" s="112">
        <f>SUMPRODUCT(CZ185:DC185,CU182:CX182)/CY182</f>
        <v>-2.6310496300310847E-4</v>
      </c>
      <c r="DE185" s="53">
        <v>0</v>
      </c>
      <c r="DF185" s="53">
        <v>0</v>
      </c>
      <c r="DG185" s="53">
        <v>0</v>
      </c>
      <c r="DH185" s="53">
        <v>0</v>
      </c>
      <c r="DI185" s="112">
        <f>SUMPRODUCT(DE185:DH185,CZ182:DC182)/DD182</f>
        <v>0</v>
      </c>
    </row>
    <row r="186" spans="1:113" ht="12" customHeight="1">
      <c r="A186" s="219"/>
      <c r="B186" s="17"/>
      <c r="C186" s="79"/>
      <c r="D186" s="6"/>
      <c r="E186" s="79"/>
      <c r="F186" s="6"/>
      <c r="G186" s="79"/>
      <c r="H186" s="6"/>
      <c r="I186" s="79"/>
      <c r="J186" s="6"/>
      <c r="K186" s="79"/>
      <c r="L186" s="6"/>
      <c r="M186" s="79"/>
      <c r="N186" s="6"/>
      <c r="O186" s="79"/>
      <c r="P186" s="6"/>
      <c r="Q186" s="79"/>
      <c r="R186" s="6"/>
      <c r="S186" s="6"/>
      <c r="T186" s="6"/>
      <c r="U186" s="6"/>
      <c r="V186" s="79"/>
      <c r="W186" s="6"/>
      <c r="X186" s="6"/>
      <c r="Y186" s="6"/>
      <c r="Z186" s="6"/>
      <c r="AA186" s="79"/>
      <c r="AB186" s="79"/>
      <c r="AC186" s="6"/>
      <c r="AD186" s="6"/>
      <c r="AE186" s="6"/>
      <c r="AF186" s="6"/>
      <c r="AG186" s="79"/>
      <c r="AH186" s="6"/>
      <c r="AI186" s="6"/>
      <c r="AJ186" s="6"/>
      <c r="AK186" s="6"/>
      <c r="AL186" s="79"/>
      <c r="AM186" s="6"/>
      <c r="AN186" s="6"/>
      <c r="AO186" s="6"/>
      <c r="AP186" s="6"/>
      <c r="AQ186" s="79"/>
      <c r="AR186" s="6"/>
      <c r="AS186" s="6"/>
      <c r="AT186" s="6"/>
      <c r="AU186" s="6"/>
      <c r="AV186" s="79"/>
      <c r="AW186" s="6"/>
      <c r="AX186" s="6"/>
      <c r="AY186" s="6"/>
      <c r="AZ186" s="6"/>
      <c r="BA186" s="79"/>
      <c r="BB186" s="6"/>
      <c r="BC186" s="6"/>
      <c r="BD186" s="6"/>
      <c r="BE186" s="49"/>
      <c r="BF186" s="79"/>
      <c r="BG186" s="49"/>
      <c r="BH186" s="49"/>
      <c r="BI186" s="49"/>
      <c r="BJ186" s="49"/>
      <c r="BK186" s="79"/>
      <c r="BL186" s="49"/>
      <c r="BM186" s="49"/>
      <c r="BN186" s="231"/>
      <c r="BO186" s="231"/>
      <c r="BP186" s="580"/>
      <c r="BQ186" s="231"/>
      <c r="BR186" s="231"/>
      <c r="BS186" s="231"/>
      <c r="BT186" s="24"/>
      <c r="BU186" s="580"/>
      <c r="BV186" s="6"/>
      <c r="BW186" s="6"/>
      <c r="BX186" s="6"/>
      <c r="BY186" s="376"/>
      <c r="BZ186" s="79"/>
      <c r="CA186" s="376"/>
      <c r="CB186" s="376"/>
      <c r="CC186" s="49"/>
      <c r="CD186" s="49"/>
      <c r="CE186" s="79"/>
      <c r="CF186" s="49"/>
      <c r="CG186" s="49"/>
      <c r="CH186" s="49"/>
      <c r="CI186" s="49"/>
      <c r="CJ186" s="79"/>
      <c r="CK186" s="49"/>
      <c r="CL186" s="49"/>
      <c r="CM186" s="49"/>
      <c r="CN186" s="49"/>
      <c r="CO186" s="79"/>
      <c r="CP186" s="49"/>
      <c r="CQ186" s="231"/>
      <c r="CR186" s="49"/>
      <c r="CS186" s="49"/>
      <c r="CT186" s="79"/>
      <c r="CU186" s="24"/>
      <c r="CV186" s="49"/>
      <c r="CW186" s="49"/>
      <c r="CX186" s="49"/>
      <c r="CY186" s="79"/>
      <c r="CZ186" s="49"/>
      <c r="DA186" s="49"/>
      <c r="DB186" s="49"/>
      <c r="DC186" s="49"/>
      <c r="DD186" s="79"/>
      <c r="DE186" s="49"/>
      <c r="DF186" s="49"/>
      <c r="DG186" s="49"/>
      <c r="DH186" s="49"/>
      <c r="DI186" s="79"/>
    </row>
    <row r="187" spans="1:113" s="7" customFormat="1" ht="12" hidden="1" customHeight="1" outlineLevel="1">
      <c r="A187" s="239" t="str">
        <f t="shared" si="364"/>
        <v xml:space="preserve"> </v>
      </c>
      <c r="B187" s="20" t="s">
        <v>95</v>
      </c>
      <c r="C187" s="36"/>
      <c r="D187" s="43"/>
      <c r="E187" s="36"/>
      <c r="F187" s="43"/>
      <c r="G187" s="36"/>
      <c r="H187" s="43"/>
      <c r="I187" s="36"/>
      <c r="J187" s="43"/>
      <c r="K187" s="36"/>
      <c r="L187" s="43"/>
      <c r="M187" s="36"/>
      <c r="N187" s="43"/>
      <c r="O187" s="36"/>
      <c r="P187" s="43"/>
      <c r="Q187" s="36"/>
      <c r="R187" s="43">
        <v>1289</v>
      </c>
      <c r="S187" s="43">
        <v>1083</v>
      </c>
      <c r="T187" s="43">
        <v>1275</v>
      </c>
      <c r="U187" s="43">
        <v>1464</v>
      </c>
      <c r="V187" s="36">
        <f>SUM(R187:U187)</f>
        <v>5111</v>
      </c>
      <c r="W187" s="43">
        <v>1443</v>
      </c>
      <c r="X187" s="43">
        <v>1306</v>
      </c>
      <c r="Y187" s="43">
        <v>1470</v>
      </c>
      <c r="Z187" s="43">
        <v>1668</v>
      </c>
      <c r="AA187" s="36">
        <f>SUM(W187:Z187)</f>
        <v>5887</v>
      </c>
      <c r="AB187" s="36"/>
      <c r="AC187" s="43">
        <v>1745</v>
      </c>
      <c r="AD187" s="43">
        <v>1480</v>
      </c>
      <c r="AE187" s="43">
        <v>1708</v>
      </c>
      <c r="AF187" s="43">
        <v>1818</v>
      </c>
      <c r="AG187" s="36">
        <f>SUM(AC187:AF187)</f>
        <v>6751</v>
      </c>
      <c r="AH187" s="43">
        <v>1904</v>
      </c>
      <c r="AI187" s="43">
        <v>1627</v>
      </c>
      <c r="AJ187" s="43">
        <v>1928</v>
      </c>
      <c r="AK187" s="43">
        <v>2036</v>
      </c>
      <c r="AL187" s="36">
        <f>SUM(AH187:AK187)</f>
        <v>7495</v>
      </c>
      <c r="AM187" s="43">
        <v>2183</v>
      </c>
      <c r="AN187" s="43">
        <v>1925</v>
      </c>
      <c r="AO187" s="43">
        <v>2081</v>
      </c>
      <c r="AP187" s="43">
        <v>2317</v>
      </c>
      <c r="AQ187" s="36">
        <f>SUM(AM187:AP187)</f>
        <v>8506</v>
      </c>
      <c r="AR187" s="43">
        <v>2366</v>
      </c>
      <c r="AS187" s="43">
        <v>2162</v>
      </c>
      <c r="AT187" s="43">
        <v>2404</v>
      </c>
      <c r="AU187" s="43">
        <v>2367</v>
      </c>
      <c r="AV187" s="36">
        <f>SUM(AR187:AU187)</f>
        <v>9299</v>
      </c>
      <c r="AW187" s="43">
        <v>2518</v>
      </c>
      <c r="AX187" s="43">
        <v>2219</v>
      </c>
      <c r="AY187" s="43">
        <v>2490</v>
      </c>
      <c r="AZ187" s="43">
        <v>2457</v>
      </c>
      <c r="BA187" s="36">
        <f>SUM(AW187:AZ187)</f>
        <v>9684</v>
      </c>
      <c r="BB187" s="43">
        <v>2434</v>
      </c>
      <c r="BC187" s="43">
        <v>2070</v>
      </c>
      <c r="BD187" s="43">
        <v>2293</v>
      </c>
      <c r="BE187" s="43">
        <v>2525</v>
      </c>
      <c r="BF187" s="36">
        <f>SUM(BB187:BE187)</f>
        <v>9322</v>
      </c>
      <c r="BG187" s="43">
        <v>2555</v>
      </c>
      <c r="BH187" s="43">
        <v>2245</v>
      </c>
      <c r="BI187" s="43">
        <v>2509</v>
      </c>
      <c r="BJ187" s="43">
        <v>2736</v>
      </c>
      <c r="BK187" s="36">
        <f>SUM(BG187:BJ187)</f>
        <v>10045</v>
      </c>
      <c r="BL187" s="43">
        <v>2669</v>
      </c>
      <c r="BM187" s="43">
        <v>2426</v>
      </c>
      <c r="BN187" s="43">
        <v>2628</v>
      </c>
      <c r="BO187" s="43">
        <v>1606</v>
      </c>
      <c r="BP187" s="36">
        <f>SUM(BL187:BO187)</f>
        <v>9329</v>
      </c>
      <c r="BQ187" s="43">
        <v>2957</v>
      </c>
      <c r="BR187" s="43">
        <v>2512</v>
      </c>
      <c r="BS187" s="43">
        <v>2382</v>
      </c>
      <c r="BT187" s="43">
        <v>3793</v>
      </c>
      <c r="BU187" s="36">
        <f>SUM(BQ187:BT187)</f>
        <v>11644</v>
      </c>
      <c r="BV187" s="43">
        <v>3264</v>
      </c>
      <c r="BW187" s="43">
        <v>2852</v>
      </c>
      <c r="BX187" s="43">
        <v>2532</v>
      </c>
      <c r="BY187" s="43">
        <v>3580</v>
      </c>
      <c r="BZ187" s="36">
        <f>SUM(BV187:BY187)</f>
        <v>12228</v>
      </c>
      <c r="CA187" s="43">
        <v>3805</v>
      </c>
      <c r="CB187" s="43">
        <v>3963</v>
      </c>
      <c r="CC187" s="43">
        <v>3322</v>
      </c>
      <c r="CD187" s="43">
        <v>3807</v>
      </c>
      <c r="CE187" s="36">
        <f>SUM(CA187:CD187)</f>
        <v>14897</v>
      </c>
      <c r="CF187" s="43">
        <v>3733</v>
      </c>
      <c r="CG187" s="43">
        <v>3757</v>
      </c>
      <c r="CH187" s="43">
        <v>3460</v>
      </c>
      <c r="CI187" s="43">
        <v>3587</v>
      </c>
      <c r="CJ187" s="36">
        <f>SUM(CF187:CI187)</f>
        <v>14537</v>
      </c>
      <c r="CK187" s="43">
        <v>3212</v>
      </c>
      <c r="CL187" s="43">
        <v>3236</v>
      </c>
      <c r="CM187" s="369">
        <v>3132</v>
      </c>
      <c r="CN187" s="43">
        <v>3104</v>
      </c>
      <c r="CO187" s="36">
        <f>SUM(CK187:CN187)</f>
        <v>12684</v>
      </c>
      <c r="CP187" s="43">
        <v>3219</v>
      </c>
      <c r="CQ187" s="43">
        <v>3542</v>
      </c>
      <c r="CR187" s="43">
        <v>3326</v>
      </c>
      <c r="CS187" s="43">
        <v>3230</v>
      </c>
      <c r="CT187" s="36">
        <f>SUM(CP187:CS187)</f>
        <v>13317</v>
      </c>
      <c r="CU187" s="369">
        <v>3259</v>
      </c>
      <c r="CV187" s="43">
        <f>CQ187*(1+CV189)*(1+CV192)</f>
        <v>3113.8430400000002</v>
      </c>
      <c r="CW187" s="43">
        <f>CR187*(1+CW189)*(1+CW192)</f>
        <v>3153.3806</v>
      </c>
      <c r="CX187" s="43">
        <f>CS187*(1+CX189)*(1+CX192)</f>
        <v>2997.8921999999998</v>
      </c>
      <c r="CY187" s="36">
        <f>SUM(CU187:CX187)</f>
        <v>12524.11584</v>
      </c>
      <c r="CZ187" s="43">
        <f>CU187*(1+CZ189)*(1+CZ192)</f>
        <v>3027.8391299999998</v>
      </c>
      <c r="DA187" s="43">
        <f>CV187*(1+DA189)*(1+DA192)</f>
        <v>2958.1508880000001</v>
      </c>
      <c r="DB187" s="43">
        <f>CW187*(1+DB189)*(1+DB192)</f>
        <v>3058.7791819999998</v>
      </c>
      <c r="DC187" s="43">
        <f>CX187*(1+DC189)*(1+DC192)</f>
        <v>2907.9554339999995</v>
      </c>
      <c r="DD187" s="36">
        <f>SUM(CZ187:DC187)</f>
        <v>11952.724634</v>
      </c>
      <c r="DE187" s="43">
        <f>CZ187*(1+DE189)*(1+DE192)</f>
        <v>3027.8391299999998</v>
      </c>
      <c r="DF187" s="43">
        <f>DA187*(1+DF189)*(1+DF192)</f>
        <v>2958.1508880000001</v>
      </c>
      <c r="DG187" s="43">
        <f>DB187*(1+DG189)*(1+DG192)</f>
        <v>3058.7791819999998</v>
      </c>
      <c r="DH187" s="43">
        <f>DC187*(1+DH189)*(1+DH192)</f>
        <v>2907.9554339999995</v>
      </c>
      <c r="DI187" s="36">
        <f>SUM(DE187:DH187)</f>
        <v>11952.724634</v>
      </c>
    </row>
    <row r="188" spans="1:113" ht="12" hidden="1" customHeight="1" outlineLevel="1">
      <c r="A188" s="219" t="str">
        <f t="shared" si="364"/>
        <v xml:space="preserve"> </v>
      </c>
      <c r="B188" s="491" t="s">
        <v>171</v>
      </c>
      <c r="C188" s="492"/>
      <c r="D188" s="522"/>
      <c r="E188" s="492"/>
      <c r="F188" s="522"/>
      <c r="G188" s="492"/>
      <c r="H188" s="522"/>
      <c r="I188" s="492"/>
      <c r="J188" s="522"/>
      <c r="K188" s="492"/>
      <c r="L188" s="522"/>
      <c r="M188" s="492"/>
      <c r="N188" s="522"/>
      <c r="O188" s="492"/>
      <c r="P188" s="522"/>
      <c r="Q188" s="492"/>
      <c r="R188" s="378" t="s">
        <v>126</v>
      </c>
      <c r="S188" s="522" t="s">
        <v>126</v>
      </c>
      <c r="T188" s="522" t="s">
        <v>126</v>
      </c>
      <c r="U188" s="522" t="s">
        <v>126</v>
      </c>
      <c r="V188" s="492" t="s">
        <v>126</v>
      </c>
      <c r="W188" s="52">
        <f>+W187/R187-1</f>
        <v>0.11947245927075256</v>
      </c>
      <c r="X188" s="52">
        <f>+X187/S187-1</f>
        <v>0.20590951061865193</v>
      </c>
      <c r="Y188" s="52">
        <f>+Y187/T187-1</f>
        <v>0.15294117647058814</v>
      </c>
      <c r="Z188" s="52">
        <f>+Z187/U187-1</f>
        <v>0.13934426229508201</v>
      </c>
      <c r="AA188" s="112">
        <f>+AA187/V187-1</f>
        <v>0.15182938759538245</v>
      </c>
      <c r="AB188" s="112"/>
      <c r="AC188" s="52">
        <f>+AC187/W187-1</f>
        <v>0.20928620928620933</v>
      </c>
      <c r="AD188" s="52">
        <f>+AD187/X187-1</f>
        <v>0.13323124042879031</v>
      </c>
      <c r="AE188" s="52">
        <f>+AE187/Y187-1</f>
        <v>0.161904761904762</v>
      </c>
      <c r="AF188" s="52">
        <f>+AF187/Z187-1</f>
        <v>8.9928057553956942E-2</v>
      </c>
      <c r="AG188" s="112">
        <f>+AG187/AA187-1</f>
        <v>0.14676405639544754</v>
      </c>
      <c r="AH188" s="52">
        <f t="shared" ref="AH188:BP188" si="576">+AH187/AC187-1</f>
        <v>9.1117478510028604E-2</v>
      </c>
      <c r="AI188" s="52">
        <f t="shared" si="576"/>
        <v>9.9324324324324254E-2</v>
      </c>
      <c r="AJ188" s="52">
        <f t="shared" si="576"/>
        <v>0.12880562060889922</v>
      </c>
      <c r="AK188" s="52">
        <f t="shared" si="576"/>
        <v>0.11991199119911999</v>
      </c>
      <c r="AL188" s="112">
        <f t="shared" si="576"/>
        <v>0.11020589542290038</v>
      </c>
      <c r="AM188" s="52">
        <f t="shared" si="576"/>
        <v>0.14653361344537807</v>
      </c>
      <c r="AN188" s="52">
        <f t="shared" si="576"/>
        <v>0.18315918869084213</v>
      </c>
      <c r="AO188" s="52">
        <f t="shared" si="576"/>
        <v>7.9356846473028986E-2</v>
      </c>
      <c r="AP188" s="52">
        <f t="shared" si="576"/>
        <v>0.13801571709233795</v>
      </c>
      <c r="AQ188" s="112">
        <f t="shared" si="576"/>
        <v>0.13488992661774524</v>
      </c>
      <c r="AR188" s="52">
        <f t="shared" si="576"/>
        <v>8.3829592304168532E-2</v>
      </c>
      <c r="AS188" s="52">
        <f t="shared" si="576"/>
        <v>0.12311688311688318</v>
      </c>
      <c r="AT188" s="52">
        <f t="shared" si="576"/>
        <v>0.15521383950024026</v>
      </c>
      <c r="AU188" s="52">
        <f t="shared" si="576"/>
        <v>2.1579628830384223E-2</v>
      </c>
      <c r="AV188" s="112">
        <f t="shared" si="576"/>
        <v>9.3228309428638578E-2</v>
      </c>
      <c r="AW188" s="52">
        <f t="shared" si="576"/>
        <v>6.4243448858833485E-2</v>
      </c>
      <c r="AX188" s="52">
        <f t="shared" si="576"/>
        <v>2.6364477335800274E-2</v>
      </c>
      <c r="AY188" s="52">
        <f t="shared" si="576"/>
        <v>3.5773710482529086E-2</v>
      </c>
      <c r="AZ188" s="52">
        <f t="shared" si="576"/>
        <v>3.8022813688213031E-2</v>
      </c>
      <c r="BA188" s="112">
        <f t="shared" si="576"/>
        <v>4.1402301322722934E-2</v>
      </c>
      <c r="BB188" s="52">
        <f t="shared" si="576"/>
        <v>-3.3359809372517923E-2</v>
      </c>
      <c r="BC188" s="52">
        <f t="shared" si="576"/>
        <v>-6.7147363677332095E-2</v>
      </c>
      <c r="BD188" s="52">
        <f t="shared" si="576"/>
        <v>-7.9116465863453778E-2</v>
      </c>
      <c r="BE188" s="52">
        <f t="shared" si="576"/>
        <v>2.7676027676027726E-2</v>
      </c>
      <c r="BF188" s="112">
        <f t="shared" si="576"/>
        <v>-3.7381247418422192E-2</v>
      </c>
      <c r="BG188" s="52">
        <f t="shared" si="576"/>
        <v>4.9712407559572735E-2</v>
      </c>
      <c r="BH188" s="52">
        <f t="shared" si="576"/>
        <v>8.4541062801932298E-2</v>
      </c>
      <c r="BI188" s="52">
        <f t="shared" si="576"/>
        <v>9.4199738334060257E-2</v>
      </c>
      <c r="BJ188" s="52">
        <f t="shared" si="576"/>
        <v>8.3564356435643639E-2</v>
      </c>
      <c r="BK188" s="112">
        <f t="shared" si="576"/>
        <v>7.755846384895948E-2</v>
      </c>
      <c r="BL188" s="52">
        <f t="shared" si="576"/>
        <v>4.4618395303326785E-2</v>
      </c>
      <c r="BM188" s="52">
        <f t="shared" si="576"/>
        <v>8.0623608017817316E-2</v>
      </c>
      <c r="BN188" s="52">
        <f t="shared" si="576"/>
        <v>4.7429254683140742E-2</v>
      </c>
      <c r="BO188" s="52">
        <f t="shared" si="576"/>
        <v>-0.41301169590643272</v>
      </c>
      <c r="BP188" s="112">
        <f t="shared" si="576"/>
        <v>-7.1279243404678949E-2</v>
      </c>
      <c r="BQ188" s="52">
        <f t="shared" ref="BQ188:BZ188" si="577">+BQ187/BL187-1</f>
        <v>0.10790558261521177</v>
      </c>
      <c r="BR188" s="52">
        <f t="shared" si="577"/>
        <v>3.544929925803797E-2</v>
      </c>
      <c r="BS188" s="52">
        <f t="shared" si="577"/>
        <v>-9.3607305936073026E-2</v>
      </c>
      <c r="BT188" s="52">
        <f t="shared" si="577"/>
        <v>1.3617683686176836</v>
      </c>
      <c r="BU188" s="112">
        <f t="shared" si="577"/>
        <v>0.24815092721620746</v>
      </c>
      <c r="BV188" s="52">
        <f t="shared" si="577"/>
        <v>0.10382144064930676</v>
      </c>
      <c r="BW188" s="52">
        <f t="shared" si="577"/>
        <v>0.13535031847133761</v>
      </c>
      <c r="BX188" s="52">
        <f t="shared" si="577"/>
        <v>6.2972292191435741E-2</v>
      </c>
      <c r="BY188" s="52">
        <f t="shared" si="577"/>
        <v>-5.615607698391778E-2</v>
      </c>
      <c r="BZ188" s="112">
        <f t="shared" si="577"/>
        <v>5.0154586052902683E-2</v>
      </c>
      <c r="CA188" s="52">
        <f t="shared" ref="CA188" si="578">+CA187/BV187-1</f>
        <v>0.16574754901960786</v>
      </c>
      <c r="CB188" s="52">
        <f t="shared" ref="CB188:CD188" si="579">+CB187/BW187-1</f>
        <v>0.38955119214586253</v>
      </c>
      <c r="CC188" s="52">
        <f t="shared" si="579"/>
        <v>0.31200631911532395</v>
      </c>
      <c r="CD188" s="52">
        <f t="shared" si="579"/>
        <v>6.340782122905031E-2</v>
      </c>
      <c r="CE188" s="112">
        <f t="shared" ref="CE188" si="580">+CE187/BZ187-1</f>
        <v>0.21826954530585541</v>
      </c>
      <c r="CF188" s="52">
        <f t="shared" ref="CF188" si="581">+CF187/CA187-1</f>
        <v>-1.8922470433639926E-2</v>
      </c>
      <c r="CG188" s="52">
        <f t="shared" ref="CG188:CH188" si="582">+CG187/CB187-1</f>
        <v>-5.1980822609134503E-2</v>
      </c>
      <c r="CH188" s="52">
        <f t="shared" si="582"/>
        <v>4.1541240216736997E-2</v>
      </c>
      <c r="CI188" s="52">
        <f t="shared" ref="CI188" si="583">+CI187/CD187-1</f>
        <v>-5.7788284738639395E-2</v>
      </c>
      <c r="CJ188" s="112">
        <f t="shared" ref="CJ188:CK188" si="584">+CJ187/CE187-1</f>
        <v>-2.4165939450896179E-2</v>
      </c>
      <c r="CK188" s="52">
        <f t="shared" si="584"/>
        <v>-0.13956603268148937</v>
      </c>
      <c r="CL188" s="52">
        <f t="shared" ref="CL188" si="585">+CL187/CG187-1</f>
        <v>-0.13867447431461277</v>
      </c>
      <c r="CM188" s="52">
        <f t="shared" ref="CM188" si="586">+CM187/CH187-1</f>
        <v>-9.4797687861271629E-2</v>
      </c>
      <c r="CN188" s="52">
        <f t="shared" ref="CN188" si="587">+CN187/CI187-1</f>
        <v>-0.13465291329802065</v>
      </c>
      <c r="CO188" s="112">
        <f t="shared" ref="CO188:CQ188" si="588">+CO187/CJ187-1</f>
        <v>-0.12746784068239669</v>
      </c>
      <c r="CP188" s="52">
        <f t="shared" si="588"/>
        <v>2.1793275217931729E-3</v>
      </c>
      <c r="CQ188" s="52">
        <f t="shared" si="588"/>
        <v>9.4561186650185425E-2</v>
      </c>
      <c r="CR188" s="52">
        <f t="shared" ref="CR188" si="589">+CR187/CM187-1</f>
        <v>6.1941251596423941E-2</v>
      </c>
      <c r="CS188" s="52">
        <f t="shared" ref="CS188" si="590">+CS187/CN187-1</f>
        <v>4.0592783505154717E-2</v>
      </c>
      <c r="CT188" s="112">
        <f t="shared" ref="CT188" si="591">+CT187/CO187-1</f>
        <v>4.9905392620624323E-2</v>
      </c>
      <c r="CU188" s="114">
        <f t="shared" ref="CU188" si="592">+CU187/CP187-1</f>
        <v>1.2426219322771104E-2</v>
      </c>
      <c r="CV188" s="52">
        <f t="shared" ref="CV188" si="593">+CV187/CQ187-1</f>
        <v>-0.12087999999999999</v>
      </c>
      <c r="CW188" s="52">
        <f t="shared" ref="CW188" si="594">+CW187/CR187-1</f>
        <v>-5.1900000000000057E-2</v>
      </c>
      <c r="CX188" s="52">
        <f t="shared" ref="CX188" si="595">+CX187/CS187-1</f>
        <v>-7.1860000000000035E-2</v>
      </c>
      <c r="CY188" s="112">
        <f t="shared" ref="CY188" si="596">+CY187/CT187-1</f>
        <v>-5.9539247578283327E-2</v>
      </c>
      <c r="CZ188" s="52">
        <f t="shared" ref="CZ188" si="597">+CZ187/CU187-1</f>
        <v>-7.0930000000000049E-2</v>
      </c>
      <c r="DA188" s="52">
        <f t="shared" ref="DA188" si="598">+DA187/CV187-1</f>
        <v>-5.0000000000000044E-2</v>
      </c>
      <c r="DB188" s="52">
        <f t="shared" ref="DB188" si="599">+DB187/CW187-1</f>
        <v>-3.0000000000000027E-2</v>
      </c>
      <c r="DC188" s="52">
        <f t="shared" ref="DC188" si="600">+DC187/CX187-1</f>
        <v>-3.0000000000000138E-2</v>
      </c>
      <c r="DD188" s="112">
        <f t="shared" ref="DD188" si="601">+DD187/CY187-1</f>
        <v>-4.5623276988150274E-2</v>
      </c>
      <c r="DE188" s="52">
        <f t="shared" ref="DE188" si="602">+DE187/CZ187-1</f>
        <v>0</v>
      </c>
      <c r="DF188" s="52">
        <f t="shared" ref="DF188" si="603">+DF187/DA187-1</f>
        <v>0</v>
      </c>
      <c r="DG188" s="52">
        <f t="shared" ref="DG188" si="604">+DG187/DB187-1</f>
        <v>0</v>
      </c>
      <c r="DH188" s="52">
        <f t="shared" ref="DH188" si="605">+DH187/DC187-1</f>
        <v>0</v>
      </c>
      <c r="DI188" s="112">
        <f t="shared" ref="DI188" si="606">+DI187/DD187-1</f>
        <v>0</v>
      </c>
    </row>
    <row r="189" spans="1:113" s="529" customFormat="1" ht="12" hidden="1" customHeight="1" outlineLevel="1">
      <c r="A189" s="219" t="str">
        <f t="shared" si="364"/>
        <v xml:space="preserve"> </v>
      </c>
      <c r="B189" s="526" t="s">
        <v>173</v>
      </c>
      <c r="C189" s="112"/>
      <c r="D189" s="52"/>
      <c r="E189" s="112"/>
      <c r="F189" s="52"/>
      <c r="G189" s="112"/>
      <c r="H189" s="52"/>
      <c r="I189" s="112"/>
      <c r="J189" s="52"/>
      <c r="K189" s="112"/>
      <c r="L189" s="52"/>
      <c r="M189" s="112"/>
      <c r="N189" s="52"/>
      <c r="O189" s="112"/>
      <c r="P189" s="52"/>
      <c r="Q189" s="112"/>
      <c r="R189" s="217">
        <v>0.05</v>
      </c>
      <c r="S189" s="52">
        <v>0.1</v>
      </c>
      <c r="T189" s="52">
        <v>7.0000000000000007E-2</v>
      </c>
      <c r="U189" s="52">
        <v>0.19</v>
      </c>
      <c r="V189" s="112" t="s">
        <v>126</v>
      </c>
      <c r="W189" s="52">
        <v>0.12</v>
      </c>
      <c r="X189" s="52">
        <v>0.2</v>
      </c>
      <c r="Y189" s="52">
        <v>0.15</v>
      </c>
      <c r="Z189" s="52">
        <v>0.14000000000000001</v>
      </c>
      <c r="AA189" s="232" t="s">
        <v>126</v>
      </c>
      <c r="AB189" s="232"/>
      <c r="AC189" s="52">
        <v>0.2</v>
      </c>
      <c r="AD189" s="52">
        <v>0.13</v>
      </c>
      <c r="AE189" s="52">
        <v>0.15</v>
      </c>
      <c r="AF189" s="52">
        <v>0.08</v>
      </c>
      <c r="AG189" s="112">
        <v>0.14000000000000001</v>
      </c>
      <c r="AH189" s="52">
        <v>0.09</v>
      </c>
      <c r="AI189" s="52">
        <v>0.1</v>
      </c>
      <c r="AJ189" s="52">
        <v>0.13</v>
      </c>
      <c r="AK189" s="52">
        <v>0.12</v>
      </c>
      <c r="AL189" s="112">
        <v>0.11</v>
      </c>
      <c r="AM189" s="52">
        <v>0.15</v>
      </c>
      <c r="AN189" s="52">
        <v>0.18</v>
      </c>
      <c r="AO189" s="52">
        <v>0.08</v>
      </c>
      <c r="AP189" s="52">
        <v>0.14000000000000001</v>
      </c>
      <c r="AQ189" s="112">
        <v>0.14000000000000001</v>
      </c>
      <c r="AR189" s="52">
        <v>0.09</v>
      </c>
      <c r="AS189" s="52">
        <v>0.13</v>
      </c>
      <c r="AT189" s="52">
        <v>0.16</v>
      </c>
      <c r="AU189" s="52">
        <v>0.02</v>
      </c>
      <c r="AV189" s="112">
        <v>0.1</v>
      </c>
      <c r="AW189" s="52">
        <v>7.0000000000000007E-2</v>
      </c>
      <c r="AX189" s="52">
        <v>0.03</v>
      </c>
      <c r="AY189" s="52">
        <v>0.03</v>
      </c>
      <c r="AZ189" s="52">
        <v>0.04</v>
      </c>
      <c r="BA189" s="112">
        <v>0.04</v>
      </c>
      <c r="BB189" s="52">
        <v>-0.03</v>
      </c>
      <c r="BC189" s="52">
        <v>-7.0000000000000007E-2</v>
      </c>
      <c r="BD189" s="52">
        <v>-0.08</v>
      </c>
      <c r="BE189" s="114">
        <v>0.03</v>
      </c>
      <c r="BF189" s="112">
        <f>SUMPRODUCT(BB189:BE189,AW187:AZ187)/BA187</f>
        <v>-3.6798843453118554E-2</v>
      </c>
      <c r="BG189" s="114">
        <v>0.05</v>
      </c>
      <c r="BH189" s="114">
        <v>0.09</v>
      </c>
      <c r="BI189" s="114">
        <v>0.1</v>
      </c>
      <c r="BJ189" s="114">
        <v>0.09</v>
      </c>
      <c r="BK189" s="112">
        <f>SUMPRODUCT(BG189:BJ189,BB187:BE187)/BF187</f>
        <v>8.201566187513408E-2</v>
      </c>
      <c r="BL189" s="114">
        <v>0.04</v>
      </c>
      <c r="BM189" s="114">
        <v>0.08</v>
      </c>
      <c r="BN189" s="114">
        <v>0.05</v>
      </c>
      <c r="BO189" s="114">
        <v>-0.41</v>
      </c>
      <c r="BP189" s="112">
        <f>SUMPRODUCT(BL189:BO189,BG187:BJ187)/BK187</f>
        <v>-7.113091090094574E-2</v>
      </c>
      <c r="BQ189" s="114">
        <v>0.11</v>
      </c>
      <c r="BR189" s="114">
        <v>0.04</v>
      </c>
      <c r="BS189" s="114">
        <v>-0.09</v>
      </c>
      <c r="BT189" s="114">
        <v>1.36</v>
      </c>
      <c r="BU189" s="112">
        <f>SUMPRODUCT(BQ189:BT189,BL187:BO187)/BP187</f>
        <v>0.25064529960338733</v>
      </c>
      <c r="BV189" s="114">
        <v>0.1</v>
      </c>
      <c r="BW189" s="114">
        <v>0.13</v>
      </c>
      <c r="BX189" s="114">
        <v>0.06</v>
      </c>
      <c r="BY189" s="114">
        <v>-0.06</v>
      </c>
      <c r="BZ189" s="112">
        <f>SUMPRODUCT(BV189:BY189,BQ187:BT187)/BU187</f>
        <v>4.6169701133631044E-2</v>
      </c>
      <c r="CA189" s="114">
        <v>0.17</v>
      </c>
      <c r="CB189" s="114">
        <v>0.39</v>
      </c>
      <c r="CC189" s="114">
        <v>0.31</v>
      </c>
      <c r="CD189" s="114">
        <v>7.0000000000000007E-2</v>
      </c>
      <c r="CE189" s="112">
        <f>SUMPRODUCT(CA189:CD189,BV187:BY187)/BZ187</f>
        <v>0.22102387962054301</v>
      </c>
      <c r="CF189" s="114">
        <v>-0.02</v>
      </c>
      <c r="CG189" s="581">
        <v>-0.05</v>
      </c>
      <c r="CH189" s="114">
        <v>0.04</v>
      </c>
      <c r="CI189" s="114">
        <v>-0.06</v>
      </c>
      <c r="CJ189" s="112">
        <f>SUMPRODUCT(CF189:CI189,CA187:CD187)/CE187</f>
        <v>-2.4823118748741355E-2</v>
      </c>
      <c r="CK189" s="114">
        <v>-0.14000000000000001</v>
      </c>
      <c r="CL189" s="114">
        <v>-0.14000000000000001</v>
      </c>
      <c r="CM189" s="114">
        <v>-0.09</v>
      </c>
      <c r="CN189" s="114">
        <v>-0.13</v>
      </c>
      <c r="CO189" s="112">
        <f>SUMPRODUCT(CK189:CN189,CF187:CI187)/CJ187</f>
        <v>-0.12563183600467773</v>
      </c>
      <c r="CP189" s="114">
        <v>0</v>
      </c>
      <c r="CQ189" s="114">
        <v>0.09</v>
      </c>
      <c r="CR189" s="114">
        <v>0.06</v>
      </c>
      <c r="CS189" s="114">
        <v>0.04</v>
      </c>
      <c r="CT189" s="112">
        <f>SUMPRODUCT(CP189:CS189,CK187:CN187)/CO187</f>
        <v>4.7565436770734777E-2</v>
      </c>
      <c r="CU189" s="114">
        <v>0.01</v>
      </c>
      <c r="CV189" s="53">
        <f>-8%-4%</f>
        <v>-0.12</v>
      </c>
      <c r="CW189" s="53">
        <v>-0.05</v>
      </c>
      <c r="CX189" s="53">
        <v>-7.0000000000000007E-2</v>
      </c>
      <c r="CY189" s="112">
        <f>SUMPRODUCT(CU189:CX189,CP187:CS187)/CT187</f>
        <v>-5.8965983329578732E-2</v>
      </c>
      <c r="CZ189" s="53">
        <v>-7.0000000000000007E-2</v>
      </c>
      <c r="DA189" s="53">
        <v>-0.05</v>
      </c>
      <c r="DB189" s="53">
        <v>-0.03</v>
      </c>
      <c r="DC189" s="53">
        <v>-0.03</v>
      </c>
      <c r="DD189" s="112">
        <f>SUMPRODUCT(CZ189:DC189,CU187:CX187)/CY187</f>
        <v>-4.5381274276045026E-2</v>
      </c>
      <c r="DE189" s="53">
        <v>0</v>
      </c>
      <c r="DF189" s="53">
        <v>0</v>
      </c>
      <c r="DG189" s="53">
        <v>0</v>
      </c>
      <c r="DH189" s="53">
        <v>0</v>
      </c>
      <c r="DI189" s="112">
        <f>SUMPRODUCT(DE189:DH189,CZ187:DC187)/DD187</f>
        <v>0</v>
      </c>
    </row>
    <row r="190" spans="1:113" s="545" customFormat="1" ht="12" hidden="1" customHeight="1" outlineLevel="1">
      <c r="A190" s="219" t="str">
        <f t="shared" si="364"/>
        <v xml:space="preserve"> </v>
      </c>
      <c r="B190" s="546" t="s">
        <v>142</v>
      </c>
      <c r="C190" s="112"/>
      <c r="D190" s="52"/>
      <c r="E190" s="112"/>
      <c r="F190" s="52"/>
      <c r="G190" s="112"/>
      <c r="H190" s="52"/>
      <c r="I190" s="112"/>
      <c r="J190" s="52"/>
      <c r="K190" s="112"/>
      <c r="L190" s="52"/>
      <c r="M190" s="112"/>
      <c r="N190" s="52"/>
      <c r="O190" s="112"/>
      <c r="P190" s="52"/>
      <c r="Q190" s="112"/>
      <c r="R190" s="217" t="s">
        <v>126</v>
      </c>
      <c r="S190" s="52" t="s">
        <v>126</v>
      </c>
      <c r="T190" s="52" t="s">
        <v>126</v>
      </c>
      <c r="U190" s="52" t="s">
        <v>126</v>
      </c>
      <c r="V190" s="112" t="s">
        <v>126</v>
      </c>
      <c r="W190" s="52">
        <f>+W189-W191</f>
        <v>0.11</v>
      </c>
      <c r="X190" s="52">
        <f>+X189-X191</f>
        <v>0.19</v>
      </c>
      <c r="Y190" s="52">
        <f>+Y189-Y191</f>
        <v>9.9999999999999992E-2</v>
      </c>
      <c r="Z190" s="52">
        <f>+Z189-Z191</f>
        <v>7.0000000000000007E-2</v>
      </c>
      <c r="AA190" s="112">
        <v>0.10999999999999999</v>
      </c>
      <c r="AB190" s="112"/>
      <c r="AC190" s="52">
        <v>0.12</v>
      </c>
      <c r="AD190" s="52">
        <v>7.0000000000000007E-2</v>
      </c>
      <c r="AE190" s="52">
        <v>0.09</v>
      </c>
      <c r="AF190" s="52">
        <v>0.02</v>
      </c>
      <c r="AG190" s="112">
        <v>7.0000000000000007E-2</v>
      </c>
      <c r="AH190" s="52">
        <v>0.05</v>
      </c>
      <c r="AI190" s="52">
        <v>0.05</v>
      </c>
      <c r="AJ190" s="52">
        <v>0.08</v>
      </c>
      <c r="AK190" s="52">
        <f>((AL190*SUM(AC187:AF187))-AH190*AC187-AI190*AD187-AJ190*AE187)/AF187</f>
        <v>9.6083608360836098E-2</v>
      </c>
      <c r="AL190" s="112">
        <v>7.0000000000000007E-2</v>
      </c>
      <c r="AM190" s="52">
        <v>0.06</v>
      </c>
      <c r="AN190" s="52">
        <v>0.1</v>
      </c>
      <c r="AO190" s="52">
        <v>-0.02</v>
      </c>
      <c r="AP190" s="52">
        <f>((AQ190*SUM(AH187:AK187))-AM190*AH187-AN190*AI187-AO190*AJ187)/AK187</f>
        <v>0.10379174852652258</v>
      </c>
      <c r="AQ190" s="112">
        <v>0.06</v>
      </c>
      <c r="AR190" s="52">
        <v>0.05</v>
      </c>
      <c r="AS190" s="52">
        <v>0.12</v>
      </c>
      <c r="AT190" s="52">
        <v>0.17</v>
      </c>
      <c r="AU190" s="52">
        <f>((AV190*SUM(AM187:AP187))-AR190*AM187-AS190*AN187-AT190*AO187)/AP187</f>
        <v>-5.8006042296072499E-3</v>
      </c>
      <c r="AV190" s="112">
        <v>0.08</v>
      </c>
      <c r="AW190" s="52">
        <v>0.05</v>
      </c>
      <c r="AX190" s="52">
        <v>0.02</v>
      </c>
      <c r="AY190" s="52">
        <v>0.04</v>
      </c>
      <c r="AZ190" s="52">
        <f>((BA190*SUM(AR187:AU187))-AW190*AR187-AX190*AS187-AY190*AT187)/AU187</f>
        <v>4.8272074355724531E-2</v>
      </c>
      <c r="BA190" s="112">
        <v>0.04</v>
      </c>
      <c r="BB190" s="52">
        <v>0</v>
      </c>
      <c r="BC190" s="52">
        <v>-0.11</v>
      </c>
      <c r="BD190" s="52">
        <v>-0.09</v>
      </c>
      <c r="BE190" s="52">
        <f>((BF190*SUM(AW187:AZ187))-BB190*AW187-BC190*AX187-BD190*AY187)/AZ187</f>
        <v>-6.5160765160765357E-3</v>
      </c>
      <c r="BF190" s="112">
        <v>-0.05</v>
      </c>
      <c r="BG190" s="52">
        <v>0.02</v>
      </c>
      <c r="BH190" s="52">
        <v>0.06</v>
      </c>
      <c r="BI190" s="114">
        <v>0.02</v>
      </c>
      <c r="BJ190" s="52">
        <f>((BK190*SUM(BB187:BE187))-BG190*BB187-BH190*BC187-BI190*BD187)/BE187</f>
        <v>6.104554455445544E-2</v>
      </c>
      <c r="BK190" s="112">
        <v>0.04</v>
      </c>
      <c r="BL190" s="52">
        <v>-0.01</v>
      </c>
      <c r="BM190" s="52">
        <v>0.05</v>
      </c>
      <c r="BN190" s="52">
        <v>0</v>
      </c>
      <c r="BO190" s="52">
        <f>((BP190*SUM(BG187:BJ187))-BL190*BG187-BM190*BH187-BN190*BI187)/BJ187</f>
        <v>-0.50897295321637437</v>
      </c>
      <c r="BP190" s="112">
        <v>-0.13</v>
      </c>
      <c r="BQ190" s="52">
        <v>0.06</v>
      </c>
      <c r="BR190" s="52">
        <v>-0.04</v>
      </c>
      <c r="BS190" s="114">
        <v>-0.18</v>
      </c>
      <c r="BT190" s="52">
        <f>((BU190*SUM(BL187:BO187))-BQ190*BL187-BR190*BM187-BS190*BN187)/BO187</f>
        <v>1.242758405977584</v>
      </c>
      <c r="BU190" s="112">
        <v>0.17</v>
      </c>
      <c r="BV190" s="52">
        <v>0.04</v>
      </c>
      <c r="BW190" s="52">
        <v>7.0000000000000007E-2</v>
      </c>
      <c r="BX190" s="114">
        <v>-0.1</v>
      </c>
      <c r="BY190" s="52">
        <f>((BZ190*SUM(BQ187:BT187))-BV190*BQ187-BW190*BR187-BX190*BS187)/BT187</f>
        <v>-0.1375375692064329</v>
      </c>
      <c r="BZ190" s="112">
        <v>-0.04</v>
      </c>
      <c r="CA190" s="52">
        <v>0.1</v>
      </c>
      <c r="CB190" s="52">
        <v>0.37</v>
      </c>
      <c r="CC190" s="114">
        <v>0.26</v>
      </c>
      <c r="CD190" s="52">
        <f>((CE190*SUM(BV187:BY187))-CA190*BV187-CB190*BW187-CC190*BX187)/BY187</f>
        <v>1.0837988826815661E-2</v>
      </c>
      <c r="CE190" s="112">
        <v>0.17</v>
      </c>
      <c r="CF190" s="52">
        <v>-0.1</v>
      </c>
      <c r="CG190" s="52">
        <v>-0.17</v>
      </c>
      <c r="CH190" s="52">
        <v>7.0000000000000007E-2</v>
      </c>
      <c r="CI190" s="52">
        <f>((CJ190*SUM(CA187:CD187))-CF190*CA187-CG190*CB187-CH190*CC187)/CD187</f>
        <v>-5.8082479642763377E-2</v>
      </c>
      <c r="CJ190" s="112">
        <v>-7.0000000000000007E-2</v>
      </c>
      <c r="CK190" s="52">
        <v>-0.15</v>
      </c>
      <c r="CL190" s="52">
        <v>-0.06</v>
      </c>
      <c r="CM190" s="52">
        <v>-0.08</v>
      </c>
      <c r="CN190" s="52">
        <f>((CO190*SUM(CF187:CI187))-CK190*CF187-CL190*CG187-CM190*CH187)/CI187</f>
        <v>-0.1091524951212713</v>
      </c>
      <c r="CO190" s="112">
        <v>-0.1</v>
      </c>
      <c r="CP190" s="52">
        <v>0.05</v>
      </c>
      <c r="CQ190" s="52">
        <v>0.14000000000000001</v>
      </c>
      <c r="CR190" s="52">
        <v>0.04</v>
      </c>
      <c r="CS190" s="52">
        <f>((CT190*SUM(CK187:CN187))-CP190*CK187-CQ190*CL187-CR190*CM187)/CN187</f>
        <v>7.1262886597937888E-3</v>
      </c>
      <c r="CT190" s="112">
        <v>0.06</v>
      </c>
      <c r="CU190" s="114"/>
      <c r="CV190" s="52"/>
      <c r="CW190" s="52"/>
      <c r="CX190" s="52"/>
      <c r="CY190" s="112"/>
      <c r="CZ190" s="52"/>
      <c r="DA190" s="52"/>
      <c r="DB190" s="52"/>
      <c r="DC190" s="52"/>
      <c r="DD190" s="112"/>
      <c r="DE190" s="52"/>
      <c r="DF190" s="52"/>
      <c r="DG190" s="52"/>
      <c r="DH190" s="52"/>
      <c r="DI190" s="112"/>
    </row>
    <row r="191" spans="1:113" s="545" customFormat="1" ht="12" hidden="1" customHeight="1" outlineLevel="1">
      <c r="A191" s="219" t="str">
        <f t="shared" si="364"/>
        <v xml:space="preserve"> </v>
      </c>
      <c r="B191" s="546" t="s">
        <v>143</v>
      </c>
      <c r="C191" s="112"/>
      <c r="D191" s="52"/>
      <c r="E191" s="112"/>
      <c r="F191" s="52"/>
      <c r="G191" s="112"/>
      <c r="H191" s="52"/>
      <c r="I191" s="112"/>
      <c r="J191" s="52"/>
      <c r="K191" s="112"/>
      <c r="L191" s="52"/>
      <c r="M191" s="112"/>
      <c r="N191" s="52"/>
      <c r="O191" s="112"/>
      <c r="P191" s="52"/>
      <c r="Q191" s="112"/>
      <c r="R191" s="217" t="s">
        <v>126</v>
      </c>
      <c r="S191" s="52" t="s">
        <v>126</v>
      </c>
      <c r="T191" s="52" t="s">
        <v>126</v>
      </c>
      <c r="U191" s="52" t="s">
        <v>126</v>
      </c>
      <c r="V191" s="112" t="s">
        <v>126</v>
      </c>
      <c r="W191" s="52">
        <v>0.01</v>
      </c>
      <c r="X191" s="52">
        <v>0.01</v>
      </c>
      <c r="Y191" s="52">
        <v>0.05</v>
      </c>
      <c r="Z191" s="52">
        <v>7.0000000000000007E-2</v>
      </c>
      <c r="AA191" s="112">
        <v>0.04</v>
      </c>
      <c r="AB191" s="112"/>
      <c r="AC191" s="52">
        <v>0.08</v>
      </c>
      <c r="AD191" s="52">
        <v>0.06</v>
      </c>
      <c r="AE191" s="52">
        <v>0.06</v>
      </c>
      <c r="AF191" s="52">
        <f>(1+AF189)/(1+AF190)-1</f>
        <v>5.8823529411764719E-2</v>
      </c>
      <c r="AG191" s="112">
        <v>7.0000000000000007E-2</v>
      </c>
      <c r="AH191" s="52">
        <v>0.04</v>
      </c>
      <c r="AI191" s="52">
        <v>0.05</v>
      </c>
      <c r="AJ191" s="52">
        <v>0.05</v>
      </c>
      <c r="AK191" s="52">
        <f>((AL191*SUM(AC187:AF187))-AH191*AC187-AI191*AD187-AJ191*AE187)/AF187</f>
        <v>2.2464246424642467E-2</v>
      </c>
      <c r="AL191" s="112">
        <v>0.04</v>
      </c>
      <c r="AM191" s="52">
        <v>0.09</v>
      </c>
      <c r="AN191" s="52">
        <v>0.08</v>
      </c>
      <c r="AO191" s="52">
        <v>0.1</v>
      </c>
      <c r="AP191" s="52">
        <f>((AQ191*SUM(AH187:AK187))-AM191*AH187-AN191*AI187-AO191*AJ187)/AK187</f>
        <v>5.1709233791748542E-2</v>
      </c>
      <c r="AQ191" s="112">
        <v>0.08</v>
      </c>
      <c r="AR191" s="52">
        <v>0.04</v>
      </c>
      <c r="AS191" s="52">
        <v>0.01</v>
      </c>
      <c r="AT191" s="52">
        <v>-0.01</v>
      </c>
      <c r="AU191" s="52">
        <f>((AV191*SUM(AM187:AP187))-AR191*AM187-AS191*AN187-AT191*AO187)/AP187</f>
        <v>3.6409149762624084E-2</v>
      </c>
      <c r="AV191" s="112">
        <v>0.02</v>
      </c>
      <c r="AW191" s="52">
        <v>0.02</v>
      </c>
      <c r="AX191" s="52">
        <v>0.01</v>
      </c>
      <c r="AY191" s="52">
        <v>-0.01</v>
      </c>
      <c r="AZ191" s="52">
        <f>((BA191*SUM(AR187:AU187))-AW191*AR187-AX191*AS187-AY191*AT187)/AU187</f>
        <v>-1.8969159273341783E-2</v>
      </c>
      <c r="BA191" s="112">
        <v>0</v>
      </c>
      <c r="BB191" s="52">
        <v>-0.03</v>
      </c>
      <c r="BC191" s="52">
        <v>0.04</v>
      </c>
      <c r="BD191" s="52">
        <v>0.01</v>
      </c>
      <c r="BE191" s="52">
        <f>((BF191*SUM(AW187:AZ187))-BB191*AW187-BC191*AX187-BD191*AY187)/AZ187</f>
        <v>2.3899063899063894E-2</v>
      </c>
      <c r="BF191" s="112">
        <v>0.01</v>
      </c>
      <c r="BG191" s="52">
        <v>0.03</v>
      </c>
      <c r="BH191" s="52">
        <v>0.03</v>
      </c>
      <c r="BI191" s="114">
        <v>0.08</v>
      </c>
      <c r="BJ191" s="52">
        <f>((BK191*SUM(BB187:BE187))-BG191*BB187-BH191*BC187-BI191*BD187)/BE187</f>
        <v>2.1512871287128723E-2</v>
      </c>
      <c r="BK191" s="112">
        <v>0.04</v>
      </c>
      <c r="BL191" s="52">
        <v>0.05</v>
      </c>
      <c r="BM191" s="52">
        <v>0.03</v>
      </c>
      <c r="BN191" s="52">
        <v>0.05</v>
      </c>
      <c r="BO191" s="52">
        <f>((BP191*SUM(BG187:BJ187))-BL191*BG187-BM191*BH187-BN191*BI187)/BJ187</f>
        <v>0.10312499999999997</v>
      </c>
      <c r="BP191" s="112">
        <v>0.06</v>
      </c>
      <c r="BQ191" s="52">
        <v>0.05</v>
      </c>
      <c r="BR191" s="52">
        <v>0.08</v>
      </c>
      <c r="BS191" s="114">
        <v>0.09</v>
      </c>
      <c r="BT191" s="52">
        <f>((BU191*SUM(BL187:BO187))-BQ191*BL187-BR191*BM187-BS191*BN187)/BO187</f>
        <v>0.1134931506849315</v>
      </c>
      <c r="BU191" s="112">
        <v>0.08</v>
      </c>
      <c r="BV191" s="52">
        <v>0.06</v>
      </c>
      <c r="BW191" s="52">
        <v>0.06</v>
      </c>
      <c r="BX191" s="114">
        <v>0.16</v>
      </c>
      <c r="BY191" s="52">
        <f>((BZ191*SUM(BQ187:BT187))-BV191*BQ187-BW191*BR187-BX191*BS187)/BT187</f>
        <v>8.9296071711046671E-2</v>
      </c>
      <c r="BZ191" s="112">
        <v>0.09</v>
      </c>
      <c r="CA191" s="52">
        <v>7.0000000000000007E-2</v>
      </c>
      <c r="CB191" s="52">
        <v>0.02</v>
      </c>
      <c r="CC191" s="114">
        <v>0.05</v>
      </c>
      <c r="CD191" s="52">
        <f>((CE191*SUM(BV187:BY187))-CA191*BV187-CB191*BW187-CC191*BX187)/BY187</f>
        <v>5.5664804469273722E-2</v>
      </c>
      <c r="CE191" s="112">
        <v>0.05</v>
      </c>
      <c r="CF191" s="52">
        <v>0.08</v>
      </c>
      <c r="CG191" s="52">
        <v>0.12</v>
      </c>
      <c r="CH191" s="52">
        <v>-0.03</v>
      </c>
      <c r="CI191" s="52">
        <f>((CJ191*SUM(CA187:CD187))-CF191*CA187-CG191*CB187-CH191*CC187)/CD187</f>
        <v>1.6955608090359859E-2</v>
      </c>
      <c r="CJ191" s="112">
        <v>0.05</v>
      </c>
      <c r="CK191" s="52">
        <v>0.01</v>
      </c>
      <c r="CL191" s="52">
        <v>-0.08</v>
      </c>
      <c r="CM191" s="52">
        <v>-0.01</v>
      </c>
      <c r="CN191" s="52">
        <f>((CO191*SUM(CF187:CI187))-CK191*CF187-CL191*CG187-CM191*CH187)/CI187</f>
        <v>-3.8550320602174504E-2</v>
      </c>
      <c r="CO191" s="112">
        <v>-0.03</v>
      </c>
      <c r="CP191" s="52">
        <v>-0.05</v>
      </c>
      <c r="CQ191" s="52">
        <v>-0.05</v>
      </c>
      <c r="CR191" s="52">
        <v>0.02</v>
      </c>
      <c r="CS191" s="52">
        <f>((CT191*SUM(CK187:CN187))-CP191*CK187-CQ191*CL187-CR191*CM187)/CN187</f>
        <v>4.282216494845361E-2</v>
      </c>
      <c r="CT191" s="112">
        <v>-0.01</v>
      </c>
      <c r="CU191" s="114"/>
      <c r="CV191" s="52"/>
      <c r="CW191" s="52"/>
      <c r="CX191" s="52"/>
      <c r="CY191" s="112"/>
      <c r="CZ191" s="52"/>
      <c r="DA191" s="52"/>
      <c r="DB191" s="52"/>
      <c r="DC191" s="52"/>
      <c r="DD191" s="112"/>
      <c r="DE191" s="52"/>
      <c r="DF191" s="52"/>
      <c r="DG191" s="52"/>
      <c r="DH191" s="52"/>
      <c r="DI191" s="112"/>
    </row>
    <row r="192" spans="1:113" s="530" customFormat="1" ht="12" hidden="1" customHeight="1" outlineLevel="1">
      <c r="A192" s="219" t="str">
        <f t="shared" si="364"/>
        <v xml:space="preserve"> </v>
      </c>
      <c r="B192" s="553" t="s">
        <v>141</v>
      </c>
      <c r="C192" s="492"/>
      <c r="D192" s="522"/>
      <c r="E192" s="492"/>
      <c r="F192" s="522"/>
      <c r="G192" s="492"/>
      <c r="H192" s="522"/>
      <c r="I192" s="492"/>
      <c r="J192" s="522"/>
      <c r="K192" s="492"/>
      <c r="L192" s="522"/>
      <c r="M192" s="492"/>
      <c r="N192" s="522"/>
      <c r="O192" s="492"/>
      <c r="P192" s="522"/>
      <c r="Q192" s="492"/>
      <c r="R192" s="378" t="s">
        <v>126</v>
      </c>
      <c r="S192" s="522" t="s">
        <v>126</v>
      </c>
      <c r="T192" s="522" t="s">
        <v>126</v>
      </c>
      <c r="U192" s="522" t="s">
        <v>126</v>
      </c>
      <c r="V192" s="492" t="s">
        <v>126</v>
      </c>
      <c r="W192" s="52">
        <f>(1+W188)/(1+W189)-1</f>
        <v>-4.7101850825670422E-4</v>
      </c>
      <c r="X192" s="52">
        <f>(1+X188)/(1+X189)-1</f>
        <v>4.9245921822100858E-3</v>
      </c>
      <c r="Y192" s="52">
        <f>(1+Y188)/(1+Y189)-1</f>
        <v>2.5575447570331811E-3</v>
      </c>
      <c r="Z192" s="52">
        <f>(1+Z188)/(1+Z189)-1</f>
        <v>-5.7520851308601184E-4</v>
      </c>
      <c r="AA192" s="232" t="s">
        <v>126</v>
      </c>
      <c r="AB192" s="232"/>
      <c r="AC192" s="52">
        <f t="shared" ref="AC192:BG192" si="607">(1+AC188)/(1+AC189)-1</f>
        <v>7.7385077385079271E-3</v>
      </c>
      <c r="AD192" s="52">
        <f t="shared" si="607"/>
        <v>2.8595048042392435E-3</v>
      </c>
      <c r="AE192" s="52">
        <f t="shared" si="607"/>
        <v>1.0351966873706209E-2</v>
      </c>
      <c r="AF192" s="52">
        <f t="shared" si="607"/>
        <v>9.1926458832933822E-3</v>
      </c>
      <c r="AG192" s="232">
        <f t="shared" si="607"/>
        <v>5.9333828030241342E-3</v>
      </c>
      <c r="AH192" s="52">
        <f t="shared" si="607"/>
        <v>1.0252096422280754E-3</v>
      </c>
      <c r="AI192" s="52">
        <f t="shared" si="607"/>
        <v>-6.1425061425079974E-4</v>
      </c>
      <c r="AJ192" s="52">
        <f t="shared" si="607"/>
        <v>-1.0569729124785265E-3</v>
      </c>
      <c r="AK192" s="52">
        <f t="shared" si="607"/>
        <v>-7.8579286500124468E-5</v>
      </c>
      <c r="AL192" s="232">
        <f t="shared" si="607"/>
        <v>1.8549137198231591E-4</v>
      </c>
      <c r="AM192" s="52">
        <f t="shared" si="607"/>
        <v>-3.0142491779320268E-3</v>
      </c>
      <c r="AN192" s="52">
        <f t="shared" si="607"/>
        <v>2.6772785515611908E-3</v>
      </c>
      <c r="AO192" s="52">
        <f t="shared" si="607"/>
        <v>-5.955125249732518E-4</v>
      </c>
      <c r="AP192" s="52">
        <f t="shared" si="607"/>
        <v>-1.740599041808899E-3</v>
      </c>
      <c r="AQ192" s="232">
        <f t="shared" si="607"/>
        <v>-4.4825205107499322E-3</v>
      </c>
      <c r="AR192" s="52">
        <f t="shared" si="607"/>
        <v>-5.6609244915886148E-3</v>
      </c>
      <c r="AS192" s="52">
        <f t="shared" si="607"/>
        <v>-6.0912538788643333E-3</v>
      </c>
      <c r="AT192" s="52">
        <f t="shared" si="607"/>
        <v>-4.1260004308273368E-3</v>
      </c>
      <c r="AU192" s="52">
        <f t="shared" si="607"/>
        <v>1.5486557160628855E-3</v>
      </c>
      <c r="AV192" s="232">
        <f t="shared" si="607"/>
        <v>-6.1560823376013429E-3</v>
      </c>
      <c r="AW192" s="52">
        <f t="shared" si="607"/>
        <v>-5.3799543375389058E-3</v>
      </c>
      <c r="AX192" s="52">
        <f t="shared" si="607"/>
        <v>-3.5296336545628249E-3</v>
      </c>
      <c r="AY192" s="52">
        <f t="shared" si="607"/>
        <v>5.6055441577951282E-3</v>
      </c>
      <c r="AZ192" s="52">
        <f t="shared" si="607"/>
        <v>-1.9011406844106071E-3</v>
      </c>
      <c r="BA192" s="232">
        <f t="shared" si="607"/>
        <v>1.3483666564644281E-3</v>
      </c>
      <c r="BB192" s="52">
        <f t="shared" si="607"/>
        <v>-3.4637210025957321E-3</v>
      </c>
      <c r="BC192" s="52">
        <f t="shared" si="607"/>
        <v>3.0673508845893149E-3</v>
      </c>
      <c r="BD192" s="52">
        <f t="shared" si="607"/>
        <v>9.603631918979616E-4</v>
      </c>
      <c r="BE192" s="52">
        <f t="shared" si="607"/>
        <v>-2.2562838096817917E-3</v>
      </c>
      <c r="BF192" s="232">
        <f t="shared" si="607"/>
        <v>-6.0465455356339959E-4</v>
      </c>
      <c r="BG192" s="52">
        <f t="shared" si="607"/>
        <v>-2.7389756231177564E-4</v>
      </c>
      <c r="BH192" s="52">
        <f>+BH185</f>
        <v>-4.3831361141458691E-3</v>
      </c>
      <c r="BI192" s="114">
        <f>+BI185</f>
        <v>-2.8709987254545988E-3</v>
      </c>
      <c r="BJ192" s="114">
        <f>(1+BJ188)/(1+BJ189)-1</f>
        <v>-5.9042601507857118E-3</v>
      </c>
      <c r="BK192" s="232">
        <f>(1+BK188)/(1+BK189)-1</f>
        <v>-4.1193470512711494E-3</v>
      </c>
      <c r="BL192" s="52">
        <f t="shared" ref="BL192:CU192" si="608">(1+BL188)/(1+BL189)-1</f>
        <v>4.4407647147373108E-3</v>
      </c>
      <c r="BM192" s="52">
        <f t="shared" si="608"/>
        <v>5.7741483131223958E-4</v>
      </c>
      <c r="BN192" s="52">
        <f t="shared" si="608"/>
        <v>-2.4483288731993458E-3</v>
      </c>
      <c r="BO192" s="52">
        <f t="shared" si="608"/>
        <v>-5.1045693329369035E-3</v>
      </c>
      <c r="BP192" s="232">
        <f>(1+BP188)/(1+BP189)-1</f>
        <v>-1.5969150601957693E-4</v>
      </c>
      <c r="BQ192" s="52">
        <f t="shared" si="608"/>
        <v>-1.88686250881831E-3</v>
      </c>
      <c r="BR192" s="52">
        <f t="shared" si="608"/>
        <v>-4.3756737903480891E-3</v>
      </c>
      <c r="BS192" s="52">
        <f t="shared" si="608"/>
        <v>-3.9640724572231889E-3</v>
      </c>
      <c r="BT192" s="52">
        <f t="shared" si="608"/>
        <v>7.4930873630640882E-4</v>
      </c>
      <c r="BU192" s="232">
        <f>(1+BU188)/(1+BU189)-1</f>
        <v>-1.9944682860687513E-3</v>
      </c>
      <c r="BV192" s="52">
        <f t="shared" si="608"/>
        <v>3.4740369539152383E-3</v>
      </c>
      <c r="BW192" s="52">
        <f t="shared" si="608"/>
        <v>4.7347951073783978E-3</v>
      </c>
      <c r="BX192" s="52">
        <f t="shared" si="608"/>
        <v>2.8040492372034542E-3</v>
      </c>
      <c r="BY192" s="52">
        <f t="shared" si="608"/>
        <v>4.0892798043428158E-3</v>
      </c>
      <c r="BZ192" s="232">
        <f>(1+BZ188)/(1+BZ189)-1</f>
        <v>3.8090234451959581E-3</v>
      </c>
      <c r="CA192" s="52">
        <f t="shared" si="608"/>
        <v>-3.6345734875146141E-3</v>
      </c>
      <c r="CB192" s="52">
        <f t="shared" si="608"/>
        <v>-3.2288334830044008E-4</v>
      </c>
      <c r="CC192" s="52">
        <f t="shared" si="608"/>
        <v>1.5315413094074692E-3</v>
      </c>
      <c r="CD192" s="52">
        <f t="shared" si="608"/>
        <v>-6.1609147392053254E-3</v>
      </c>
      <c r="CE192" s="232">
        <f>(1+CE188)/(1+CE189)-1</f>
        <v>-2.2557579427059382E-3</v>
      </c>
      <c r="CF192" s="52">
        <f t="shared" si="608"/>
        <v>1.0995199656735899E-3</v>
      </c>
      <c r="CG192" s="52">
        <f t="shared" si="608"/>
        <v>-2.0850764306677982E-3</v>
      </c>
      <c r="CH192" s="52">
        <f t="shared" si="608"/>
        <v>1.4819617468624369E-3</v>
      </c>
      <c r="CI192" s="52">
        <f t="shared" si="608"/>
        <v>2.3528885759156459E-3</v>
      </c>
      <c r="CJ192" s="232">
        <f>(1+CJ188)/(1+CJ189)-1</f>
        <v>6.7390779096609954E-4</v>
      </c>
      <c r="CK192" s="52">
        <f t="shared" si="608"/>
        <v>5.0461316105887555E-4</v>
      </c>
      <c r="CL192" s="52">
        <f t="shared" si="608"/>
        <v>1.5413089364968435E-3</v>
      </c>
      <c r="CM192" s="52">
        <f t="shared" si="608"/>
        <v>-5.2721844629358694E-3</v>
      </c>
      <c r="CN192" s="52">
        <f t="shared" si="608"/>
        <v>-5.3481762046214687E-3</v>
      </c>
      <c r="CO192" s="232">
        <f>(1+CO188)/(1+CO189)-1</f>
        <v>-2.0998073275330098E-3</v>
      </c>
      <c r="CP192" s="52">
        <f t="shared" si="608"/>
        <v>2.1793275217931729E-3</v>
      </c>
      <c r="CQ192" s="52">
        <f t="shared" si="608"/>
        <v>4.1845749084268302E-3</v>
      </c>
      <c r="CR192" s="52">
        <f t="shared" si="608"/>
        <v>1.8313694305884809E-3</v>
      </c>
      <c r="CS192" s="52">
        <f t="shared" si="608"/>
        <v>5.6998413957187744E-4</v>
      </c>
      <c r="CT192" s="232">
        <f>(1+CT188)/(1+CT189)-1</f>
        <v>2.2337085281305402E-3</v>
      </c>
      <c r="CU192" s="114">
        <f t="shared" si="608"/>
        <v>2.4021973492782678E-3</v>
      </c>
      <c r="CV192" s="52">
        <f>+CV185</f>
        <v>-1E-3</v>
      </c>
      <c r="CW192" s="52">
        <f>+CW185</f>
        <v>-2E-3</v>
      </c>
      <c r="CX192" s="52">
        <f>+CX185</f>
        <v>-2E-3</v>
      </c>
      <c r="CY192" s="232">
        <f>(1+CY188)/(1+CY189)-1</f>
        <v>-6.0918546890897929E-4</v>
      </c>
      <c r="CZ192" s="52">
        <f>+CZ185</f>
        <v>-1E-3</v>
      </c>
      <c r="DA192" s="52">
        <f>+DA185</f>
        <v>0</v>
      </c>
      <c r="DB192" s="52">
        <f>+DB185</f>
        <v>0</v>
      </c>
      <c r="DC192" s="52">
        <f>+DC185</f>
        <v>0</v>
      </c>
      <c r="DD192" s="232">
        <f>(1+DD188)/(1+DD189)-1</f>
        <v>-2.5350719149341838E-4</v>
      </c>
      <c r="DE192" s="52">
        <f>+DE185</f>
        <v>0</v>
      </c>
      <c r="DF192" s="52">
        <f>+DF185</f>
        <v>0</v>
      </c>
      <c r="DG192" s="52">
        <f>+DG185</f>
        <v>0</v>
      </c>
      <c r="DH192" s="52">
        <f>+DH185</f>
        <v>0</v>
      </c>
      <c r="DI192" s="232">
        <f>(1+DI188)/(1+DI189)-1</f>
        <v>0</v>
      </c>
    </row>
    <row r="193" spans="1:113" ht="12" hidden="1" customHeight="1" outlineLevel="1">
      <c r="A193" s="219"/>
      <c r="B193" s="17"/>
      <c r="C193" s="79"/>
      <c r="D193" s="6"/>
      <c r="E193" s="79"/>
      <c r="F193" s="6"/>
      <c r="G193" s="79"/>
      <c r="H193" s="6"/>
      <c r="I193" s="79"/>
      <c r="J193" s="6"/>
      <c r="K193" s="79"/>
      <c r="L193" s="6"/>
      <c r="M193" s="79"/>
      <c r="N193" s="6"/>
      <c r="O193" s="79"/>
      <c r="P193" s="6"/>
      <c r="Q193" s="79"/>
      <c r="R193" s="6"/>
      <c r="S193" s="6"/>
      <c r="T193" s="6"/>
      <c r="U193" s="6"/>
      <c r="V193" s="79"/>
      <c r="W193" s="6"/>
      <c r="X193" s="6"/>
      <c r="Y193" s="6"/>
      <c r="Z193" s="6"/>
      <c r="AA193" s="79"/>
      <c r="AB193" s="79"/>
      <c r="AC193" s="6"/>
      <c r="AD193" s="6"/>
      <c r="AE193" s="6"/>
      <c r="AF193" s="6"/>
      <c r="AG193" s="79"/>
      <c r="AH193" s="6"/>
      <c r="AI193" s="6"/>
      <c r="AJ193" s="6"/>
      <c r="AK193" s="6"/>
      <c r="AL193" s="79"/>
      <c r="AM193" s="6"/>
      <c r="AN193" s="6"/>
      <c r="AO193" s="6"/>
      <c r="AP193" s="6"/>
      <c r="AQ193" s="79"/>
      <c r="AR193" s="6"/>
      <c r="AS193" s="6"/>
      <c r="AT193" s="6"/>
      <c r="AU193" s="6"/>
      <c r="AV193" s="79"/>
      <c r="AW193" s="49"/>
      <c r="AX193" s="49"/>
      <c r="AY193" s="49"/>
      <c r="AZ193" s="49"/>
      <c r="BA193" s="79"/>
      <c r="BB193" s="49"/>
      <c r="BC193" s="49"/>
      <c r="BD193" s="49"/>
      <c r="BE193" s="49"/>
      <c r="BF193" s="79"/>
      <c r="BG193" s="49"/>
      <c r="BH193" s="49"/>
      <c r="BI193" s="24"/>
      <c r="BJ193" s="24"/>
      <c r="BK193" s="79"/>
      <c r="BL193" s="49"/>
      <c r="BM193" s="49"/>
      <c r="BN193" s="231"/>
      <c r="BO193" s="231"/>
      <c r="BP193" s="580"/>
      <c r="BQ193" s="231"/>
      <c r="BR193" s="231"/>
      <c r="BS193" s="231"/>
      <c r="BT193" s="231"/>
      <c r="BU193" s="580"/>
      <c r="BV193" s="6"/>
      <c r="BW193" s="6"/>
      <c r="BX193" s="231"/>
      <c r="BY193" s="376"/>
      <c r="BZ193" s="79"/>
      <c r="CA193" s="376"/>
      <c r="CB193" s="376"/>
      <c r="CC193" s="376"/>
      <c r="CD193" s="6"/>
      <c r="CE193" s="79"/>
      <c r="CF193" s="6"/>
      <c r="CG193" s="6"/>
      <c r="CH193" s="49"/>
      <c r="CI193" s="49"/>
      <c r="CJ193" s="79"/>
      <c r="CK193" s="6"/>
      <c r="CL193" s="6"/>
      <c r="CM193" s="6"/>
      <c r="CN193" s="6"/>
      <c r="CO193" s="79"/>
      <c r="CP193" s="6"/>
      <c r="CQ193" s="6"/>
      <c r="CR193" s="6"/>
      <c r="CS193" s="6"/>
      <c r="CT193" s="79"/>
      <c r="CU193" s="582"/>
      <c r="CV193" s="6"/>
      <c r="CW193" s="6"/>
      <c r="CX193" s="6"/>
      <c r="CY193" s="79"/>
      <c r="CZ193" s="6"/>
      <c r="DA193" s="6"/>
      <c r="DB193" s="6"/>
      <c r="DC193" s="6"/>
      <c r="DD193" s="79"/>
      <c r="DE193" s="6"/>
      <c r="DF193" s="6"/>
      <c r="DG193" s="6"/>
      <c r="DH193" s="6"/>
      <c r="DI193" s="79"/>
    </row>
    <row r="194" spans="1:113" s="7" customFormat="1" ht="12" hidden="1" customHeight="1" outlineLevel="1">
      <c r="A194" s="239" t="str">
        <f t="shared" si="364"/>
        <v xml:space="preserve"> </v>
      </c>
      <c r="B194" s="20" t="s">
        <v>96</v>
      </c>
      <c r="C194" s="36"/>
      <c r="D194" s="43"/>
      <c r="E194" s="36"/>
      <c r="F194" s="43"/>
      <c r="G194" s="36"/>
      <c r="H194" s="43"/>
      <c r="I194" s="36"/>
      <c r="J194" s="43"/>
      <c r="K194" s="36"/>
      <c r="L194" s="43"/>
      <c r="M194" s="36"/>
      <c r="N194" s="43"/>
      <c r="O194" s="36"/>
      <c r="P194" s="43"/>
      <c r="Q194" s="36"/>
      <c r="R194" s="43">
        <v>515</v>
      </c>
      <c r="S194" s="43">
        <v>538</v>
      </c>
      <c r="T194" s="43">
        <v>480</v>
      </c>
      <c r="U194" s="43">
        <v>570</v>
      </c>
      <c r="V194" s="36">
        <f>SUM(R194:U194)</f>
        <v>2103</v>
      </c>
      <c r="W194" s="43">
        <v>632</v>
      </c>
      <c r="X194" s="43">
        <v>661</v>
      </c>
      <c r="Y194" s="43">
        <v>573</v>
      </c>
      <c r="Z194" s="43">
        <v>616</v>
      </c>
      <c r="AA194" s="36">
        <f>SUM(W194:Z194)</f>
        <v>2482</v>
      </c>
      <c r="AB194" s="36"/>
      <c r="AC194" s="43">
        <v>924</v>
      </c>
      <c r="AD194" s="43">
        <v>903</v>
      </c>
      <c r="AE194" s="43">
        <v>830</v>
      </c>
      <c r="AF194" s="43">
        <v>934</v>
      </c>
      <c r="AG194" s="36">
        <f>SUM(AC194:AF194)</f>
        <v>3591</v>
      </c>
      <c r="AH194" s="43">
        <v>1009</v>
      </c>
      <c r="AI194" s="43">
        <v>986</v>
      </c>
      <c r="AJ194" s="43">
        <v>925</v>
      </c>
      <c r="AK194" s="43">
        <v>1017</v>
      </c>
      <c r="AL194" s="36">
        <f>SUM(AH194:AK194)</f>
        <v>3937</v>
      </c>
      <c r="AM194" s="43">
        <v>1104</v>
      </c>
      <c r="AN194" s="43">
        <v>1131</v>
      </c>
      <c r="AO194" s="43">
        <v>988</v>
      </c>
      <c r="AP194" s="43">
        <v>1187</v>
      </c>
      <c r="AQ194" s="36">
        <f>SUM(AM194:AP194)</f>
        <v>4410</v>
      </c>
      <c r="AR194" s="43">
        <v>1247</v>
      </c>
      <c r="AS194" s="43">
        <v>1221</v>
      </c>
      <c r="AT194" s="43">
        <v>1115</v>
      </c>
      <c r="AU194" s="43">
        <v>1163</v>
      </c>
      <c r="AV194" s="36">
        <f>SUM(AR194:AU194)</f>
        <v>4746</v>
      </c>
      <c r="AW194" s="43">
        <v>1317</v>
      </c>
      <c r="AX194" s="43">
        <v>1273</v>
      </c>
      <c r="AY194" s="43">
        <v>1154</v>
      </c>
      <c r="AZ194" s="43">
        <v>1142</v>
      </c>
      <c r="BA194" s="36">
        <f>SUM(AW194:AZ194)</f>
        <v>4886</v>
      </c>
      <c r="BB194" s="43">
        <v>1299</v>
      </c>
      <c r="BC194" s="43">
        <v>1279</v>
      </c>
      <c r="BD194" s="43">
        <v>1153</v>
      </c>
      <c r="BE194" s="43">
        <v>1207</v>
      </c>
      <c r="BF194" s="36">
        <f>SUM(BB194:BE194)</f>
        <v>4938</v>
      </c>
      <c r="BG194" s="43">
        <v>1407</v>
      </c>
      <c r="BH194" s="43">
        <v>1405</v>
      </c>
      <c r="BI194" s="369">
        <v>1173</v>
      </c>
      <c r="BJ194" s="369">
        <v>1275</v>
      </c>
      <c r="BK194" s="36">
        <f>SUM(BG194:BJ194)</f>
        <v>5260</v>
      </c>
      <c r="BL194" s="43">
        <v>1431</v>
      </c>
      <c r="BM194" s="43">
        <v>1417</v>
      </c>
      <c r="BN194" s="43">
        <v>1228</v>
      </c>
      <c r="BO194" s="43">
        <v>563</v>
      </c>
      <c r="BP194" s="36">
        <f>SUM(BL194:BO194)</f>
        <v>4639</v>
      </c>
      <c r="BQ194" s="43">
        <v>1125</v>
      </c>
      <c r="BR194" s="43">
        <v>1368</v>
      </c>
      <c r="BS194" s="43">
        <v>1087</v>
      </c>
      <c r="BT194" s="43">
        <v>1448</v>
      </c>
      <c r="BU194" s="36">
        <f>SUM(BQ194:BT194)</f>
        <v>5028</v>
      </c>
      <c r="BV194" s="43">
        <v>1430</v>
      </c>
      <c r="BW194" s="43">
        <v>1480</v>
      </c>
      <c r="BX194" s="43">
        <v>1207</v>
      </c>
      <c r="BY194" s="43">
        <v>1375</v>
      </c>
      <c r="BZ194" s="36">
        <f>SUM(BV194:BY194)</f>
        <v>5492</v>
      </c>
      <c r="CA194" s="43">
        <v>1494</v>
      </c>
      <c r="CB194" s="43">
        <v>1685</v>
      </c>
      <c r="CC194" s="43">
        <v>1419</v>
      </c>
      <c r="CD194" s="43">
        <v>1349</v>
      </c>
      <c r="CE194" s="36">
        <f>SUM(CA194:CD194)</f>
        <v>5947</v>
      </c>
      <c r="CF194" s="43">
        <v>1479</v>
      </c>
      <c r="CG194" s="43">
        <v>1668</v>
      </c>
      <c r="CH194" s="43">
        <v>1408</v>
      </c>
      <c r="CI194" s="43">
        <v>1398</v>
      </c>
      <c r="CJ194" s="36">
        <f>SUM(CF194:CI194)</f>
        <v>5953</v>
      </c>
      <c r="CK194" s="43">
        <v>1331</v>
      </c>
      <c r="CL194" s="43">
        <v>1693</v>
      </c>
      <c r="CM194" s="43">
        <v>1510</v>
      </c>
      <c r="CN194" s="43">
        <v>1303</v>
      </c>
      <c r="CO194" s="36">
        <f>SUM(CK194:CN194)</f>
        <v>5837</v>
      </c>
      <c r="CP194" s="43">
        <v>1474</v>
      </c>
      <c r="CQ194" s="43">
        <v>1811</v>
      </c>
      <c r="CR194" s="43">
        <v>1480</v>
      </c>
      <c r="CS194" s="43">
        <v>1310</v>
      </c>
      <c r="CT194" s="36">
        <f>SUM(CP194:CS194)</f>
        <v>6075</v>
      </c>
      <c r="CU194" s="369">
        <v>1566</v>
      </c>
      <c r="CV194" s="43">
        <f>CQ194*(1+CV196)*(1+CV199)</f>
        <v>1682.5457699999997</v>
      </c>
      <c r="CW194" s="43">
        <f>CR194*(1+CW196)*(1+CW199)</f>
        <v>1432.7287999999999</v>
      </c>
      <c r="CX194" s="43">
        <f>CS194*(1+CX196)*(1+CX199)</f>
        <v>1228.9371999999998</v>
      </c>
      <c r="CY194" s="36">
        <f>SUM(CU194:CX194)</f>
        <v>5910.2117699999999</v>
      </c>
      <c r="CZ194" s="43">
        <f>CU194*(1+CZ196)*(1+CZ199)</f>
        <v>1454.9236199999998</v>
      </c>
      <c r="DA194" s="43">
        <f>CV194*(1+DA196)*(1+DA199)</f>
        <v>1632.0693968999997</v>
      </c>
      <c r="DB194" s="43">
        <f>CW194*(1+DB196)*(1+DB199)</f>
        <v>1404.0742239999997</v>
      </c>
      <c r="DC194" s="43">
        <f>CX194*(1+DC196)*(1+DC199)</f>
        <v>1204.3584559999999</v>
      </c>
      <c r="DD194" s="36">
        <f>SUM(CZ194:DC194)</f>
        <v>5695.4256968999989</v>
      </c>
      <c r="DE194" s="43">
        <f>CZ194*(1+DE196)*(1+DE199)</f>
        <v>1454.9236199999998</v>
      </c>
      <c r="DF194" s="43">
        <f>DA194*(1+DF196)*(1+DF199)</f>
        <v>1632.0693968999997</v>
      </c>
      <c r="DG194" s="43">
        <f>DB194*(1+DG196)*(1+DG199)</f>
        <v>1404.0742239999997</v>
      </c>
      <c r="DH194" s="43">
        <f>DC194*(1+DH196)*(1+DH199)</f>
        <v>1204.3584559999999</v>
      </c>
      <c r="DI194" s="36">
        <f>SUM(DE194:DH194)</f>
        <v>5695.4256968999989</v>
      </c>
    </row>
    <row r="195" spans="1:113" ht="12" hidden="1" customHeight="1" outlineLevel="1">
      <c r="A195" s="219" t="str">
        <f t="shared" si="364"/>
        <v xml:space="preserve"> </v>
      </c>
      <c r="B195" s="491" t="s">
        <v>171</v>
      </c>
      <c r="C195" s="492"/>
      <c r="D195" s="522"/>
      <c r="E195" s="492"/>
      <c r="F195" s="522"/>
      <c r="G195" s="492"/>
      <c r="H195" s="522"/>
      <c r="I195" s="492"/>
      <c r="J195" s="522"/>
      <c r="K195" s="492"/>
      <c r="L195" s="522"/>
      <c r="M195" s="492"/>
      <c r="N195" s="522"/>
      <c r="O195" s="492"/>
      <c r="P195" s="522"/>
      <c r="Q195" s="492"/>
      <c r="R195" s="378" t="s">
        <v>126</v>
      </c>
      <c r="S195" s="522" t="s">
        <v>126</v>
      </c>
      <c r="T195" s="522" t="s">
        <v>126</v>
      </c>
      <c r="U195" s="522" t="s">
        <v>126</v>
      </c>
      <c r="V195" s="492" t="s">
        <v>126</v>
      </c>
      <c r="W195" s="52">
        <f>+W194/R194-1</f>
        <v>0.22718446601941755</v>
      </c>
      <c r="X195" s="52">
        <f>+X194/S194-1</f>
        <v>0.22862453531598503</v>
      </c>
      <c r="Y195" s="52">
        <f>+Y194/T194-1</f>
        <v>0.19375000000000009</v>
      </c>
      <c r="Z195" s="52">
        <f>+Z194/U194-1</f>
        <v>8.0701754385964941E-2</v>
      </c>
      <c r="AA195" s="112">
        <f>+AA194/V194-1</f>
        <v>0.18021873514027575</v>
      </c>
      <c r="AB195" s="112"/>
      <c r="AC195" s="52">
        <f>+AC194/W194-1</f>
        <v>0.46202531645569622</v>
      </c>
      <c r="AD195" s="52">
        <f>+AD194/X194-1</f>
        <v>0.36611195158850229</v>
      </c>
      <c r="AE195" s="52">
        <f>+AE194/Y194-1</f>
        <v>0.4485165794066317</v>
      </c>
      <c r="AF195" s="52">
        <f>+AF194/Z194-1</f>
        <v>0.51623376623376616</v>
      </c>
      <c r="AG195" s="112">
        <f>+AG194/AA194-1</f>
        <v>0.4468170829975826</v>
      </c>
      <c r="AH195" s="52">
        <f t="shared" ref="AH195:BP195" si="609">+AH194/AC194-1</f>
        <v>9.1991341991342068E-2</v>
      </c>
      <c r="AI195" s="52">
        <f t="shared" si="609"/>
        <v>9.1915836101882586E-2</v>
      </c>
      <c r="AJ195" s="52">
        <f t="shared" si="609"/>
        <v>0.1144578313253013</v>
      </c>
      <c r="AK195" s="52">
        <f t="shared" si="609"/>
        <v>8.8865096359743045E-2</v>
      </c>
      <c r="AL195" s="112">
        <f t="shared" si="609"/>
        <v>9.63519910888333E-2</v>
      </c>
      <c r="AM195" s="52">
        <f t="shared" si="609"/>
        <v>9.415262636273547E-2</v>
      </c>
      <c r="AN195" s="52">
        <f t="shared" si="609"/>
        <v>0.14705882352941169</v>
      </c>
      <c r="AO195" s="52">
        <f t="shared" si="609"/>
        <v>6.8108108108108079E-2</v>
      </c>
      <c r="AP195" s="52">
        <f t="shared" si="609"/>
        <v>0.16715830875122917</v>
      </c>
      <c r="AQ195" s="112">
        <f t="shared" si="609"/>
        <v>0.12014224028448051</v>
      </c>
      <c r="AR195" s="52">
        <f t="shared" si="609"/>
        <v>0.12952898550724634</v>
      </c>
      <c r="AS195" s="52">
        <f t="shared" si="609"/>
        <v>7.9575596816976235E-2</v>
      </c>
      <c r="AT195" s="52">
        <f t="shared" si="609"/>
        <v>0.12854251012145745</v>
      </c>
      <c r="AU195" s="52">
        <f t="shared" si="609"/>
        <v>-2.0219039595619215E-2</v>
      </c>
      <c r="AV195" s="112">
        <f t="shared" si="609"/>
        <v>7.6190476190476142E-2</v>
      </c>
      <c r="AW195" s="52">
        <f t="shared" si="609"/>
        <v>5.6134723336006331E-2</v>
      </c>
      <c r="AX195" s="52">
        <f t="shared" si="609"/>
        <v>4.2588042588042496E-2</v>
      </c>
      <c r="AY195" s="52">
        <f t="shared" si="609"/>
        <v>3.4977578475336335E-2</v>
      </c>
      <c r="AZ195" s="52">
        <f t="shared" si="609"/>
        <v>-1.8056749785038684E-2</v>
      </c>
      <c r="BA195" s="112">
        <f t="shared" si="609"/>
        <v>2.9498525073746285E-2</v>
      </c>
      <c r="BB195" s="52">
        <f t="shared" si="609"/>
        <v>-1.3667425968109326E-2</v>
      </c>
      <c r="BC195" s="52">
        <f t="shared" si="609"/>
        <v>4.7132757266299397E-3</v>
      </c>
      <c r="BD195" s="52">
        <f t="shared" si="609"/>
        <v>-8.6655112651645716E-4</v>
      </c>
      <c r="BE195" s="52">
        <f t="shared" si="609"/>
        <v>5.6917688266199695E-2</v>
      </c>
      <c r="BF195" s="112">
        <f t="shared" si="609"/>
        <v>1.0642652476463343E-2</v>
      </c>
      <c r="BG195" s="52">
        <f t="shared" si="609"/>
        <v>8.3140877598152363E-2</v>
      </c>
      <c r="BH195" s="52">
        <f t="shared" si="609"/>
        <v>9.8514464425332182E-2</v>
      </c>
      <c r="BI195" s="114">
        <f t="shared" si="609"/>
        <v>1.7346053772766767E-2</v>
      </c>
      <c r="BJ195" s="114">
        <f t="shared" si="609"/>
        <v>5.6338028169014009E-2</v>
      </c>
      <c r="BK195" s="112">
        <f t="shared" si="609"/>
        <v>6.5208586472256025E-2</v>
      </c>
      <c r="BL195" s="52">
        <f t="shared" si="609"/>
        <v>1.7057569296375252E-2</v>
      </c>
      <c r="BM195" s="52">
        <f t="shared" si="609"/>
        <v>8.5409252669039759E-3</v>
      </c>
      <c r="BN195" s="52">
        <f t="shared" si="609"/>
        <v>4.6888320545609652E-2</v>
      </c>
      <c r="BO195" s="52">
        <f t="shared" si="609"/>
        <v>-0.55843137254901953</v>
      </c>
      <c r="BP195" s="112">
        <f t="shared" si="609"/>
        <v>-0.11806083650190113</v>
      </c>
      <c r="BQ195" s="52">
        <f t="shared" ref="BQ195:BZ195" si="610">+BQ194/BL194-1</f>
        <v>-0.21383647798742134</v>
      </c>
      <c r="BR195" s="52">
        <f t="shared" si="610"/>
        <v>-3.4580098800282233E-2</v>
      </c>
      <c r="BS195" s="52">
        <f t="shared" si="610"/>
        <v>-0.11482084690553751</v>
      </c>
      <c r="BT195" s="52">
        <f t="shared" si="610"/>
        <v>1.571936056838366</v>
      </c>
      <c r="BU195" s="112">
        <f t="shared" si="610"/>
        <v>8.3854278939426541E-2</v>
      </c>
      <c r="BV195" s="52">
        <f t="shared" si="610"/>
        <v>0.27111111111111108</v>
      </c>
      <c r="BW195" s="52">
        <f t="shared" si="610"/>
        <v>8.1871345029239873E-2</v>
      </c>
      <c r="BX195" s="52">
        <f t="shared" si="610"/>
        <v>0.11039558417663287</v>
      </c>
      <c r="BY195" s="52">
        <f t="shared" si="610"/>
        <v>-5.0414364640884002E-2</v>
      </c>
      <c r="BZ195" s="112">
        <f t="shared" si="610"/>
        <v>9.2283214001591007E-2</v>
      </c>
      <c r="CA195" s="52">
        <f t="shared" ref="CA195" si="611">+CA194/BV194-1</f>
        <v>4.4755244755244838E-2</v>
      </c>
      <c r="CB195" s="52">
        <f t="shared" ref="CB195:CD195" si="612">+CB194/BW194-1</f>
        <v>0.1385135135135136</v>
      </c>
      <c r="CC195" s="52">
        <f t="shared" si="612"/>
        <v>0.17564208782104385</v>
      </c>
      <c r="CD195" s="52">
        <f t="shared" si="612"/>
        <v>-1.8909090909090875E-2</v>
      </c>
      <c r="CE195" s="112">
        <f t="shared" ref="CE195" si="613">+CE194/BZ194-1</f>
        <v>8.2847778587035625E-2</v>
      </c>
      <c r="CF195" s="52">
        <f t="shared" ref="CF195" si="614">+CF194/CA194-1</f>
        <v>-1.0040160642570295E-2</v>
      </c>
      <c r="CG195" s="52">
        <f t="shared" ref="CG195:CH195" si="615">+CG194/CB194-1</f>
        <v>-1.0089020771513302E-2</v>
      </c>
      <c r="CH195" s="52">
        <f t="shared" si="615"/>
        <v>-7.7519379844961378E-3</v>
      </c>
      <c r="CI195" s="52">
        <f t="shared" ref="CI195" si="616">+CI194/CD194-1</f>
        <v>3.6323202372127605E-2</v>
      </c>
      <c r="CJ195" s="112">
        <f t="shared" ref="CJ195:CK195" si="617">+CJ194/CE194-1</f>
        <v>1.0089120564991116E-3</v>
      </c>
      <c r="CK195" s="52">
        <f t="shared" si="617"/>
        <v>-0.10006761325219748</v>
      </c>
      <c r="CL195" s="52">
        <f t="shared" ref="CL195" si="618">+CL194/CG194-1</f>
        <v>1.4988009592326046E-2</v>
      </c>
      <c r="CM195" s="52">
        <f t="shared" ref="CM195" si="619">+CM194/CH194-1</f>
        <v>7.2443181818181879E-2</v>
      </c>
      <c r="CN195" s="52">
        <f t="shared" ref="CN195" si="620">+CN194/CI194-1</f>
        <v>-6.7954220314735303E-2</v>
      </c>
      <c r="CO195" s="112">
        <f t="shared" ref="CO195" si="621">+CO194/CJ194-1</f>
        <v>-1.9485973458760242E-2</v>
      </c>
      <c r="CP195" s="52">
        <f t="shared" ref="CP195:CR195" si="622">+CP194/CK194-1</f>
        <v>0.10743801652892571</v>
      </c>
      <c r="CQ195" s="52">
        <f t="shared" si="622"/>
        <v>6.9698759598346038E-2</v>
      </c>
      <c r="CR195" s="52">
        <f t="shared" si="622"/>
        <v>-1.9867549668874163E-2</v>
      </c>
      <c r="CS195" s="52">
        <f t="shared" ref="CS195" si="623">+CS194/CN194-1</f>
        <v>5.372217958557135E-3</v>
      </c>
      <c r="CT195" s="112">
        <f t="shared" ref="CT195" si="624">+CT194/CO194-1</f>
        <v>4.0774370395751269E-2</v>
      </c>
      <c r="CU195" s="114">
        <f t="shared" ref="CU195" si="625">+CU194/CP194-1</f>
        <v>6.241519674355489E-2</v>
      </c>
      <c r="CV195" s="52">
        <f t="shared" ref="CV195" si="626">+CV194/CQ194-1</f>
        <v>-7.093000000000016E-2</v>
      </c>
      <c r="CW195" s="52">
        <f t="shared" ref="CW195" si="627">+CW194/CR194-1</f>
        <v>-3.1940000000000079E-2</v>
      </c>
      <c r="CX195" s="52">
        <f t="shared" ref="CX195" si="628">+CX194/CS194-1</f>
        <v>-6.1880000000000157E-2</v>
      </c>
      <c r="CY195" s="112">
        <f t="shared" ref="CY195" si="629">+CY194/CT194-1</f>
        <v>-2.7125634567901291E-2</v>
      </c>
      <c r="CZ195" s="52">
        <f t="shared" ref="CZ195" si="630">+CZ194/CU194-1</f>
        <v>-7.093000000000016E-2</v>
      </c>
      <c r="DA195" s="52">
        <f t="shared" ref="DA195" si="631">+DA194/CV194-1</f>
        <v>-3.0000000000000027E-2</v>
      </c>
      <c r="DB195" s="52">
        <f t="shared" ref="DB195" si="632">+DB194/CW194-1</f>
        <v>-2.0000000000000129E-2</v>
      </c>
      <c r="DC195" s="52">
        <f t="shared" ref="DC195" si="633">+DC194/CX194-1</f>
        <v>-1.9999999999999907E-2</v>
      </c>
      <c r="DD195" s="112">
        <f t="shared" ref="DD195" si="634">+DD194/CY194-1</f>
        <v>-3.6341518960495867E-2</v>
      </c>
      <c r="DE195" s="52">
        <f t="shared" ref="DE195" si="635">+DE194/CZ194-1</f>
        <v>0</v>
      </c>
      <c r="DF195" s="52">
        <f t="shared" ref="DF195" si="636">+DF194/DA194-1</f>
        <v>0</v>
      </c>
      <c r="DG195" s="52">
        <f t="shared" ref="DG195" si="637">+DG194/DB194-1</f>
        <v>0</v>
      </c>
      <c r="DH195" s="52">
        <f t="shared" ref="DH195" si="638">+DH194/DC194-1</f>
        <v>0</v>
      </c>
      <c r="DI195" s="112">
        <f t="shared" ref="DI195" si="639">+DI194/DD194-1</f>
        <v>0</v>
      </c>
    </row>
    <row r="196" spans="1:113" s="529" customFormat="1" ht="12" hidden="1" customHeight="1" outlineLevel="1">
      <c r="A196" s="219" t="str">
        <f t="shared" si="364"/>
        <v xml:space="preserve"> </v>
      </c>
      <c r="B196" s="526" t="s">
        <v>173</v>
      </c>
      <c r="C196" s="112"/>
      <c r="D196" s="52"/>
      <c r="E196" s="112"/>
      <c r="F196" s="52"/>
      <c r="G196" s="112"/>
      <c r="H196" s="52"/>
      <c r="I196" s="112"/>
      <c r="J196" s="52"/>
      <c r="K196" s="112"/>
      <c r="L196" s="52"/>
      <c r="M196" s="112"/>
      <c r="N196" s="52"/>
      <c r="O196" s="112"/>
      <c r="P196" s="52"/>
      <c r="Q196" s="112"/>
      <c r="R196" s="217">
        <v>0.16</v>
      </c>
      <c r="S196" s="52">
        <v>0.22</v>
      </c>
      <c r="T196" s="52">
        <v>0.18</v>
      </c>
      <c r="U196" s="52">
        <v>0.28000000000000003</v>
      </c>
      <c r="V196" s="112" t="s">
        <v>126</v>
      </c>
      <c r="W196" s="52">
        <v>0.22</v>
      </c>
      <c r="X196" s="52">
        <v>0.23</v>
      </c>
      <c r="Y196" s="52">
        <v>0.19</v>
      </c>
      <c r="Z196" s="52">
        <v>0.08</v>
      </c>
      <c r="AA196" s="232" t="s">
        <v>126</v>
      </c>
      <c r="AB196" s="232"/>
      <c r="AC196" s="52">
        <v>0.26</v>
      </c>
      <c r="AD196" s="52">
        <v>0.19</v>
      </c>
      <c r="AE196" s="52">
        <v>0.22</v>
      </c>
      <c r="AF196" s="52">
        <v>0.22</v>
      </c>
      <c r="AG196" s="112">
        <v>0.2</v>
      </c>
      <c r="AH196" s="52">
        <v>0.09</v>
      </c>
      <c r="AI196" s="52">
        <v>0.09</v>
      </c>
      <c r="AJ196" s="52">
        <v>0.12</v>
      </c>
      <c r="AK196" s="52">
        <v>0.09</v>
      </c>
      <c r="AL196" s="112">
        <v>0.1</v>
      </c>
      <c r="AM196" s="52">
        <v>0.1</v>
      </c>
      <c r="AN196" s="52">
        <v>0.15</v>
      </c>
      <c r="AO196" s="52">
        <v>7.0000000000000007E-2</v>
      </c>
      <c r="AP196" s="52">
        <v>0.17</v>
      </c>
      <c r="AQ196" s="112">
        <v>0.12</v>
      </c>
      <c r="AR196" s="52">
        <v>0.13</v>
      </c>
      <c r="AS196" s="52">
        <v>0.08</v>
      </c>
      <c r="AT196" s="52">
        <v>0.14000000000000001</v>
      </c>
      <c r="AU196" s="52">
        <v>-0.02</v>
      </c>
      <c r="AV196" s="112">
        <v>0.08</v>
      </c>
      <c r="AW196" s="52">
        <v>0.06</v>
      </c>
      <c r="AX196" s="52">
        <v>0.04</v>
      </c>
      <c r="AY196" s="52">
        <v>0.03</v>
      </c>
      <c r="AZ196" s="52">
        <v>-0.02</v>
      </c>
      <c r="BA196" s="112">
        <v>0.03</v>
      </c>
      <c r="BB196" s="52">
        <v>-0.01</v>
      </c>
      <c r="BC196" s="52">
        <v>0</v>
      </c>
      <c r="BD196" s="52">
        <v>0</v>
      </c>
      <c r="BE196" s="114">
        <v>0.06</v>
      </c>
      <c r="BF196" s="112">
        <f>SUMPRODUCT(BB196:BE196,AW194:AZ194)/BA194</f>
        <v>1.1328284895620138E-2</v>
      </c>
      <c r="BG196" s="114">
        <v>0.08</v>
      </c>
      <c r="BH196" s="114">
        <v>0.1</v>
      </c>
      <c r="BI196" s="114">
        <v>0.02</v>
      </c>
      <c r="BJ196" s="114">
        <v>0.06</v>
      </c>
      <c r="BK196" s="112">
        <f>SUMPRODUCT(BG196:BJ196,BB194:BE194)/BF194</f>
        <v>6.628189550425273E-2</v>
      </c>
      <c r="BL196" s="114">
        <v>0.02</v>
      </c>
      <c r="BM196" s="114">
        <v>0.01</v>
      </c>
      <c r="BN196" s="114">
        <v>0.05</v>
      </c>
      <c r="BO196" s="114">
        <v>-0.56000000000000005</v>
      </c>
      <c r="BP196" s="112">
        <f>SUMPRODUCT(BL196:BO196,BG194:BJ194)/BK194</f>
        <v>-0.11657034220532321</v>
      </c>
      <c r="BQ196" s="114">
        <v>-0.21</v>
      </c>
      <c r="BR196" s="114">
        <v>-0.03</v>
      </c>
      <c r="BS196" s="114">
        <v>-0.12</v>
      </c>
      <c r="BT196" s="114">
        <v>1.56</v>
      </c>
      <c r="BU196" s="112">
        <f>SUMPRODUCT(BQ196:BT196,BL194:BO194)/BP194</f>
        <v>8.361715887044624E-2</v>
      </c>
      <c r="BV196" s="114">
        <v>0.27</v>
      </c>
      <c r="BW196" s="114">
        <v>0.08</v>
      </c>
      <c r="BX196" s="114">
        <v>0.11</v>
      </c>
      <c r="BY196" s="114">
        <v>-0.05</v>
      </c>
      <c r="BZ196" s="112">
        <f>SUMPRODUCT(BV196:BY196,BQ194:BT194)/BU194</f>
        <v>9.1559268098647575E-2</v>
      </c>
      <c r="CA196" s="114">
        <v>0.05</v>
      </c>
      <c r="CB196" s="114">
        <v>0.14000000000000001</v>
      </c>
      <c r="CC196" s="114">
        <v>0.18</v>
      </c>
      <c r="CD196" s="114">
        <v>-0.02</v>
      </c>
      <c r="CE196" s="112">
        <f>SUMPRODUCT(CA196:CD196,BV194:BY194)/BZ194</f>
        <v>8.5298616168973052E-2</v>
      </c>
      <c r="CF196" s="114">
        <v>-0.01</v>
      </c>
      <c r="CG196" s="581">
        <v>-0.01</v>
      </c>
      <c r="CH196" s="114">
        <v>-0.01</v>
      </c>
      <c r="CI196" s="114">
        <v>0.04</v>
      </c>
      <c r="CJ196" s="112">
        <f>SUMPRODUCT(CF196:CI196,CA194:CD194)/CE194</f>
        <v>1.3418530351437705E-3</v>
      </c>
      <c r="CK196" s="114">
        <v>-0.1</v>
      </c>
      <c r="CL196" s="114">
        <v>0.01</v>
      </c>
      <c r="CM196" s="114">
        <v>0.08</v>
      </c>
      <c r="CN196" s="114">
        <v>-7.0000000000000007E-2</v>
      </c>
      <c r="CO196" s="112">
        <f>SUMPRODUCT(CK196:CN196,CF194:CI194)/CJ194</f>
        <v>-1.9559885771879726E-2</v>
      </c>
      <c r="CP196" s="114">
        <v>0.11</v>
      </c>
      <c r="CQ196" s="114">
        <v>7.0000000000000007E-2</v>
      </c>
      <c r="CR196" s="114">
        <v>-0.02</v>
      </c>
      <c r="CS196" s="114">
        <v>0</v>
      </c>
      <c r="CT196" s="112">
        <f>SUMPRODUCT(CP196:CS196,CK194:CN194)/CO194</f>
        <v>4.0212437896179551E-2</v>
      </c>
      <c r="CU196" s="114">
        <v>0.06</v>
      </c>
      <c r="CV196" s="53">
        <f>-3%-4%</f>
        <v>-7.0000000000000007E-2</v>
      </c>
      <c r="CW196" s="53">
        <v>-0.03</v>
      </c>
      <c r="CX196" s="53">
        <v>-0.06</v>
      </c>
      <c r="CY196" s="112">
        <f>SUMPRODUCT(CU196:CX196,CP194:CS194)/CT194</f>
        <v>-2.6556378600823046E-2</v>
      </c>
      <c r="CZ196" s="53">
        <v>-7.0000000000000007E-2</v>
      </c>
      <c r="DA196" s="53">
        <v>-0.03</v>
      </c>
      <c r="DB196" s="53">
        <v>-0.02</v>
      </c>
      <c r="DC196" s="53">
        <v>-0.02</v>
      </c>
      <c r="DD196" s="112">
        <f>SUMPRODUCT(CZ196:DC196,CU194:CX194)/CY194</f>
        <v>-3.6095101394310949E-2</v>
      </c>
      <c r="DE196" s="53">
        <v>0</v>
      </c>
      <c r="DF196" s="53">
        <v>0</v>
      </c>
      <c r="DG196" s="53">
        <v>0</v>
      </c>
      <c r="DH196" s="53">
        <v>0</v>
      </c>
      <c r="DI196" s="112">
        <f>SUMPRODUCT(DE196:DH196,CZ194:DC194)/DD194</f>
        <v>0</v>
      </c>
    </row>
    <row r="197" spans="1:113" s="545" customFormat="1" ht="12" hidden="1" customHeight="1" outlineLevel="1">
      <c r="A197" s="219" t="str">
        <f t="shared" si="364"/>
        <v xml:space="preserve"> </v>
      </c>
      <c r="B197" s="546" t="s">
        <v>142</v>
      </c>
      <c r="C197" s="112"/>
      <c r="D197" s="52"/>
      <c r="E197" s="112"/>
      <c r="F197" s="52"/>
      <c r="G197" s="112"/>
      <c r="H197" s="52"/>
      <c r="I197" s="112"/>
      <c r="J197" s="52"/>
      <c r="K197" s="112"/>
      <c r="L197" s="52"/>
      <c r="M197" s="112"/>
      <c r="N197" s="52"/>
      <c r="O197" s="112"/>
      <c r="P197" s="52"/>
      <c r="Q197" s="112"/>
      <c r="R197" s="217" t="s">
        <v>126</v>
      </c>
      <c r="S197" s="52" t="s">
        <v>126</v>
      </c>
      <c r="T197" s="52" t="s">
        <v>126</v>
      </c>
      <c r="U197" s="52" t="s">
        <v>126</v>
      </c>
      <c r="V197" s="112" t="s">
        <v>126</v>
      </c>
      <c r="W197" s="52">
        <v>0.2</v>
      </c>
      <c r="X197" s="52">
        <v>0.21</v>
      </c>
      <c r="Y197" s="52">
        <v>7.0000000000000007E-2</v>
      </c>
      <c r="Z197" s="52">
        <f>+Z196-Z198</f>
        <v>-0.21999999999999997</v>
      </c>
      <c r="AA197" s="112">
        <v>0.05</v>
      </c>
      <c r="AB197" s="112"/>
      <c r="AC197" s="52">
        <v>0.05</v>
      </c>
      <c r="AD197" s="52">
        <v>-0.02</v>
      </c>
      <c r="AE197" s="52">
        <v>0.11</v>
      </c>
      <c r="AF197" s="52">
        <v>0.25</v>
      </c>
      <c r="AG197" s="112">
        <v>0.1</v>
      </c>
      <c r="AH197" s="52">
        <v>0.06</v>
      </c>
      <c r="AI197" s="52">
        <v>0.06</v>
      </c>
      <c r="AJ197" s="52">
        <v>0.09</v>
      </c>
      <c r="AK197" s="52">
        <f>((AL197*SUM(AC194:AF194))-AH197*AC194-AI197*AD194-AJ197*AE194)/AF194</f>
        <v>3.3340471092077058E-2</v>
      </c>
      <c r="AL197" s="112">
        <v>0.06</v>
      </c>
      <c r="AM197" s="52">
        <v>0.06</v>
      </c>
      <c r="AN197" s="52">
        <v>0.12</v>
      </c>
      <c r="AO197" s="52">
        <v>0.02</v>
      </c>
      <c r="AP197" s="52">
        <f>((AQ197*SUM(AH194:AK194))-AM197*AH194-AN197*AI194-AO197*AJ194)/AK194</f>
        <v>0.15434611602753193</v>
      </c>
      <c r="AQ197" s="112">
        <v>0.09</v>
      </c>
      <c r="AR197" s="52">
        <v>0.1</v>
      </c>
      <c r="AS197" s="52">
        <v>0.08</v>
      </c>
      <c r="AT197" s="52">
        <v>0.17</v>
      </c>
      <c r="AU197" s="52">
        <f>((AV197*SUM(AM194:AP194))-AR197*AM194-AS197*AN194-AT197*AO194)/AP194</f>
        <v>-5.0665543386689112E-2</v>
      </c>
      <c r="AV197" s="112">
        <v>7.0000000000000007E-2</v>
      </c>
      <c r="AW197" s="52">
        <v>0.09</v>
      </c>
      <c r="AX197" s="52">
        <v>0.01</v>
      </c>
      <c r="AY197" s="52">
        <v>0.01</v>
      </c>
      <c r="AZ197" s="52">
        <f>((BA197*SUM(AR194:AU194))-AW197*AR194-AX197*AS194-AY197*AT194)/AU194</f>
        <v>-3.4969905417024924E-2</v>
      </c>
      <c r="BA197" s="112">
        <v>0.02</v>
      </c>
      <c r="BB197" s="52">
        <v>-0.06</v>
      </c>
      <c r="BC197" s="52">
        <v>-0.03</v>
      </c>
      <c r="BD197" s="52">
        <v>-7.0000000000000007E-2</v>
      </c>
      <c r="BE197" s="52">
        <f>((BF197*SUM(AW194:AZ194))-BB197*AW194-BC197*AX194-BD197*AY194)/AZ194</f>
        <v>2.2329246935201374E-3</v>
      </c>
      <c r="BF197" s="112">
        <v>-0.04</v>
      </c>
      <c r="BG197" s="52">
        <v>7.0000000000000007E-2</v>
      </c>
      <c r="BH197" s="52">
        <v>0.06</v>
      </c>
      <c r="BI197" s="114">
        <v>-0.01</v>
      </c>
      <c r="BJ197" s="52">
        <f>((BK197*SUM(BB194:BE194))-BG197*BB194-BH197*BC194-BI197*BD194)/BE194</f>
        <v>7.51946975973488E-2</v>
      </c>
      <c r="BK197" s="112">
        <v>0.05</v>
      </c>
      <c r="BL197" s="114">
        <v>0</v>
      </c>
      <c r="BM197" s="52">
        <v>-0.01</v>
      </c>
      <c r="BN197" s="52">
        <v>0.02</v>
      </c>
      <c r="BO197" s="52">
        <f>((BP197*SUM(BG194:BJ194))-BL197*BG194-BM197*BH194-BN197*BI194)/BJ194</f>
        <v>-0.66745882352941188</v>
      </c>
      <c r="BP197" s="112">
        <v>-0.16</v>
      </c>
      <c r="BQ197" s="114">
        <v>-0.19</v>
      </c>
      <c r="BR197" s="114">
        <v>0</v>
      </c>
      <c r="BS197" s="114">
        <v>-0.18</v>
      </c>
      <c r="BT197" s="52">
        <f>((BU197*SUM(BL194:BO194))-BQ197*BL194-BR197*BM194-BS197*BN194)/BO194</f>
        <v>1.5347246891651865</v>
      </c>
      <c r="BU197" s="112">
        <v>0.08</v>
      </c>
      <c r="BV197" s="114">
        <v>0.13</v>
      </c>
      <c r="BW197" s="114">
        <v>-0.05</v>
      </c>
      <c r="BX197" s="114">
        <v>-0.06</v>
      </c>
      <c r="BY197" s="52">
        <f>((BZ197*SUM(BQ194:BT194))-BV197*BQ194-BW197*BR194-BX197*BS194)/BT194</f>
        <v>-7.8169889502762435E-2</v>
      </c>
      <c r="BZ197" s="112">
        <v>-0.02</v>
      </c>
      <c r="CA197" s="114">
        <v>0.05</v>
      </c>
      <c r="CB197" s="52">
        <v>0.15</v>
      </c>
      <c r="CC197" s="114">
        <v>0.2</v>
      </c>
      <c r="CD197" s="52">
        <f>((CE197*SUM(BV194:BY194))-CA197*BV194-CB197*BW194-CC197*BX194)/BY194</f>
        <v>-0.10942545454545451</v>
      </c>
      <c r="CE197" s="112">
        <v>7.0000000000000007E-2</v>
      </c>
      <c r="CF197" s="52">
        <v>-0.11</v>
      </c>
      <c r="CG197" s="52">
        <v>-0.16</v>
      </c>
      <c r="CH197" s="52">
        <v>-0.05</v>
      </c>
      <c r="CI197" s="52">
        <f>((CJ197*SUM(CA194:CD194))-CF197*CA194-CG197*CB194-CH197*CC194)/CD194</f>
        <v>0.10976278724981471</v>
      </c>
      <c r="CJ197" s="112">
        <v>-0.06</v>
      </c>
      <c r="CK197" s="52">
        <v>-0.12</v>
      </c>
      <c r="CL197" s="52">
        <v>0.11</v>
      </c>
      <c r="CM197" s="52">
        <v>-0.06</v>
      </c>
      <c r="CN197" s="52">
        <f>((CO197*SUM(CF194:CI194))-CK197*CF194-CL197*CG194-CM197*CH194)/CI194</f>
        <v>1.355507868383404E-2</v>
      </c>
      <c r="CO197" s="112">
        <v>-0.01</v>
      </c>
      <c r="CP197" s="52">
        <v>0.16</v>
      </c>
      <c r="CQ197" s="52">
        <v>0.03</v>
      </c>
      <c r="CR197" s="52">
        <v>-0.01</v>
      </c>
      <c r="CS197" s="52">
        <f>((CT197*SUM(CK194:CN194))-CP197*CK194-CQ197*CL194-CR197*CM194)/CN194</f>
        <v>-0.10123561013046815</v>
      </c>
      <c r="CT197" s="112">
        <v>0.02</v>
      </c>
      <c r="CU197" s="114"/>
      <c r="CV197" s="52"/>
      <c r="CW197" s="52"/>
      <c r="CX197" s="52"/>
      <c r="CY197" s="112"/>
      <c r="CZ197" s="52"/>
      <c r="DA197" s="52"/>
      <c r="DB197" s="52"/>
      <c r="DC197" s="52"/>
      <c r="DD197" s="112"/>
      <c r="DE197" s="52"/>
      <c r="DF197" s="52"/>
      <c r="DG197" s="52"/>
      <c r="DH197" s="52"/>
      <c r="DI197" s="112"/>
    </row>
    <row r="198" spans="1:113" s="545" customFormat="1" ht="12" hidden="1" customHeight="1" outlineLevel="1">
      <c r="A198" s="219" t="str">
        <f t="shared" si="364"/>
        <v xml:space="preserve"> </v>
      </c>
      <c r="B198" s="546" t="s">
        <v>143</v>
      </c>
      <c r="C198" s="112"/>
      <c r="D198" s="52"/>
      <c r="E198" s="112"/>
      <c r="F198" s="52"/>
      <c r="G198" s="112"/>
      <c r="H198" s="52"/>
      <c r="I198" s="112"/>
      <c r="J198" s="52"/>
      <c r="K198" s="112"/>
      <c r="L198" s="52"/>
      <c r="M198" s="112"/>
      <c r="N198" s="52"/>
      <c r="O198" s="112"/>
      <c r="P198" s="52"/>
      <c r="Q198" s="112"/>
      <c r="R198" s="217" t="s">
        <v>126</v>
      </c>
      <c r="S198" s="52" t="s">
        <v>126</v>
      </c>
      <c r="T198" s="52" t="s">
        <v>126</v>
      </c>
      <c r="U198" s="52" t="s">
        <v>126</v>
      </c>
      <c r="V198" s="112" t="s">
        <v>126</v>
      </c>
      <c r="W198" s="52">
        <v>0.02</v>
      </c>
      <c r="X198" s="52">
        <v>0.02</v>
      </c>
      <c r="Y198" s="52">
        <v>0.12</v>
      </c>
      <c r="Z198" s="52">
        <v>0.3</v>
      </c>
      <c r="AA198" s="112">
        <v>0.13</v>
      </c>
      <c r="AB198" s="112"/>
      <c r="AC198" s="52">
        <v>0.21</v>
      </c>
      <c r="AD198" s="52">
        <v>0.21</v>
      </c>
      <c r="AE198" s="52">
        <v>0.11</v>
      </c>
      <c r="AF198" s="52">
        <f>(1+AF196)/(1+AF197)-1</f>
        <v>-2.4000000000000021E-2</v>
      </c>
      <c r="AG198" s="112">
        <v>0.12</v>
      </c>
      <c r="AH198" s="52">
        <v>0.03</v>
      </c>
      <c r="AI198" s="52">
        <v>0.03</v>
      </c>
      <c r="AJ198" s="52">
        <v>0.03</v>
      </c>
      <c r="AK198" s="52">
        <f>((AL198*SUM(AC194:AF194))-AH198*AC194-AI198*AD194-AJ198*AE194)/AF194</f>
        <v>6.8447537473233414E-2</v>
      </c>
      <c r="AL198" s="112">
        <v>0.04</v>
      </c>
      <c r="AM198" s="52">
        <v>0.04</v>
      </c>
      <c r="AN198" s="52">
        <v>0.03</v>
      </c>
      <c r="AO198" s="52">
        <v>0.05</v>
      </c>
      <c r="AP198" s="52">
        <f>((AQ198*SUM(AH194:AK194))-AM198*AH194-AN198*AI194-AO198*AJ194)/AK194</f>
        <v>1.8879056047197656E-3</v>
      </c>
      <c r="AQ198" s="112">
        <v>0.03</v>
      </c>
      <c r="AR198" s="52">
        <v>0.03</v>
      </c>
      <c r="AS198" s="52">
        <v>0</v>
      </c>
      <c r="AT198" s="52">
        <v>-0.03</v>
      </c>
      <c r="AU198" s="52">
        <f>((AV198*SUM(AM194:AP194))-AR198*AM194-AS198*AN194-AT198*AO194)/AP194</f>
        <v>3.4220724515585513E-2</v>
      </c>
      <c r="AV198" s="112">
        <v>0.01</v>
      </c>
      <c r="AW198" s="52">
        <v>-0.03</v>
      </c>
      <c r="AX198" s="52">
        <v>0.03</v>
      </c>
      <c r="AY198" s="52">
        <v>0.02</v>
      </c>
      <c r="AZ198" s="52">
        <f>((BA198*SUM(AR194:AU194))-AW198*AR194-AX198*AS194-AY198*AT194)/AU194</f>
        <v>2.2304385210662088E-2</v>
      </c>
      <c r="BA198" s="112">
        <v>0.01</v>
      </c>
      <c r="BB198" s="52">
        <v>0.05</v>
      </c>
      <c r="BC198" s="52">
        <v>0.03</v>
      </c>
      <c r="BD198" s="52">
        <v>7.0000000000000007E-2</v>
      </c>
      <c r="BE198" s="52">
        <f>((BF198*SUM(AW194:AZ194))-BB198*AW194-BC198*AX194-BD198*AY194)/AZ194</f>
        <v>5.2084063047285453E-2</v>
      </c>
      <c r="BF198" s="112">
        <v>0.05</v>
      </c>
      <c r="BG198" s="52">
        <v>0.01</v>
      </c>
      <c r="BH198" s="52">
        <v>0.04</v>
      </c>
      <c r="BI198" s="114">
        <v>0.03</v>
      </c>
      <c r="BJ198" s="52">
        <f>((BK198*SUM(BB194:BE194))-BG198*BB194-BH198*BC194-BI198*BD194)/BE194</f>
        <v>1.6570008285012618E-5</v>
      </c>
      <c r="BK198" s="112">
        <v>0.02</v>
      </c>
      <c r="BL198" s="114">
        <v>0.02</v>
      </c>
      <c r="BM198" s="52">
        <v>0.02</v>
      </c>
      <c r="BN198" s="52">
        <v>0.03</v>
      </c>
      <c r="BO198" s="52">
        <f>((BP198*SUM(BG194:BJ194))-BL198*BG194-BM198*BH194-BN198*BI194)/BJ194</f>
        <v>9.3309803921568624E-2</v>
      </c>
      <c r="BP198" s="112">
        <v>0.04</v>
      </c>
      <c r="BQ198" s="114">
        <v>-0.02</v>
      </c>
      <c r="BR198" s="114">
        <v>-0.03</v>
      </c>
      <c r="BS198" s="114">
        <v>0.06</v>
      </c>
      <c r="BT198" s="52">
        <f>((BU198*SUM(BL194:BO194))-BQ198*BL194-BR198*BM194-BS198*BN194)/BO194</f>
        <v>-4.5293072824156254E-3</v>
      </c>
      <c r="BU198" s="112">
        <v>0</v>
      </c>
      <c r="BV198" s="114">
        <v>0.14000000000000001</v>
      </c>
      <c r="BW198" s="114">
        <v>0.13</v>
      </c>
      <c r="BX198" s="114">
        <v>0.17</v>
      </c>
      <c r="BY198" s="52">
        <f>((BZ198*SUM(BQ194:BT194))-BV198*BQ194-BW198*BR194-BX198*BS194)/BT194</f>
        <v>2.2755524861878464E-2</v>
      </c>
      <c r="BZ198" s="112">
        <v>0.11</v>
      </c>
      <c r="CA198" s="114">
        <v>0</v>
      </c>
      <c r="CB198" s="52">
        <v>-0.01</v>
      </c>
      <c r="CC198" s="114">
        <v>-0.02</v>
      </c>
      <c r="CD198" s="52">
        <f>((CE198*SUM(BV194:BY194))-CA198*BV194-CB198*BW194-CC198*BX194)/BY194</f>
        <v>0.10820363636363636</v>
      </c>
      <c r="CE198" s="112">
        <v>0.02</v>
      </c>
      <c r="CF198" s="52">
        <v>0.1</v>
      </c>
      <c r="CG198" s="52">
        <v>0.15</v>
      </c>
      <c r="CH198" s="52">
        <v>0.04</v>
      </c>
      <c r="CI198" s="52">
        <f>((CJ198*SUM(CA194:CD194))-CF198*CA194-CG198*CB194-CH198*CC194)/CD194</f>
        <v>-7.5678280207561163E-2</v>
      </c>
      <c r="CJ198" s="112">
        <v>0.06</v>
      </c>
      <c r="CK198" s="52">
        <v>0.02</v>
      </c>
      <c r="CL198" s="52">
        <v>-0.1</v>
      </c>
      <c r="CM198" s="52">
        <v>-0.02</v>
      </c>
      <c r="CN198" s="52">
        <f>((CO198*SUM(CF194:CI194))-CK198*CF194-CL198*CG194-CM198*CH194)/CI194</f>
        <v>7.5715307582260374E-2</v>
      </c>
      <c r="CO198" s="112">
        <v>-0.01</v>
      </c>
      <c r="CP198" s="52">
        <v>-0.05</v>
      </c>
      <c r="CQ198" s="52">
        <v>0.04</v>
      </c>
      <c r="CR198" s="52">
        <v>-0.01</v>
      </c>
      <c r="CS198" s="52">
        <f>((CT198*SUM(CK194:CN194))-CP198*CK194-CQ198*CL194-CR198*CM194)/CN194</f>
        <v>0.10028396009209518</v>
      </c>
      <c r="CT198" s="112">
        <v>0.02</v>
      </c>
      <c r="CU198" s="114"/>
      <c r="CV198" s="52"/>
      <c r="CW198" s="52"/>
      <c r="CX198" s="52"/>
      <c r="CY198" s="112"/>
      <c r="CZ198" s="52"/>
      <c r="DA198" s="52"/>
      <c r="DB198" s="52"/>
      <c r="DC198" s="52"/>
      <c r="DD198" s="112"/>
      <c r="DE198" s="52"/>
      <c r="DF198" s="52"/>
      <c r="DG198" s="52"/>
      <c r="DH198" s="52"/>
      <c r="DI198" s="112"/>
    </row>
    <row r="199" spans="1:113" s="530" customFormat="1" ht="12" hidden="1" customHeight="1" outlineLevel="1">
      <c r="A199" s="219" t="str">
        <f t="shared" si="364"/>
        <v xml:space="preserve"> </v>
      </c>
      <c r="B199" s="553" t="s">
        <v>141</v>
      </c>
      <c r="C199" s="492"/>
      <c r="D199" s="522"/>
      <c r="E199" s="492"/>
      <c r="F199" s="522"/>
      <c r="G199" s="492"/>
      <c r="H199" s="522"/>
      <c r="I199" s="492"/>
      <c r="J199" s="522"/>
      <c r="K199" s="492"/>
      <c r="L199" s="522"/>
      <c r="M199" s="492"/>
      <c r="N199" s="522"/>
      <c r="O199" s="492"/>
      <c r="P199" s="522"/>
      <c r="Q199" s="492"/>
      <c r="R199" s="378" t="s">
        <v>126</v>
      </c>
      <c r="S199" s="522" t="s">
        <v>126</v>
      </c>
      <c r="T199" s="522" t="s">
        <v>126</v>
      </c>
      <c r="U199" s="522" t="s">
        <v>126</v>
      </c>
      <c r="V199" s="492" t="s">
        <v>126</v>
      </c>
      <c r="W199" s="52">
        <f>(1+W195)/(1+W196)-1</f>
        <v>5.8889065732929957E-3</v>
      </c>
      <c r="X199" s="52">
        <f>(1+X195)/(1+X196)-1</f>
        <v>-1.1182639707438824E-3</v>
      </c>
      <c r="Y199" s="52">
        <f>(1+Y195)/(1+Y196)-1</f>
        <v>3.1512605042018915E-3</v>
      </c>
      <c r="Z199" s="52">
        <f>(1+Z195)/(1+Z196)-1</f>
        <v>6.4977257959708545E-4</v>
      </c>
      <c r="AA199" s="232" t="s">
        <v>126</v>
      </c>
      <c r="AB199" s="232"/>
      <c r="AC199" s="52">
        <f>(1+AC195)/(1+AC196)-1</f>
        <v>0.16033755274261607</v>
      </c>
      <c r="AD199" s="52">
        <f t="shared" ref="AD199:BF199" si="640">(1+AD195)/(1+AD196)-1</f>
        <v>0.14799323662899355</v>
      </c>
      <c r="AE199" s="52">
        <f t="shared" si="640"/>
        <v>0.18730867164478004</v>
      </c>
      <c r="AF199" s="52">
        <f t="shared" si="640"/>
        <v>0.24281456248669353</v>
      </c>
      <c r="AG199" s="112">
        <f t="shared" si="640"/>
        <v>0.20568090249798554</v>
      </c>
      <c r="AH199" s="52">
        <f>(1+AH195)/(1+AH196)-1</f>
        <v>1.8269192581119587E-3</v>
      </c>
      <c r="AI199" s="52">
        <f t="shared" si="640"/>
        <v>1.7576477998921813E-3</v>
      </c>
      <c r="AJ199" s="52">
        <f t="shared" si="640"/>
        <v>-4.9483648881238906E-3</v>
      </c>
      <c r="AK199" s="52">
        <f t="shared" si="640"/>
        <v>-1.0411960002357779E-3</v>
      </c>
      <c r="AL199" s="112">
        <f t="shared" si="640"/>
        <v>-3.316371737424384E-3</v>
      </c>
      <c r="AM199" s="52">
        <f>(1+AM195)/(1+AM196)-1</f>
        <v>-5.3157942156950577E-3</v>
      </c>
      <c r="AN199" s="52">
        <f t="shared" si="640"/>
        <v>-2.5575447570332921E-3</v>
      </c>
      <c r="AO199" s="52">
        <f t="shared" si="640"/>
        <v>-1.7681232634504385E-3</v>
      </c>
      <c r="AP199" s="52">
        <f t="shared" si="640"/>
        <v>-2.4287959391202651E-3</v>
      </c>
      <c r="AQ199" s="112">
        <f t="shared" si="640"/>
        <v>1.2700025400036452E-4</v>
      </c>
      <c r="AR199" s="52">
        <f>(1+AR195)/(1+AR196)-1</f>
        <v>-4.1682698473766155E-4</v>
      </c>
      <c r="AS199" s="52">
        <f t="shared" si="640"/>
        <v>-3.9296591020721028E-4</v>
      </c>
      <c r="AT199" s="52">
        <f t="shared" si="640"/>
        <v>-1.0050429718019838E-2</v>
      </c>
      <c r="AU199" s="52">
        <f t="shared" si="640"/>
        <v>-2.2350979144813987E-4</v>
      </c>
      <c r="AV199" s="112">
        <f t="shared" si="640"/>
        <v>-3.5273368606703048E-3</v>
      </c>
      <c r="AW199" s="52">
        <f>(1+AW195)/(1+AW196)-1</f>
        <v>-3.6464874188619767E-3</v>
      </c>
      <c r="AX199" s="52">
        <f t="shared" si="640"/>
        <v>2.4885024885024087E-3</v>
      </c>
      <c r="AY199" s="52">
        <f t="shared" si="640"/>
        <v>4.8326004614915874E-3</v>
      </c>
      <c r="AZ199" s="52">
        <f t="shared" si="640"/>
        <v>1.9829083826135019E-3</v>
      </c>
      <c r="BA199" s="112">
        <f t="shared" si="640"/>
        <v>-4.8686886044058131E-4</v>
      </c>
      <c r="BB199" s="52">
        <f>(1+BB195)/(1+BB196)-1</f>
        <v>-3.704470674857907E-3</v>
      </c>
      <c r="BC199" s="52">
        <f t="shared" si="640"/>
        <v>4.7132757266299397E-3</v>
      </c>
      <c r="BD199" s="52">
        <f t="shared" si="640"/>
        <v>-8.6655112651645716E-4</v>
      </c>
      <c r="BE199" s="52">
        <f t="shared" si="640"/>
        <v>-2.9078412583022351E-3</v>
      </c>
      <c r="BF199" s="112">
        <f t="shared" si="640"/>
        <v>-6.7795238143431025E-4</v>
      </c>
      <c r="BG199" s="52">
        <f>(1+BG195)/(1+BG196)-1</f>
        <v>2.9082199982890522E-3</v>
      </c>
      <c r="BH199" s="52">
        <f>+BH185</f>
        <v>-4.3831361141458691E-3</v>
      </c>
      <c r="BI199" s="114">
        <f>+BI185</f>
        <v>-2.8709987254545988E-3</v>
      </c>
      <c r="BJ199" s="114">
        <f t="shared" ref="BJ199:CU199" si="641">(1+BJ195)/(1+BJ196)-1</f>
        <v>-3.4546904065906325E-3</v>
      </c>
      <c r="BK199" s="112">
        <f t="shared" si="641"/>
        <v>-1.006590317740641E-3</v>
      </c>
      <c r="BL199" s="52">
        <f t="shared" si="641"/>
        <v>-2.8847359839458964E-3</v>
      </c>
      <c r="BM199" s="52">
        <f t="shared" si="641"/>
        <v>-1.4446284486099303E-3</v>
      </c>
      <c r="BN199" s="52">
        <f t="shared" si="641"/>
        <v>-2.9635042422765379E-3</v>
      </c>
      <c r="BO199" s="52">
        <f t="shared" si="641"/>
        <v>3.5650623885921107E-3</v>
      </c>
      <c r="BP199" s="112">
        <f t="shared" si="641"/>
        <v>-1.6871680539892742E-3</v>
      </c>
      <c r="BQ199" s="52">
        <f t="shared" si="641"/>
        <v>-4.856301249900441E-3</v>
      </c>
      <c r="BR199" s="52">
        <f t="shared" si="641"/>
        <v>-4.7217513404971267E-3</v>
      </c>
      <c r="BS199" s="52">
        <f t="shared" si="641"/>
        <v>5.8854012437072889E-3</v>
      </c>
      <c r="BT199" s="52">
        <f t="shared" si="641"/>
        <v>4.6625222024867519E-3</v>
      </c>
      <c r="BU199" s="112">
        <f t="shared" si="641"/>
        <v>2.188227336927806E-4</v>
      </c>
      <c r="BV199" s="52">
        <f t="shared" si="641"/>
        <v>8.7489063867018935E-4</v>
      </c>
      <c r="BW199" s="52">
        <f t="shared" si="641"/>
        <v>1.7327268789257833E-3</v>
      </c>
      <c r="BX199" s="52">
        <f t="shared" si="641"/>
        <v>3.5638214111055611E-4</v>
      </c>
      <c r="BY199" s="52">
        <f t="shared" si="641"/>
        <v>-4.3617330619361017E-4</v>
      </c>
      <c r="BZ199" s="112">
        <f t="shared" si="641"/>
        <v>6.632218003190804E-4</v>
      </c>
      <c r="CA199" s="52">
        <f t="shared" si="641"/>
        <v>-4.9950049950049369E-3</v>
      </c>
      <c r="CB199" s="52">
        <f t="shared" si="641"/>
        <v>-1.3039355144618403E-3</v>
      </c>
      <c r="CC199" s="52">
        <f t="shared" si="641"/>
        <v>-3.6931459143695333E-3</v>
      </c>
      <c r="CD199" s="52">
        <f t="shared" si="641"/>
        <v>1.1131725417439231E-3</v>
      </c>
      <c r="CE199" s="112">
        <f>(1+CE195)/(1+CE196)-1</f>
        <v>-2.2582149699855725E-3</v>
      </c>
      <c r="CF199" s="52">
        <f t="shared" si="641"/>
        <v>-4.0566305626543731E-5</v>
      </c>
      <c r="CG199" s="52">
        <f t="shared" si="641"/>
        <v>-8.9919971225538298E-5</v>
      </c>
      <c r="CH199" s="52">
        <f t="shared" si="641"/>
        <v>2.2707697126300719E-3</v>
      </c>
      <c r="CI199" s="52">
        <f t="shared" si="641"/>
        <v>-3.5353823344926871E-3</v>
      </c>
      <c r="CJ199" s="112">
        <f>(1+CJ195)/(1+CJ196)-1</f>
        <v>-3.3249481946184822E-4</v>
      </c>
      <c r="CK199" s="52">
        <f t="shared" si="641"/>
        <v>-7.512583577495846E-5</v>
      </c>
      <c r="CL199" s="52">
        <f t="shared" si="641"/>
        <v>4.9386233587387363E-3</v>
      </c>
      <c r="CM199" s="52">
        <f t="shared" si="641"/>
        <v>-6.9970538720538489E-3</v>
      </c>
      <c r="CN199" s="52">
        <f t="shared" si="641"/>
        <v>2.1997631024353037E-3</v>
      </c>
      <c r="CO199" s="112">
        <f>(1+CO195)/(1+CO196)-1</f>
        <v>7.5386871718929882E-5</v>
      </c>
      <c r="CP199" s="52">
        <f t="shared" si="641"/>
        <v>-2.3080932171841706E-3</v>
      </c>
      <c r="CQ199" s="52">
        <f t="shared" si="641"/>
        <v>-2.8153308565792567E-4</v>
      </c>
      <c r="CR199" s="52">
        <f t="shared" si="641"/>
        <v>1.3515339910807889E-4</v>
      </c>
      <c r="CS199" s="52">
        <f t="shared" si="641"/>
        <v>5.372217958557135E-3</v>
      </c>
      <c r="CT199" s="112">
        <f>(1+CT195)/(1+CT196)-1</f>
        <v>5.4020936406828923E-4</v>
      </c>
      <c r="CU199" s="52">
        <f t="shared" si="641"/>
        <v>2.2784874939196786E-3</v>
      </c>
      <c r="CV199" s="52">
        <f>+CV185</f>
        <v>-1E-3</v>
      </c>
      <c r="CW199" s="52">
        <f>+CW185</f>
        <v>-2E-3</v>
      </c>
      <c r="CX199" s="52">
        <f>+CX185</f>
        <v>-2E-3</v>
      </c>
      <c r="CY199" s="112">
        <f>(1+CY195)/(1+CY196)-1</f>
        <v>-5.8478575909715058E-4</v>
      </c>
      <c r="CZ199" s="52">
        <f>+CZ185</f>
        <v>-1E-3</v>
      </c>
      <c r="DA199" s="52">
        <f>+DA185</f>
        <v>0</v>
      </c>
      <c r="DB199" s="52">
        <f>+DB185</f>
        <v>0</v>
      </c>
      <c r="DC199" s="52">
        <f>+DC185</f>
        <v>0</v>
      </c>
      <c r="DD199" s="112">
        <f>(1+DD195)/(1+DD196)-1</f>
        <v>-2.5564510206488311E-4</v>
      </c>
      <c r="DE199" s="52">
        <f>+DE185</f>
        <v>0</v>
      </c>
      <c r="DF199" s="52">
        <f>+DF185</f>
        <v>0</v>
      </c>
      <c r="DG199" s="52">
        <f>+DG185</f>
        <v>0</v>
      </c>
      <c r="DH199" s="52">
        <f>+DH185</f>
        <v>0</v>
      </c>
      <c r="DI199" s="112">
        <f>(1+DI195)/(1+DI196)-1</f>
        <v>0</v>
      </c>
    </row>
    <row r="200" spans="1:113" ht="12" hidden="1" customHeight="1" outlineLevel="1">
      <c r="A200" s="219"/>
      <c r="B200" s="17"/>
      <c r="C200" s="79"/>
      <c r="D200" s="6"/>
      <c r="E200" s="79"/>
      <c r="F200" s="6"/>
      <c r="G200" s="79"/>
      <c r="H200" s="6"/>
      <c r="I200" s="79"/>
      <c r="J200" s="6"/>
      <c r="K200" s="79"/>
      <c r="L200" s="6"/>
      <c r="M200" s="79"/>
      <c r="N200" s="6"/>
      <c r="O200" s="79"/>
      <c r="P200" s="6"/>
      <c r="Q200" s="79"/>
      <c r="R200" s="6"/>
      <c r="S200" s="6"/>
      <c r="T200" s="6"/>
      <c r="U200" s="6"/>
      <c r="V200" s="79"/>
      <c r="W200" s="6"/>
      <c r="X200" s="6"/>
      <c r="Y200" s="6"/>
      <c r="Z200" s="6"/>
      <c r="AA200" s="79"/>
      <c r="AB200" s="79"/>
      <c r="AC200" s="6"/>
      <c r="AD200" s="6"/>
      <c r="AE200" s="6"/>
      <c r="AF200" s="6"/>
      <c r="AG200" s="79"/>
      <c r="AH200" s="6"/>
      <c r="AI200" s="6"/>
      <c r="AJ200" s="6"/>
      <c r="AK200" s="6"/>
      <c r="AL200" s="79"/>
      <c r="AM200" s="6"/>
      <c r="AN200" s="6"/>
      <c r="AO200" s="6"/>
      <c r="AP200" s="6"/>
      <c r="AQ200" s="79"/>
      <c r="AR200" s="6"/>
      <c r="AS200" s="6"/>
      <c r="AT200" s="6"/>
      <c r="AU200" s="6"/>
      <c r="AV200" s="79"/>
      <c r="AW200" s="6"/>
      <c r="AX200" s="6"/>
      <c r="AY200" s="6"/>
      <c r="AZ200" s="6"/>
      <c r="BA200" s="79"/>
      <c r="BB200" s="6"/>
      <c r="BC200" s="6"/>
      <c r="BD200" s="6"/>
      <c r="BE200" s="6"/>
      <c r="BF200" s="79"/>
      <c r="BG200" s="6"/>
      <c r="BH200" s="6"/>
      <c r="BI200" s="582"/>
      <c r="BJ200" s="582"/>
      <c r="BK200" s="79"/>
      <c r="BL200" s="6"/>
      <c r="BM200" s="6"/>
      <c r="BN200" s="231"/>
      <c r="BO200" s="231"/>
      <c r="BP200" s="580"/>
      <c r="BQ200" s="231"/>
      <c r="BR200" s="231"/>
      <c r="BS200" s="231"/>
      <c r="BT200" s="49"/>
      <c r="BU200" s="580"/>
      <c r="BV200" s="6"/>
      <c r="BW200" s="6"/>
      <c r="BX200" s="6"/>
      <c r="BY200" s="49"/>
      <c r="BZ200" s="79"/>
      <c r="CA200" s="6"/>
      <c r="CB200" s="6"/>
      <c r="CC200" s="6"/>
      <c r="CD200" s="6"/>
      <c r="CE200" s="79"/>
      <c r="CF200" s="6"/>
      <c r="CG200" s="6"/>
      <c r="CH200" s="6"/>
      <c r="CI200" s="6"/>
      <c r="CJ200" s="79"/>
      <c r="CK200" s="6"/>
      <c r="CL200" s="6"/>
      <c r="CM200" s="6"/>
      <c r="CN200" s="6"/>
      <c r="CO200" s="79"/>
      <c r="CP200" s="6"/>
      <c r="CQ200" s="6"/>
      <c r="CR200" s="6"/>
      <c r="CS200" s="6"/>
      <c r="CT200" s="79"/>
      <c r="CU200" s="582"/>
      <c r="CV200" s="6"/>
      <c r="CW200" s="6"/>
      <c r="CX200" s="6"/>
      <c r="CY200" s="79"/>
      <c r="CZ200" s="6"/>
      <c r="DA200" s="6"/>
      <c r="DB200" s="6"/>
      <c r="DC200" s="6"/>
      <c r="DD200" s="79"/>
      <c r="DE200" s="6"/>
      <c r="DF200" s="6"/>
      <c r="DG200" s="6"/>
      <c r="DH200" s="6"/>
      <c r="DI200" s="79"/>
    </row>
    <row r="201" spans="1:113" s="7" customFormat="1" ht="12" hidden="1" customHeight="1" outlineLevel="1">
      <c r="A201" s="239" t="str">
        <f t="shared" si="364"/>
        <v xml:space="preserve"> </v>
      </c>
      <c r="B201" s="20" t="s">
        <v>97</v>
      </c>
      <c r="C201" s="36"/>
      <c r="D201" s="43"/>
      <c r="E201" s="36"/>
      <c r="F201" s="43"/>
      <c r="G201" s="36"/>
      <c r="H201" s="43"/>
      <c r="I201" s="36"/>
      <c r="J201" s="43"/>
      <c r="K201" s="36"/>
      <c r="L201" s="43"/>
      <c r="M201" s="36"/>
      <c r="N201" s="43"/>
      <c r="O201" s="36"/>
      <c r="P201" s="43"/>
      <c r="Q201" s="36"/>
      <c r="R201" s="43">
        <v>99</v>
      </c>
      <c r="S201" s="43">
        <v>80</v>
      </c>
      <c r="T201" s="43">
        <v>81</v>
      </c>
      <c r="U201" s="43">
        <v>105</v>
      </c>
      <c r="V201" s="36">
        <f>SUM(R201:U201)</f>
        <v>365</v>
      </c>
      <c r="W201" s="43">
        <v>125</v>
      </c>
      <c r="X201" s="43">
        <v>99</v>
      </c>
      <c r="Y201" s="43">
        <v>106</v>
      </c>
      <c r="Z201" s="43">
        <v>140</v>
      </c>
      <c r="AA201" s="36">
        <f>SUM(W201:Z201)</f>
        <v>470</v>
      </c>
      <c r="AB201" s="36"/>
      <c r="AC201" s="43">
        <v>197</v>
      </c>
      <c r="AD201" s="43">
        <v>181</v>
      </c>
      <c r="AE201" s="43">
        <v>199</v>
      </c>
      <c r="AF201" s="43">
        <v>239</v>
      </c>
      <c r="AG201" s="36">
        <f>SUM(AC201:AF201)</f>
        <v>816</v>
      </c>
      <c r="AH201" s="43">
        <v>222</v>
      </c>
      <c r="AI201" s="43">
        <v>188</v>
      </c>
      <c r="AJ201" s="43">
        <v>216</v>
      </c>
      <c r="AK201" s="43">
        <v>241</v>
      </c>
      <c r="AL201" s="36">
        <f>SUM(AH201:AK201)</f>
        <v>867</v>
      </c>
      <c r="AM201" s="43">
        <v>226</v>
      </c>
      <c r="AN201" s="43">
        <v>185</v>
      </c>
      <c r="AO201" s="43">
        <v>185</v>
      </c>
      <c r="AP201" s="43">
        <v>228</v>
      </c>
      <c r="AQ201" s="36">
        <f>SUM(AM201:AP201)</f>
        <v>824</v>
      </c>
      <c r="AR201" s="43">
        <v>186</v>
      </c>
      <c r="AS201" s="43">
        <v>164</v>
      </c>
      <c r="AT201" s="43">
        <v>164</v>
      </c>
      <c r="AU201" s="43">
        <v>205</v>
      </c>
      <c r="AV201" s="36">
        <f>SUM(AR201:AU201)</f>
        <v>719</v>
      </c>
      <c r="AW201" s="43">
        <v>196</v>
      </c>
      <c r="AX201" s="43">
        <v>158</v>
      </c>
      <c r="AY201" s="43">
        <v>138</v>
      </c>
      <c r="AZ201" s="43">
        <v>154</v>
      </c>
      <c r="BA201" s="36">
        <f>SUM(AW201:AZ201)</f>
        <v>646</v>
      </c>
      <c r="BB201" s="43">
        <v>191</v>
      </c>
      <c r="BC201" s="43">
        <v>136</v>
      </c>
      <c r="BD201" s="43">
        <v>125</v>
      </c>
      <c r="BE201" s="43">
        <v>143</v>
      </c>
      <c r="BF201" s="36">
        <f>SUM(BB201:BE201)</f>
        <v>595</v>
      </c>
      <c r="BG201" s="43">
        <v>183</v>
      </c>
      <c r="BH201" s="43">
        <v>132</v>
      </c>
      <c r="BI201" s="369">
        <v>128</v>
      </c>
      <c r="BJ201" s="369">
        <v>154</v>
      </c>
      <c r="BK201" s="36">
        <f>SUM(BG201:BJ201)</f>
        <v>597</v>
      </c>
      <c r="BL201" s="43">
        <v>193</v>
      </c>
      <c r="BM201" s="43">
        <v>139</v>
      </c>
      <c r="BN201" s="43">
        <v>123</v>
      </c>
      <c r="BO201" s="43">
        <v>61</v>
      </c>
      <c r="BP201" s="36">
        <f>SUM(BL201:BO201)</f>
        <v>516</v>
      </c>
      <c r="BQ201" s="43">
        <v>143</v>
      </c>
      <c r="BR201" s="43">
        <v>126</v>
      </c>
      <c r="BS201" s="43">
        <v>95</v>
      </c>
      <c r="BT201" s="43">
        <v>143</v>
      </c>
      <c r="BU201" s="36">
        <f>SUM(BQ201:BT201)</f>
        <v>507</v>
      </c>
      <c r="BV201" s="43">
        <v>185</v>
      </c>
      <c r="BW201" s="43">
        <v>145</v>
      </c>
      <c r="BX201" s="43">
        <v>143</v>
      </c>
      <c r="BY201" s="43">
        <v>160</v>
      </c>
      <c r="BZ201" s="36">
        <f>SUM(BV201:BY201)</f>
        <v>633</v>
      </c>
      <c r="CA201" s="43">
        <v>211</v>
      </c>
      <c r="CB201" s="43">
        <v>182</v>
      </c>
      <c r="CC201" s="43">
        <v>172</v>
      </c>
      <c r="CD201" s="43">
        <v>199</v>
      </c>
      <c r="CE201" s="36">
        <f>SUM(CA201:CD201)</f>
        <v>764</v>
      </c>
      <c r="CF201" s="43">
        <v>211</v>
      </c>
      <c r="CG201" s="43">
        <v>200</v>
      </c>
      <c r="CH201" s="43">
        <v>202</v>
      </c>
      <c r="CI201" s="43">
        <v>293</v>
      </c>
      <c r="CJ201" s="36">
        <f>SUM(CF201:CI201)</f>
        <v>906</v>
      </c>
      <c r="CK201" s="43">
        <v>283</v>
      </c>
      <c r="CL201" s="369">
        <v>250</v>
      </c>
      <c r="CM201" s="43">
        <v>222</v>
      </c>
      <c r="CN201" s="43">
        <v>296</v>
      </c>
      <c r="CO201" s="36">
        <f>SUM(CK201:CN201)</f>
        <v>1051</v>
      </c>
      <c r="CP201" s="43">
        <v>327</v>
      </c>
      <c r="CQ201" s="43">
        <v>280</v>
      </c>
      <c r="CR201" s="43">
        <v>220</v>
      </c>
      <c r="CS201" s="43">
        <v>292</v>
      </c>
      <c r="CT201" s="36">
        <f>SUM(CP201:CS201)</f>
        <v>1119</v>
      </c>
      <c r="CU201" s="369">
        <v>302</v>
      </c>
      <c r="CV201" s="43">
        <f>CQ201*(1+CV203)*(1+CV204)</f>
        <v>254.54520000000002</v>
      </c>
      <c r="CW201" s="43">
        <f>CR201*(1+CW203)*(1+CW204)</f>
        <v>212.97319999999999</v>
      </c>
      <c r="CX201" s="43">
        <f>CS201*(1+CX203)*(1+CX204)</f>
        <v>282.67352</v>
      </c>
      <c r="CY201" s="36">
        <f>SUM(CU201:CX201)</f>
        <v>1052.19192</v>
      </c>
      <c r="CZ201" s="43">
        <f>CU201*(1+CZ203)*(1+CZ204)</f>
        <v>292.64706000000001</v>
      </c>
      <c r="DA201" s="43">
        <f>CV201*(1+DA203)*(1+DA204)</f>
        <v>246.90884400000002</v>
      </c>
      <c r="DB201" s="43">
        <f>CW201*(1+DB203)*(1+DB204)</f>
        <v>208.71373599999998</v>
      </c>
      <c r="DC201" s="43">
        <f>CX201*(1+DC203)*(1+DC204)</f>
        <v>277.02004959999999</v>
      </c>
      <c r="DD201" s="36">
        <f>SUM(CZ201:DC201)</f>
        <v>1025.2896896</v>
      </c>
      <c r="DE201" s="43">
        <f>CZ201*(1+DE203)*(1+DE204)</f>
        <v>292.64706000000001</v>
      </c>
      <c r="DF201" s="43">
        <f>DA201*(1+DF203)*(1+DF204)</f>
        <v>246.90884400000002</v>
      </c>
      <c r="DG201" s="43">
        <f>DB201*(1+DG203)*(1+DG204)</f>
        <v>208.71373599999998</v>
      </c>
      <c r="DH201" s="43">
        <f>DC201*(1+DH203)*(1+DH204)</f>
        <v>277.02004959999999</v>
      </c>
      <c r="DI201" s="36">
        <f>SUM(DE201:DH201)</f>
        <v>1025.2896896</v>
      </c>
    </row>
    <row r="202" spans="1:113" ht="12" hidden="1" customHeight="1" outlineLevel="1">
      <c r="A202" s="219" t="str">
        <f t="shared" si="364"/>
        <v xml:space="preserve"> </v>
      </c>
      <c r="B202" s="491" t="s">
        <v>171</v>
      </c>
      <c r="C202" s="492"/>
      <c r="D202" s="522"/>
      <c r="E202" s="492"/>
      <c r="F202" s="522"/>
      <c r="G202" s="492"/>
      <c r="H202" s="522"/>
      <c r="I202" s="492"/>
      <c r="J202" s="522"/>
      <c r="K202" s="492"/>
      <c r="L202" s="522"/>
      <c r="M202" s="492"/>
      <c r="N202" s="522"/>
      <c r="O202" s="492"/>
      <c r="P202" s="522"/>
      <c r="Q202" s="492"/>
      <c r="R202" s="378" t="s">
        <v>126</v>
      </c>
      <c r="S202" s="522" t="s">
        <v>126</v>
      </c>
      <c r="T202" s="522" t="s">
        <v>126</v>
      </c>
      <c r="U202" s="522" t="s">
        <v>126</v>
      </c>
      <c r="V202" s="492" t="s">
        <v>126</v>
      </c>
      <c r="W202" s="52">
        <f>+W201/R201-1</f>
        <v>0.26262626262626254</v>
      </c>
      <c r="X202" s="52">
        <f>+X201/S201-1</f>
        <v>0.23750000000000004</v>
      </c>
      <c r="Y202" s="52">
        <f>+Y201/T201-1</f>
        <v>0.30864197530864201</v>
      </c>
      <c r="Z202" s="52">
        <f>+Z201/U201-1</f>
        <v>0.33333333333333326</v>
      </c>
      <c r="AA202" s="112">
        <f>+AA201/V201-1</f>
        <v>0.28767123287671237</v>
      </c>
      <c r="AB202" s="112"/>
      <c r="AC202" s="52">
        <f>+AC201/W201-1</f>
        <v>0.57600000000000007</v>
      </c>
      <c r="AD202" s="52">
        <f>+AD201/X201-1</f>
        <v>0.82828282828282829</v>
      </c>
      <c r="AE202" s="52">
        <f>+AE201/Y201-1</f>
        <v>0.87735849056603765</v>
      </c>
      <c r="AF202" s="52">
        <f>+AF201/Z201-1</f>
        <v>0.70714285714285707</v>
      </c>
      <c r="AG202" s="112">
        <f>+AG201/AA201-1</f>
        <v>0.73617021276595751</v>
      </c>
      <c r="AH202" s="52">
        <f t="shared" ref="AH202:BP202" si="642">+AH201/AC201-1</f>
        <v>0.12690355329949243</v>
      </c>
      <c r="AI202" s="52">
        <f t="shared" si="642"/>
        <v>3.8674033149171283E-2</v>
      </c>
      <c r="AJ202" s="52">
        <f t="shared" si="642"/>
        <v>8.5427135678391997E-2</v>
      </c>
      <c r="AK202" s="52">
        <f t="shared" si="642"/>
        <v>8.3682008368199945E-3</v>
      </c>
      <c r="AL202" s="112">
        <f t="shared" si="642"/>
        <v>6.25E-2</v>
      </c>
      <c r="AM202" s="52">
        <f t="shared" si="642"/>
        <v>1.8018018018018056E-2</v>
      </c>
      <c r="AN202" s="52">
        <f t="shared" si="642"/>
        <v>-1.5957446808510634E-2</v>
      </c>
      <c r="AO202" s="52">
        <f t="shared" si="642"/>
        <v>-0.14351851851851849</v>
      </c>
      <c r="AP202" s="52">
        <f t="shared" si="642"/>
        <v>-5.3941908713692976E-2</v>
      </c>
      <c r="AQ202" s="112">
        <f t="shared" si="642"/>
        <v>-4.9596309111880066E-2</v>
      </c>
      <c r="AR202" s="52">
        <f t="shared" si="642"/>
        <v>-0.17699115044247793</v>
      </c>
      <c r="AS202" s="52">
        <f t="shared" si="642"/>
        <v>-0.11351351351351346</v>
      </c>
      <c r="AT202" s="52">
        <f t="shared" si="642"/>
        <v>-0.11351351351351346</v>
      </c>
      <c r="AU202" s="52">
        <f t="shared" si="642"/>
        <v>-0.10087719298245612</v>
      </c>
      <c r="AV202" s="112">
        <f t="shared" si="642"/>
        <v>-0.12742718446601942</v>
      </c>
      <c r="AW202" s="52">
        <f t="shared" si="642"/>
        <v>5.3763440860215006E-2</v>
      </c>
      <c r="AX202" s="52">
        <f t="shared" si="642"/>
        <v>-3.6585365853658569E-2</v>
      </c>
      <c r="AY202" s="52">
        <f t="shared" si="642"/>
        <v>-0.15853658536585369</v>
      </c>
      <c r="AZ202" s="52">
        <f t="shared" si="642"/>
        <v>-0.24878048780487805</v>
      </c>
      <c r="BA202" s="112">
        <f t="shared" si="642"/>
        <v>-0.10152990264255912</v>
      </c>
      <c r="BB202" s="52">
        <f t="shared" si="642"/>
        <v>-2.5510204081632626E-2</v>
      </c>
      <c r="BC202" s="52">
        <f t="shared" si="642"/>
        <v>-0.13924050632911389</v>
      </c>
      <c r="BD202" s="52">
        <f t="shared" si="642"/>
        <v>-9.4202898550724612E-2</v>
      </c>
      <c r="BE202" s="52">
        <f t="shared" si="642"/>
        <v>-7.1428571428571397E-2</v>
      </c>
      <c r="BF202" s="112">
        <f t="shared" si="642"/>
        <v>-7.8947368421052655E-2</v>
      </c>
      <c r="BG202" s="52">
        <f t="shared" si="642"/>
        <v>-4.1884816753926746E-2</v>
      </c>
      <c r="BH202" s="52">
        <f t="shared" si="642"/>
        <v>-2.9411764705882359E-2</v>
      </c>
      <c r="BI202" s="114">
        <f t="shared" si="642"/>
        <v>2.4000000000000021E-2</v>
      </c>
      <c r="BJ202" s="114">
        <f t="shared" si="642"/>
        <v>7.6923076923076872E-2</v>
      </c>
      <c r="BK202" s="112">
        <f t="shared" si="642"/>
        <v>3.3613445378151141E-3</v>
      </c>
      <c r="BL202" s="52">
        <f t="shared" si="642"/>
        <v>5.464480874316946E-2</v>
      </c>
      <c r="BM202" s="52">
        <f t="shared" si="642"/>
        <v>5.3030303030302983E-2</v>
      </c>
      <c r="BN202" s="52">
        <f t="shared" si="642"/>
        <v>-3.90625E-2</v>
      </c>
      <c r="BO202" s="52">
        <f t="shared" si="642"/>
        <v>-0.60389610389610393</v>
      </c>
      <c r="BP202" s="112">
        <f t="shared" si="642"/>
        <v>-0.13567839195979903</v>
      </c>
      <c r="BQ202" s="52">
        <f t="shared" ref="BQ202:BZ202" si="643">+BQ201/BL201-1</f>
        <v>-0.2590673575129534</v>
      </c>
      <c r="BR202" s="52">
        <f t="shared" si="643"/>
        <v>-9.3525179856115082E-2</v>
      </c>
      <c r="BS202" s="52">
        <f t="shared" si="643"/>
        <v>-0.22764227642276424</v>
      </c>
      <c r="BT202" s="52">
        <f t="shared" si="643"/>
        <v>1.3442622950819674</v>
      </c>
      <c r="BU202" s="112">
        <f t="shared" si="643"/>
        <v>-1.744186046511631E-2</v>
      </c>
      <c r="BV202" s="52">
        <f t="shared" si="643"/>
        <v>0.29370629370629375</v>
      </c>
      <c r="BW202" s="52">
        <f t="shared" si="643"/>
        <v>0.1507936507936507</v>
      </c>
      <c r="BX202" s="52">
        <f t="shared" si="643"/>
        <v>0.50526315789473686</v>
      </c>
      <c r="BY202" s="52">
        <f t="shared" si="643"/>
        <v>0.11888111888111896</v>
      </c>
      <c r="BZ202" s="112">
        <f t="shared" si="643"/>
        <v>0.24852071005917153</v>
      </c>
      <c r="CA202" s="52">
        <f t="shared" ref="CA202" si="644">+CA201/BV201-1</f>
        <v>0.14054054054054044</v>
      </c>
      <c r="CB202" s="52">
        <f t="shared" ref="CB202:CD202" si="645">+CB201/BW201-1</f>
        <v>0.25517241379310351</v>
      </c>
      <c r="CC202" s="52">
        <f t="shared" si="645"/>
        <v>0.2027972027972027</v>
      </c>
      <c r="CD202" s="52">
        <f t="shared" si="645"/>
        <v>0.24374999999999991</v>
      </c>
      <c r="CE202" s="112">
        <f t="shared" ref="CE202" si="646">+CE201/BZ201-1</f>
        <v>0.20695102685624023</v>
      </c>
      <c r="CF202" s="52">
        <f t="shared" ref="CF202" si="647">+CF201/CA201-1</f>
        <v>0</v>
      </c>
      <c r="CG202" s="52">
        <f t="shared" ref="CG202:CH202" si="648">+CG201/CB201-1</f>
        <v>9.8901098901098994E-2</v>
      </c>
      <c r="CH202" s="52">
        <f t="shared" si="648"/>
        <v>0.17441860465116288</v>
      </c>
      <c r="CI202" s="52">
        <f t="shared" ref="CI202" si="649">+CI201/CD201-1</f>
        <v>0.47236180904522618</v>
      </c>
      <c r="CJ202" s="112">
        <f t="shared" ref="CJ202:CK202" si="650">+CJ201/CE201-1</f>
        <v>0.18586387434554963</v>
      </c>
      <c r="CK202" s="52">
        <f t="shared" si="650"/>
        <v>0.34123222748815163</v>
      </c>
      <c r="CL202" s="52">
        <f t="shared" ref="CL202" si="651">+CL201/CG201-1</f>
        <v>0.25</v>
      </c>
      <c r="CM202" s="52">
        <f t="shared" ref="CM202" si="652">+CM201/CH201-1</f>
        <v>9.9009900990099098E-2</v>
      </c>
      <c r="CN202" s="52">
        <f t="shared" ref="CN202" si="653">+CN201/CI201-1</f>
        <v>1.0238907849829282E-2</v>
      </c>
      <c r="CO202" s="112">
        <f t="shared" ref="CO202:CR202" si="654">+CO201/CJ201-1</f>
        <v>0.16004415011037532</v>
      </c>
      <c r="CP202" s="52">
        <f t="shared" si="654"/>
        <v>0.15547703180212014</v>
      </c>
      <c r="CQ202" s="52">
        <f t="shared" si="654"/>
        <v>0.12000000000000011</v>
      </c>
      <c r="CR202" s="52">
        <f t="shared" si="654"/>
        <v>-9.009009009009028E-3</v>
      </c>
      <c r="CS202" s="52">
        <f t="shared" ref="CS202" si="655">+CS201/CN201-1</f>
        <v>-1.3513513513513487E-2</v>
      </c>
      <c r="CT202" s="112">
        <f t="shared" ref="CT202" si="656">+CT201/CO201-1</f>
        <v>6.4700285442435668E-2</v>
      </c>
      <c r="CU202" s="114">
        <f t="shared" ref="CU202" si="657">+CU201/CP201-1</f>
        <v>-7.6452599388379228E-2</v>
      </c>
      <c r="CV202" s="52">
        <f t="shared" ref="CV202" si="658">+CV201/CQ201-1</f>
        <v>-9.0909999999999935E-2</v>
      </c>
      <c r="CW202" s="52">
        <f t="shared" ref="CW202" si="659">+CW201/CR201-1</f>
        <v>-3.1940000000000079E-2</v>
      </c>
      <c r="CX202" s="52">
        <f t="shared" ref="CX202" si="660">+CX201/CS201-1</f>
        <v>-3.1939999999999968E-2</v>
      </c>
      <c r="CY202" s="112">
        <f t="shared" ref="CY202" si="661">+CY201/CT201-1</f>
        <v>-5.9703378016085829E-2</v>
      </c>
      <c r="CZ202" s="52">
        <f t="shared" ref="CZ202" si="662">+CZ201/CU201-1</f>
        <v>-3.0969999999999942E-2</v>
      </c>
      <c r="DA202" s="52">
        <f t="shared" ref="DA202" si="663">+DA201/CV201-1</f>
        <v>-3.0000000000000027E-2</v>
      </c>
      <c r="DB202" s="52">
        <f t="shared" ref="DB202" si="664">+DB201/CW201-1</f>
        <v>-2.0000000000000018E-2</v>
      </c>
      <c r="DC202" s="52">
        <f t="shared" ref="DC202" si="665">+DC201/CX201-1</f>
        <v>-2.0000000000000018E-2</v>
      </c>
      <c r="DD202" s="112">
        <f t="shared" ref="DD202" si="666">+DD201/CY201-1</f>
        <v>-2.5567797935570513E-2</v>
      </c>
      <c r="DE202" s="52">
        <f t="shared" ref="DE202" si="667">+DE201/CZ201-1</f>
        <v>0</v>
      </c>
      <c r="DF202" s="52">
        <f t="shared" ref="DF202" si="668">+DF201/DA201-1</f>
        <v>0</v>
      </c>
      <c r="DG202" s="52">
        <f t="shared" ref="DG202" si="669">+DG201/DB201-1</f>
        <v>0</v>
      </c>
      <c r="DH202" s="52">
        <f t="shared" ref="DH202" si="670">+DH201/DC201-1</f>
        <v>0</v>
      </c>
      <c r="DI202" s="112">
        <f t="shared" ref="DI202" si="671">+DI201/DD201-1</f>
        <v>0</v>
      </c>
    </row>
    <row r="203" spans="1:113" s="529" customFormat="1" ht="12" hidden="1" customHeight="1" outlineLevel="1">
      <c r="A203" s="219" t="str">
        <f t="shared" si="364"/>
        <v xml:space="preserve"> </v>
      </c>
      <c r="B203" s="526" t="s">
        <v>173</v>
      </c>
      <c r="C203" s="112"/>
      <c r="D203" s="52"/>
      <c r="E203" s="112"/>
      <c r="F203" s="52"/>
      <c r="G203" s="112"/>
      <c r="H203" s="52"/>
      <c r="I203" s="112"/>
      <c r="J203" s="52"/>
      <c r="K203" s="112"/>
      <c r="L203" s="52"/>
      <c r="M203" s="112"/>
      <c r="N203" s="52"/>
      <c r="O203" s="112"/>
      <c r="P203" s="52"/>
      <c r="Q203" s="112"/>
      <c r="R203" s="217">
        <v>0.02</v>
      </c>
      <c r="S203" s="52">
        <v>0.04</v>
      </c>
      <c r="T203" s="52">
        <v>-0.04</v>
      </c>
      <c r="U203" s="52">
        <v>0.17</v>
      </c>
      <c r="V203" s="112" t="s">
        <v>126</v>
      </c>
      <c r="W203" s="52">
        <v>0.25</v>
      </c>
      <c r="X203" s="52">
        <v>0.27</v>
      </c>
      <c r="Y203" s="52">
        <v>0.28999999999999998</v>
      </c>
      <c r="Z203" s="52">
        <v>0.34</v>
      </c>
      <c r="AA203" s="232" t="s">
        <v>126</v>
      </c>
      <c r="AB203" s="232"/>
      <c r="AC203" s="52">
        <v>0.44</v>
      </c>
      <c r="AD203" s="52">
        <v>0.61</v>
      </c>
      <c r="AE203" s="52">
        <v>0.51</v>
      </c>
      <c r="AF203" s="52">
        <v>0.24</v>
      </c>
      <c r="AG203" s="112">
        <v>0.35</v>
      </c>
      <c r="AH203" s="52">
        <v>0.13</v>
      </c>
      <c r="AI203" s="52">
        <v>0.03</v>
      </c>
      <c r="AJ203" s="52">
        <v>0.09</v>
      </c>
      <c r="AK203" s="52">
        <v>0.01</v>
      </c>
      <c r="AL203" s="112">
        <v>0.06</v>
      </c>
      <c r="AM203" s="52">
        <v>0.01</v>
      </c>
      <c r="AN203" s="52">
        <v>-0.01</v>
      </c>
      <c r="AO203" s="52">
        <v>-0.14000000000000001</v>
      </c>
      <c r="AP203" s="52">
        <v>-0.05</v>
      </c>
      <c r="AQ203" s="112">
        <v>-0.05</v>
      </c>
      <c r="AR203" s="52">
        <v>-0.17</v>
      </c>
      <c r="AS203" s="52">
        <v>-0.12</v>
      </c>
      <c r="AT203" s="52">
        <v>-0.11</v>
      </c>
      <c r="AU203" s="52">
        <v>-0.1</v>
      </c>
      <c r="AV203" s="112">
        <v>-0.13</v>
      </c>
      <c r="AW203" s="52">
        <v>0.05</v>
      </c>
      <c r="AX203" s="52">
        <v>-0.03</v>
      </c>
      <c r="AY203" s="52">
        <v>-0.16</v>
      </c>
      <c r="AZ203" s="52">
        <v>-0.25</v>
      </c>
      <c r="BA203" s="112">
        <v>-0.1</v>
      </c>
      <c r="BB203" s="52">
        <v>-0.03</v>
      </c>
      <c r="BC203" s="52">
        <v>-0.14000000000000001</v>
      </c>
      <c r="BD203" s="52">
        <v>-0.09</v>
      </c>
      <c r="BE203" s="114">
        <v>-7.0000000000000007E-2</v>
      </c>
      <c r="BF203" s="112">
        <f>SUMPRODUCT(BB203:BE203,AW201:AZ201)/BA201</f>
        <v>-7.9256965944272451E-2</v>
      </c>
      <c r="BG203" s="114">
        <v>-0.04</v>
      </c>
      <c r="BH203" s="114">
        <v>-0.03</v>
      </c>
      <c r="BI203" s="114">
        <v>0.02</v>
      </c>
      <c r="BJ203" s="114">
        <v>7.0000000000000007E-2</v>
      </c>
      <c r="BK203" s="112">
        <f>SUMPRODUCT(BG203:BJ203,BB201:BE201)/BF201</f>
        <v>1.3277310924369764E-3</v>
      </c>
      <c r="BL203" s="114">
        <v>0.05</v>
      </c>
      <c r="BM203" s="114">
        <v>0.06</v>
      </c>
      <c r="BN203" s="114">
        <v>-0.04</v>
      </c>
      <c r="BO203" s="114">
        <v>-0.6</v>
      </c>
      <c r="BP203" s="112">
        <f>SUMPRODUCT(BL203:BO203,BG201:BJ201)/BK201</f>
        <v>-0.13475711892797318</v>
      </c>
      <c r="BQ203" s="114">
        <v>-0.26</v>
      </c>
      <c r="BR203" s="114">
        <v>-0.1</v>
      </c>
      <c r="BS203" s="114">
        <v>-0.22</v>
      </c>
      <c r="BT203" s="114">
        <v>1.32</v>
      </c>
      <c r="BU203" s="112">
        <f>SUMPRODUCT(BQ203:BT203,BL201:BO201)/BP201</f>
        <v>-2.0581395348837191E-2</v>
      </c>
      <c r="BV203" s="114">
        <v>0.28999999999999998</v>
      </c>
      <c r="BW203" s="114">
        <v>0.16</v>
      </c>
      <c r="BX203" s="114">
        <v>0.49</v>
      </c>
      <c r="BY203" s="114">
        <v>0.12</v>
      </c>
      <c r="BZ203" s="112">
        <f>SUMPRODUCT(BV203:BY203,BQ201:BT201)/BU201</f>
        <v>0.24721893491124258</v>
      </c>
      <c r="CA203" s="114">
        <v>0.14000000000000001</v>
      </c>
      <c r="CB203" s="114">
        <v>0.26</v>
      </c>
      <c r="CC203" s="114">
        <v>0.21</v>
      </c>
      <c r="CD203" s="114">
        <v>0.24</v>
      </c>
      <c r="CE203" s="112">
        <f>SUMPRODUCT(CA203:CD203,BV201:BY201)/BZ201</f>
        <v>0.20857819905213271</v>
      </c>
      <c r="CF203" s="114">
        <v>0</v>
      </c>
      <c r="CG203" s="581">
        <v>0.1</v>
      </c>
      <c r="CH203" s="114">
        <v>0.18</v>
      </c>
      <c r="CI203" s="114">
        <v>0.47</v>
      </c>
      <c r="CJ203" s="112">
        <f>SUMPRODUCT(CF203:CI203,CA201:CD201)/CE201</f>
        <v>0.18676701570680629</v>
      </c>
      <c r="CK203" s="114">
        <v>0.34</v>
      </c>
      <c r="CL203" s="114">
        <v>0.25</v>
      </c>
      <c r="CM203" s="114">
        <v>0.1</v>
      </c>
      <c r="CN203" s="114">
        <v>0.02</v>
      </c>
      <c r="CO203" s="112">
        <f>SUMPRODUCT(CK203:CN203,CF201:CI201)/CJ201</f>
        <v>0.1631346578366446</v>
      </c>
      <c r="CP203" s="114">
        <v>0.16</v>
      </c>
      <c r="CQ203" s="114">
        <v>0.12</v>
      </c>
      <c r="CR203" s="114">
        <v>-0.01</v>
      </c>
      <c r="CS203" s="114">
        <v>-0.02</v>
      </c>
      <c r="CT203" s="112">
        <f>SUMPRODUCT(CP203:CS203,CK201:CN201)/CO201</f>
        <v>6.3882017126546148E-2</v>
      </c>
      <c r="CU203" s="114">
        <v>-0.08</v>
      </c>
      <c r="CV203" s="53">
        <f>-5%-4%</f>
        <v>-0.09</v>
      </c>
      <c r="CW203" s="53">
        <v>-0.03</v>
      </c>
      <c r="CX203" s="53">
        <v>-0.03</v>
      </c>
      <c r="CY203" s="112">
        <f>SUMPRODUCT(CU203:CX203,CP201:CS201)/CT201</f>
        <v>-5.9624664879356568E-2</v>
      </c>
      <c r="CZ203" s="53">
        <v>-0.03</v>
      </c>
      <c r="DA203" s="53">
        <v>-0.03</v>
      </c>
      <c r="DB203" s="53">
        <v>-0.02</v>
      </c>
      <c r="DC203" s="53">
        <v>-0.02</v>
      </c>
      <c r="DD203" s="112">
        <f>SUMPRODUCT(CZ203:DC203,CU201:CX201)/CY201</f>
        <v>-2.5289388650694071E-2</v>
      </c>
      <c r="DE203" s="53">
        <v>0</v>
      </c>
      <c r="DF203" s="53">
        <v>0</v>
      </c>
      <c r="DG203" s="53">
        <v>0</v>
      </c>
      <c r="DH203" s="53">
        <v>0</v>
      </c>
      <c r="DI203" s="112">
        <f>SUMPRODUCT(DE203:DH203,CZ201:DC201)/DD201</f>
        <v>0</v>
      </c>
    </row>
    <row r="204" spans="1:113" s="530" customFormat="1" ht="12" hidden="1" customHeight="1" outlineLevel="1">
      <c r="A204" s="219" t="str">
        <f t="shared" si="364"/>
        <v xml:space="preserve"> </v>
      </c>
      <c r="B204" s="553" t="s">
        <v>141</v>
      </c>
      <c r="C204" s="492"/>
      <c r="D204" s="522"/>
      <c r="E204" s="492"/>
      <c r="F204" s="522"/>
      <c r="G204" s="492"/>
      <c r="H204" s="522"/>
      <c r="I204" s="492"/>
      <c r="J204" s="522"/>
      <c r="K204" s="492"/>
      <c r="L204" s="522"/>
      <c r="M204" s="492"/>
      <c r="N204" s="522"/>
      <c r="O204" s="492"/>
      <c r="P204" s="522"/>
      <c r="Q204" s="492"/>
      <c r="R204" s="378" t="s">
        <v>126</v>
      </c>
      <c r="S204" s="522" t="s">
        <v>126</v>
      </c>
      <c r="T204" s="522" t="s">
        <v>126</v>
      </c>
      <c r="U204" s="522" t="s">
        <v>126</v>
      </c>
      <c r="V204" s="492" t="s">
        <v>126</v>
      </c>
      <c r="W204" s="52">
        <f>(1+W202)/(1+W203)-1</f>
        <v>1.0101010101009944E-2</v>
      </c>
      <c r="X204" s="52">
        <f>(1+X202)/(1+X203)-1</f>
        <v>-2.5590551181102317E-2</v>
      </c>
      <c r="Y204" s="52">
        <f>(1+Y202)/(1+Y203)-1</f>
        <v>1.4451143650110021E-2</v>
      </c>
      <c r="Z204" s="52">
        <f>(1+Z202)/(1+Z203)-1</f>
        <v>-4.9751243781095411E-3</v>
      </c>
      <c r="AA204" s="379" t="s">
        <v>126</v>
      </c>
      <c r="AB204" s="379"/>
      <c r="AC204" s="52">
        <f t="shared" ref="AC204:BG204" si="672">(1+AC202)/(1+AC203)-1</f>
        <v>9.4444444444444553E-2</v>
      </c>
      <c r="AD204" s="52">
        <f t="shared" si="672"/>
        <v>0.13557939644896178</v>
      </c>
      <c r="AE204" s="52">
        <f t="shared" si="672"/>
        <v>0.24328376858677991</v>
      </c>
      <c r="AF204" s="52">
        <f t="shared" si="672"/>
        <v>0.37672811059907829</v>
      </c>
      <c r="AG204" s="232">
        <f t="shared" si="672"/>
        <v>0.28605200945626463</v>
      </c>
      <c r="AH204" s="52">
        <f t="shared" si="672"/>
        <v>-2.7402183190331497E-3</v>
      </c>
      <c r="AI204" s="52">
        <f t="shared" si="672"/>
        <v>8.4213914069624085E-3</v>
      </c>
      <c r="AJ204" s="52">
        <f t="shared" si="672"/>
        <v>-4.195288368447736E-3</v>
      </c>
      <c r="AK204" s="52">
        <f t="shared" si="672"/>
        <v>-1.6156427358218206E-3</v>
      </c>
      <c r="AL204" s="232">
        <f t="shared" si="672"/>
        <v>2.3584905660376521E-3</v>
      </c>
      <c r="AM204" s="52">
        <f t="shared" si="672"/>
        <v>7.9386317010079477E-3</v>
      </c>
      <c r="AN204" s="52">
        <f t="shared" si="672"/>
        <v>-6.0176230388996332E-3</v>
      </c>
      <c r="AO204" s="52">
        <f t="shared" si="672"/>
        <v>-4.0913006029285048E-3</v>
      </c>
      <c r="AP204" s="52">
        <f t="shared" si="672"/>
        <v>-4.1493775933609811E-3</v>
      </c>
      <c r="AQ204" s="232">
        <f t="shared" si="672"/>
        <v>4.2493777696850366E-4</v>
      </c>
      <c r="AR204" s="52">
        <f t="shared" si="672"/>
        <v>-8.4230728222625117E-3</v>
      </c>
      <c r="AS204" s="52">
        <f t="shared" si="672"/>
        <v>7.3710073710073765E-3</v>
      </c>
      <c r="AT204" s="52">
        <f t="shared" si="672"/>
        <v>-3.9477679927117926E-3</v>
      </c>
      <c r="AU204" s="52">
        <f t="shared" si="672"/>
        <v>-9.746588693957392E-4</v>
      </c>
      <c r="AV204" s="232">
        <f t="shared" si="672"/>
        <v>2.9572592344604409E-3</v>
      </c>
      <c r="AW204" s="52">
        <f t="shared" si="672"/>
        <v>3.5842293906809264E-3</v>
      </c>
      <c r="AX204" s="52">
        <f t="shared" si="672"/>
        <v>-6.7890369625346336E-3</v>
      </c>
      <c r="AY204" s="52">
        <f t="shared" si="672"/>
        <v>1.7421602787457413E-3</v>
      </c>
      <c r="AZ204" s="52">
        <f t="shared" si="672"/>
        <v>1.6260162601626771E-3</v>
      </c>
      <c r="BA204" s="232">
        <f t="shared" si="672"/>
        <v>-1.6998918250656914E-3</v>
      </c>
      <c r="BB204" s="52">
        <f t="shared" si="672"/>
        <v>4.6286555859458289E-3</v>
      </c>
      <c r="BC204" s="52">
        <f t="shared" si="672"/>
        <v>8.8313217544899736E-4</v>
      </c>
      <c r="BD204" s="52">
        <f t="shared" si="672"/>
        <v>-4.6185698359610949E-3</v>
      </c>
      <c r="BE204" s="52">
        <f t="shared" si="672"/>
        <v>-1.536098310291778E-3</v>
      </c>
      <c r="BF204" s="232">
        <f>(1+BF202)/(1+BF203)-1</f>
        <v>3.3624747814386957E-4</v>
      </c>
      <c r="BG204" s="52">
        <f t="shared" si="672"/>
        <v>-1.9633507853403787E-3</v>
      </c>
      <c r="BH204" s="52">
        <f>+BH185</f>
        <v>-4.3831361141458691E-3</v>
      </c>
      <c r="BI204" s="114">
        <f>+BI185</f>
        <v>-2.8709987254545988E-3</v>
      </c>
      <c r="BJ204" s="114">
        <f>(1+BJ202)/(1+BJ203)-1</f>
        <v>6.4701653486698429E-3</v>
      </c>
      <c r="BK204" s="232">
        <f>(1+BK202)/(1+BK203)-1</f>
        <v>2.0309169338190713E-3</v>
      </c>
      <c r="BL204" s="52">
        <f t="shared" ref="BL204:CR204" si="673">(1+BL202)/(1+BL203)-1</f>
        <v>4.4236273744471255E-3</v>
      </c>
      <c r="BM204" s="52">
        <f t="shared" si="673"/>
        <v>-6.5751858204688984E-3</v>
      </c>
      <c r="BN204" s="52">
        <f t="shared" si="673"/>
        <v>9.765625E-4</v>
      </c>
      <c r="BO204" s="52">
        <f t="shared" si="673"/>
        <v>-9.7402597402598268E-3</v>
      </c>
      <c r="BP204" s="232">
        <f>(1+BP202)/(1+BP203)-1</f>
        <v>-1.064756557932478E-3</v>
      </c>
      <c r="BQ204" s="52">
        <f t="shared" si="673"/>
        <v>1.260327685198126E-3</v>
      </c>
      <c r="BR204" s="52">
        <f t="shared" si="673"/>
        <v>7.194244604316502E-3</v>
      </c>
      <c r="BS204" s="52">
        <f t="shared" si="673"/>
        <v>-9.7977902855952426E-3</v>
      </c>
      <c r="BT204" s="52">
        <f t="shared" si="673"/>
        <v>1.045788581119278E-2</v>
      </c>
      <c r="BU204" s="232">
        <f>(1+BU202)/(1+BU203)-1</f>
        <v>3.2055087261069204E-3</v>
      </c>
      <c r="BV204" s="52">
        <f t="shared" si="673"/>
        <v>2.8730958963516517E-3</v>
      </c>
      <c r="BW204" s="52">
        <f t="shared" si="673"/>
        <v>-7.9365079365079083E-3</v>
      </c>
      <c r="BX204" s="52">
        <f t="shared" si="673"/>
        <v>1.0243730130695905E-2</v>
      </c>
      <c r="BY204" s="52">
        <f t="shared" si="673"/>
        <v>-9.9900099900096517E-4</v>
      </c>
      <c r="BZ204" s="232">
        <f>(1+BZ202)/(1+BZ203)-1</f>
        <v>1.0437422905398286E-3</v>
      </c>
      <c r="CA204" s="52">
        <f t="shared" si="673"/>
        <v>4.7415836889497243E-4</v>
      </c>
      <c r="CB204" s="52">
        <f t="shared" si="673"/>
        <v>-3.8314176245209941E-3</v>
      </c>
      <c r="CC204" s="52">
        <f t="shared" si="673"/>
        <v>-5.9527249609894195E-3</v>
      </c>
      <c r="CD204" s="52">
        <f t="shared" si="673"/>
        <v>3.0241935483870108E-3</v>
      </c>
      <c r="CE204" s="232">
        <f>(1+CE202)/(1+CE203)-1</f>
        <v>-1.3463524306235319E-3</v>
      </c>
      <c r="CF204" s="52">
        <f t="shared" si="673"/>
        <v>0</v>
      </c>
      <c r="CG204" s="52">
        <f t="shared" si="673"/>
        <v>-9.9900099900096517E-4</v>
      </c>
      <c r="CH204" s="52">
        <f t="shared" si="673"/>
        <v>-4.7299960583364609E-3</v>
      </c>
      <c r="CI204" s="52">
        <f t="shared" si="673"/>
        <v>1.6066728198818048E-3</v>
      </c>
      <c r="CJ204" s="232">
        <f>(1+CJ202)/(1+CJ203)-1</f>
        <v>-7.6100982695304076E-4</v>
      </c>
      <c r="CK204" s="114">
        <f t="shared" si="673"/>
        <v>9.1957275235188263E-4</v>
      </c>
      <c r="CL204" s="114">
        <f t="shared" si="673"/>
        <v>0</v>
      </c>
      <c r="CM204" s="114">
        <f t="shared" si="673"/>
        <v>-9.0009000900093117E-4</v>
      </c>
      <c r="CN204" s="114">
        <f t="shared" si="673"/>
        <v>-9.5696981864419328E-3</v>
      </c>
      <c r="CO204" s="232">
        <f>(1+CO202)/(1+CO203)-1</f>
        <v>-2.6570506737521038E-3</v>
      </c>
      <c r="CP204" s="114">
        <f t="shared" si="673"/>
        <v>-3.8991105154135841E-3</v>
      </c>
      <c r="CQ204" s="114">
        <f t="shared" si="673"/>
        <v>0</v>
      </c>
      <c r="CR204" s="114">
        <f t="shared" si="673"/>
        <v>1.0010010010010895E-3</v>
      </c>
      <c r="CS204" s="52">
        <f>+CS185</f>
        <v>-2.4958248092004087E-3</v>
      </c>
      <c r="CT204" s="232">
        <f>(1+CT202)/(1+CT203)-1</f>
        <v>7.6913445543480563E-4</v>
      </c>
      <c r="CU204" s="114">
        <f>+CU185</f>
        <v>1.2889617998592673E-3</v>
      </c>
      <c r="CV204" s="52">
        <f>+CV185</f>
        <v>-1E-3</v>
      </c>
      <c r="CW204" s="52">
        <f>+CW185</f>
        <v>-2E-3</v>
      </c>
      <c r="CX204" s="52">
        <f>+CX185</f>
        <v>-2E-3</v>
      </c>
      <c r="CY204" s="232">
        <f>(1+CY202)/(1+CY203)-1</f>
        <v>-8.3703957121650241E-5</v>
      </c>
      <c r="CZ204" s="52">
        <f>+CZ185</f>
        <v>-1E-3</v>
      </c>
      <c r="DA204" s="52">
        <f>+DA185</f>
        <v>0</v>
      </c>
      <c r="DB204" s="52">
        <f>+DB185</f>
        <v>0</v>
      </c>
      <c r="DC204" s="52">
        <f>+DC185</f>
        <v>0</v>
      </c>
      <c r="DD204" s="232">
        <f>(1+DD202)/(1+DD203)-1</f>
        <v>-2.8563276282689287E-4</v>
      </c>
      <c r="DE204" s="52">
        <f>+DE185</f>
        <v>0</v>
      </c>
      <c r="DF204" s="52">
        <f>+DF185</f>
        <v>0</v>
      </c>
      <c r="DG204" s="52">
        <f>+DG185</f>
        <v>0</v>
      </c>
      <c r="DH204" s="52">
        <f>+DH185</f>
        <v>0</v>
      </c>
      <c r="DI204" s="232">
        <f>(1+DI202)/(1+DI203)-1</f>
        <v>0</v>
      </c>
    </row>
    <row r="205" spans="1:113" ht="12" hidden="1" customHeight="1" outlineLevel="1">
      <c r="A205" s="219"/>
      <c r="B205" s="17"/>
      <c r="C205" s="79"/>
      <c r="D205" s="6"/>
      <c r="E205" s="79"/>
      <c r="F205" s="6"/>
      <c r="G205" s="79"/>
      <c r="H205" s="6"/>
      <c r="I205" s="79"/>
      <c r="J205" s="6"/>
      <c r="K205" s="79"/>
      <c r="L205" s="6"/>
      <c r="M205" s="79"/>
      <c r="N205" s="6"/>
      <c r="O205" s="79"/>
      <c r="P205" s="6"/>
      <c r="Q205" s="79"/>
      <c r="R205" s="6"/>
      <c r="S205" s="6"/>
      <c r="T205" s="6"/>
      <c r="U205" s="6"/>
      <c r="V205" s="79"/>
      <c r="W205" s="6"/>
      <c r="X205" s="6"/>
      <c r="Y205" s="6"/>
      <c r="Z205" s="6"/>
      <c r="AA205" s="79"/>
      <c r="AB205" s="79"/>
      <c r="AC205" s="6"/>
      <c r="AD205" s="6"/>
      <c r="AE205" s="6"/>
      <c r="AF205" s="6"/>
      <c r="AG205" s="79"/>
      <c r="AH205" s="6"/>
      <c r="AI205" s="6"/>
      <c r="AJ205" s="6"/>
      <c r="AK205" s="6"/>
      <c r="AL205" s="79"/>
      <c r="AM205" s="6"/>
      <c r="AN205" s="6"/>
      <c r="AO205" s="6"/>
      <c r="AP205" s="6"/>
      <c r="AQ205" s="79"/>
      <c r="AR205" s="6"/>
      <c r="AS205" s="6"/>
      <c r="AT205" s="6"/>
      <c r="AU205" s="6"/>
      <c r="AV205" s="79"/>
      <c r="AW205" s="6"/>
      <c r="AX205" s="6"/>
      <c r="AY205" s="6"/>
      <c r="AZ205" s="6"/>
      <c r="BA205" s="79"/>
      <c r="BB205" s="6"/>
      <c r="BC205" s="6"/>
      <c r="BD205" s="6"/>
      <c r="BE205" s="6"/>
      <c r="BF205" s="79"/>
      <c r="BG205" s="6"/>
      <c r="BH205" s="6"/>
      <c r="BI205" s="582"/>
      <c r="BJ205" s="582"/>
      <c r="BK205" s="79"/>
      <c r="BL205" s="6"/>
      <c r="BM205" s="9"/>
      <c r="BN205" s="6"/>
      <c r="BO205" s="6"/>
      <c r="BP205" s="79"/>
      <c r="BQ205" s="6"/>
      <c r="BR205" s="9"/>
      <c r="BS205" s="6"/>
      <c r="BT205" s="6"/>
      <c r="BU205" s="79"/>
      <c r="BV205" s="6"/>
      <c r="BW205" s="6"/>
      <c r="BX205" s="6"/>
      <c r="BY205" s="6"/>
      <c r="BZ205" s="79"/>
      <c r="CA205" s="49"/>
      <c r="CB205" s="49"/>
      <c r="CC205" s="49"/>
      <c r="CD205" s="49"/>
      <c r="CE205" s="79"/>
      <c r="CF205" s="49"/>
      <c r="CG205" s="49"/>
      <c r="CH205" s="49"/>
      <c r="CI205" s="49"/>
      <c r="CJ205" s="79"/>
      <c r="CK205" s="6"/>
      <c r="CL205" s="6"/>
      <c r="CM205" s="6"/>
      <c r="CN205" s="6"/>
      <c r="CO205" s="79"/>
      <c r="CP205" s="6"/>
      <c r="CQ205" s="6"/>
      <c r="CR205" s="6"/>
      <c r="CS205" s="6"/>
      <c r="CT205" s="79"/>
      <c r="CU205" s="6"/>
      <c r="CV205" s="6"/>
      <c r="CW205" s="6"/>
      <c r="CX205" s="6"/>
      <c r="CY205" s="79"/>
      <c r="CZ205" s="6"/>
      <c r="DA205" s="6"/>
      <c r="DB205" s="6"/>
      <c r="DC205" s="6"/>
      <c r="DD205" s="79"/>
      <c r="DE205" s="6"/>
      <c r="DF205" s="6"/>
      <c r="DG205" s="6"/>
      <c r="DH205" s="6"/>
      <c r="DI205" s="79"/>
    </row>
    <row r="206" spans="1:113" s="7" customFormat="1" ht="12" hidden="1" customHeight="1" outlineLevel="1">
      <c r="A206" s="239" t="str">
        <f t="shared" si="364"/>
        <v xml:space="preserve"> </v>
      </c>
      <c r="B206" s="551" t="s">
        <v>177</v>
      </c>
      <c r="C206" s="36"/>
      <c r="D206" s="43"/>
      <c r="E206" s="36"/>
      <c r="F206" s="43"/>
      <c r="G206" s="36"/>
      <c r="H206" s="43"/>
      <c r="I206" s="36"/>
      <c r="J206" s="43"/>
      <c r="K206" s="36"/>
      <c r="L206" s="43"/>
      <c r="M206" s="36"/>
      <c r="N206" s="43"/>
      <c r="O206" s="36"/>
      <c r="P206" s="43"/>
      <c r="Q206" s="36"/>
      <c r="R206" s="542" t="s">
        <v>126</v>
      </c>
      <c r="S206" s="543" t="s">
        <v>126</v>
      </c>
      <c r="T206" s="543" t="s">
        <v>126</v>
      </c>
      <c r="U206" s="543" t="s">
        <v>126</v>
      </c>
      <c r="V206" s="544" t="s">
        <v>126</v>
      </c>
      <c r="W206" s="542" t="s">
        <v>126</v>
      </c>
      <c r="X206" s="543" t="s">
        <v>126</v>
      </c>
      <c r="Y206" s="543" t="s">
        <v>126</v>
      </c>
      <c r="Z206" s="543" t="s">
        <v>126</v>
      </c>
      <c r="AA206" s="544" t="s">
        <v>126</v>
      </c>
      <c r="AB206" s="544"/>
      <c r="AC206" s="43">
        <v>704</v>
      </c>
      <c r="AD206" s="43">
        <v>565</v>
      </c>
      <c r="AE206" s="43">
        <v>641</v>
      </c>
      <c r="AF206" s="43">
        <v>677</v>
      </c>
      <c r="AG206" s="36">
        <f>SUM(AC206:AF206)</f>
        <v>2587</v>
      </c>
      <c r="AH206" s="43">
        <v>791</v>
      </c>
      <c r="AI206" s="43">
        <v>635</v>
      </c>
      <c r="AJ206" s="43">
        <v>761</v>
      </c>
      <c r="AK206" s="43">
        <v>816</v>
      </c>
      <c r="AL206" s="36">
        <f>SUM(AH206:AK206)</f>
        <v>3003</v>
      </c>
      <c r="AM206" s="43">
        <v>961</v>
      </c>
      <c r="AN206" s="43">
        <v>744</v>
      </c>
      <c r="AO206" s="43">
        <v>876</v>
      </c>
      <c r="AP206" s="43">
        <v>916</v>
      </c>
      <c r="AQ206" s="36">
        <f>SUM(AM206:AP206)</f>
        <v>3497</v>
      </c>
      <c r="AR206" s="43">
        <v>1050</v>
      </c>
      <c r="AS206" s="43">
        <v>869</v>
      </c>
      <c r="AT206" s="43">
        <v>1086</v>
      </c>
      <c r="AU206" s="43">
        <v>1085</v>
      </c>
      <c r="AV206" s="36">
        <f>SUM(AR206:AU206)</f>
        <v>4090</v>
      </c>
      <c r="AW206" s="43">
        <v>1207</v>
      </c>
      <c r="AX206" s="43">
        <v>1013</v>
      </c>
      <c r="AY206" s="43">
        <v>1132</v>
      </c>
      <c r="AZ206" s="43">
        <v>1108</v>
      </c>
      <c r="BA206" s="36">
        <f>SUM(AW206:AZ206)</f>
        <v>4460</v>
      </c>
      <c r="BB206" s="43">
        <v>1235</v>
      </c>
      <c r="BC206" s="43">
        <v>1049</v>
      </c>
      <c r="BD206" s="43">
        <v>1189</v>
      </c>
      <c r="BE206" s="43">
        <f>BF206-SUM(BB206:BD206)</f>
        <v>1223</v>
      </c>
      <c r="BF206" s="36">
        <v>4696</v>
      </c>
      <c r="BG206" s="43">
        <v>1316</v>
      </c>
      <c r="BH206" s="43">
        <v>1127</v>
      </c>
      <c r="BI206" s="369">
        <v>1263</v>
      </c>
      <c r="BJ206" s="43">
        <f>BK206-SUM(BG206:BI206)</f>
        <v>1321</v>
      </c>
      <c r="BK206" s="36">
        <v>5027</v>
      </c>
      <c r="BL206" s="43">
        <v>1429</v>
      </c>
      <c r="BM206" s="43">
        <v>1248</v>
      </c>
      <c r="BN206" s="43">
        <v>1458</v>
      </c>
      <c r="BO206" s="43">
        <f>BP206-SUM(BL206:BN206)</f>
        <v>978</v>
      </c>
      <c r="BP206" s="36">
        <v>5113</v>
      </c>
      <c r="BQ206" s="43">
        <v>1506</v>
      </c>
      <c r="BR206" s="369">
        <v>1652</v>
      </c>
      <c r="BS206" s="43">
        <v>1670</v>
      </c>
      <c r="BT206" s="43">
        <f>BU206-SUM(BQ206:BS206)</f>
        <v>2165</v>
      </c>
      <c r="BU206" s="36">
        <v>6993</v>
      </c>
      <c r="BV206" s="43">
        <v>2201</v>
      </c>
      <c r="BW206" s="369">
        <v>2150</v>
      </c>
      <c r="BX206" s="43">
        <v>2113</v>
      </c>
      <c r="BY206" s="43">
        <f>BZ206-SUM(BV206:BX206)</f>
        <v>2268</v>
      </c>
      <c r="BZ206" s="36">
        <v>8732</v>
      </c>
      <c r="CA206" s="43">
        <v>2483</v>
      </c>
      <c r="CB206" s="369">
        <v>2647</v>
      </c>
      <c r="CC206" s="43">
        <v>2590</v>
      </c>
      <c r="CD206" s="43">
        <f>CE206-SUM(CA206:CC206)</f>
        <v>2615</v>
      </c>
      <c r="CE206" s="15">
        <v>10335</v>
      </c>
      <c r="CF206" s="369">
        <v>2651</v>
      </c>
      <c r="CG206" s="369">
        <v>2723</v>
      </c>
      <c r="CH206" s="369">
        <v>2630</v>
      </c>
      <c r="CI206" s="43">
        <f>CJ206-SUM(CF206:CH206)</f>
        <v>2388</v>
      </c>
      <c r="CJ206" s="15">
        <v>10392</v>
      </c>
      <c r="CK206" s="369">
        <v>2351</v>
      </c>
      <c r="CL206" s="369">
        <v>2313</v>
      </c>
      <c r="CM206" s="369">
        <v>2365</v>
      </c>
      <c r="CN206" s="43">
        <f>CO206-SUM(CK206:CM206)</f>
        <v>2059</v>
      </c>
      <c r="CO206" s="15">
        <v>9088</v>
      </c>
      <c r="CP206" s="369">
        <v>2284</v>
      </c>
      <c r="CQ206" s="369">
        <v>2083</v>
      </c>
      <c r="CR206" s="369">
        <v>2258</v>
      </c>
      <c r="CS206" s="43">
        <f>CT206-SUM(CP206:CR206)</f>
        <v>1928</v>
      </c>
      <c r="CT206" s="15">
        <v>8553</v>
      </c>
      <c r="CU206" s="43">
        <v>2146</v>
      </c>
      <c r="CV206" s="43"/>
      <c r="CW206" s="43"/>
      <c r="CX206" s="43"/>
      <c r="CY206" s="36"/>
      <c r="CZ206" s="43"/>
      <c r="DA206" s="43"/>
      <c r="DB206" s="43"/>
      <c r="DC206" s="43"/>
      <c r="DD206" s="36"/>
      <c r="DE206" s="43"/>
      <c r="DF206" s="43"/>
      <c r="DG206" s="43"/>
      <c r="DH206" s="43"/>
      <c r="DI206" s="36"/>
    </row>
    <row r="207" spans="1:113" s="3" customFormat="1" ht="12" hidden="1" customHeight="1" outlineLevel="1">
      <c r="A207" s="490" t="str">
        <f t="shared" si="364"/>
        <v xml:space="preserve"> </v>
      </c>
      <c r="B207" s="491" t="s">
        <v>171</v>
      </c>
      <c r="C207" s="492"/>
      <c r="D207" s="522"/>
      <c r="E207" s="492"/>
      <c r="F207" s="522"/>
      <c r="G207" s="492"/>
      <c r="H207" s="522"/>
      <c r="I207" s="492"/>
      <c r="J207" s="522"/>
      <c r="K207" s="492"/>
      <c r="L207" s="522"/>
      <c r="M207" s="492"/>
      <c r="N207" s="522"/>
      <c r="O207" s="492"/>
      <c r="P207" s="522"/>
      <c r="Q207" s="492"/>
      <c r="R207" s="378" t="s">
        <v>126</v>
      </c>
      <c r="S207" s="522" t="s">
        <v>126</v>
      </c>
      <c r="T207" s="522" t="s">
        <v>126</v>
      </c>
      <c r="U207" s="522" t="s">
        <v>126</v>
      </c>
      <c r="V207" s="492" t="s">
        <v>126</v>
      </c>
      <c r="W207" s="378" t="s">
        <v>126</v>
      </c>
      <c r="X207" s="522" t="s">
        <v>126</v>
      </c>
      <c r="Y207" s="522" t="s">
        <v>126</v>
      </c>
      <c r="Z207" s="522" t="s">
        <v>126</v>
      </c>
      <c r="AA207" s="492" t="s">
        <v>126</v>
      </c>
      <c r="AB207" s="492"/>
      <c r="AC207" s="378" t="s">
        <v>126</v>
      </c>
      <c r="AD207" s="522" t="s">
        <v>126</v>
      </c>
      <c r="AE207" s="522" t="s">
        <v>126</v>
      </c>
      <c r="AF207" s="522" t="s">
        <v>126</v>
      </c>
      <c r="AG207" s="492" t="s">
        <v>126</v>
      </c>
      <c r="AH207" s="52">
        <f t="shared" ref="AH207:BI207" si="674">+AH206/AC206-1</f>
        <v>0.12357954545454541</v>
      </c>
      <c r="AI207" s="52">
        <f t="shared" si="674"/>
        <v>0.12389380530973448</v>
      </c>
      <c r="AJ207" s="52">
        <f t="shared" si="674"/>
        <v>0.18720748829953204</v>
      </c>
      <c r="AK207" s="52">
        <f t="shared" si="674"/>
        <v>0.20531757754800584</v>
      </c>
      <c r="AL207" s="112">
        <f t="shared" si="674"/>
        <v>0.16080402010050254</v>
      </c>
      <c r="AM207" s="52">
        <f t="shared" si="674"/>
        <v>0.21491782553729455</v>
      </c>
      <c r="AN207" s="52">
        <f t="shared" si="674"/>
        <v>0.17165354330708671</v>
      </c>
      <c r="AO207" s="52">
        <f t="shared" si="674"/>
        <v>0.15111695137976344</v>
      </c>
      <c r="AP207" s="52">
        <f t="shared" si="674"/>
        <v>0.12254901960784315</v>
      </c>
      <c r="AQ207" s="112">
        <f t="shared" si="674"/>
        <v>0.16450216450216448</v>
      </c>
      <c r="AR207" s="52">
        <f t="shared" si="674"/>
        <v>9.2611862643080078E-2</v>
      </c>
      <c r="AS207" s="52">
        <f t="shared" si="674"/>
        <v>0.168010752688172</v>
      </c>
      <c r="AT207" s="52">
        <f t="shared" si="674"/>
        <v>0.23972602739726034</v>
      </c>
      <c r="AU207" s="52">
        <f t="shared" si="674"/>
        <v>0.18449781659388642</v>
      </c>
      <c r="AV207" s="112">
        <f t="shared" si="674"/>
        <v>0.16957392050328846</v>
      </c>
      <c r="AW207" s="52">
        <f t="shared" si="674"/>
        <v>0.14952380952380961</v>
      </c>
      <c r="AX207" s="52">
        <f t="shared" si="674"/>
        <v>0.16570771001150741</v>
      </c>
      <c r="AY207" s="52">
        <f t="shared" si="674"/>
        <v>4.2357274401473299E-2</v>
      </c>
      <c r="AZ207" s="52">
        <f t="shared" si="674"/>
        <v>2.1198156682027625E-2</v>
      </c>
      <c r="BA207" s="112">
        <f t="shared" si="674"/>
        <v>9.0464547677261642E-2</v>
      </c>
      <c r="BB207" s="52">
        <f t="shared" si="674"/>
        <v>2.3198011599005808E-2</v>
      </c>
      <c r="BC207" s="52">
        <f t="shared" si="674"/>
        <v>3.5538005923001048E-2</v>
      </c>
      <c r="BD207" s="52">
        <f t="shared" si="674"/>
        <v>5.0353356890459278E-2</v>
      </c>
      <c r="BE207" s="52">
        <f t="shared" si="674"/>
        <v>0.10379061371841147</v>
      </c>
      <c r="BF207" s="112">
        <f t="shared" si="674"/>
        <v>5.2914798206278091E-2</v>
      </c>
      <c r="BG207" s="52">
        <f t="shared" si="674"/>
        <v>6.5587044534412886E-2</v>
      </c>
      <c r="BH207" s="52">
        <f t="shared" si="674"/>
        <v>7.4356530028598655E-2</v>
      </c>
      <c r="BI207" s="114">
        <f t="shared" si="674"/>
        <v>6.2237174095878922E-2</v>
      </c>
      <c r="BJ207" s="52">
        <f t="shared" ref="BJ207" si="675">+BJ206/BE206-1</f>
        <v>8.0130825838103048E-2</v>
      </c>
      <c r="BK207" s="112">
        <f t="shared" ref="BK207:BN207" si="676">+BK206/BF206-1</f>
        <v>7.0485519591141355E-2</v>
      </c>
      <c r="BL207" s="52">
        <f t="shared" si="676"/>
        <v>8.5866261398176214E-2</v>
      </c>
      <c r="BM207" s="52">
        <f t="shared" si="676"/>
        <v>0.10736468500443652</v>
      </c>
      <c r="BN207" s="52">
        <f t="shared" si="676"/>
        <v>0.154394299287411</v>
      </c>
      <c r="BO207" s="52">
        <f t="shared" ref="BO207" si="677">+BO206/BJ206-1</f>
        <v>-0.25965177895533686</v>
      </c>
      <c r="BP207" s="112">
        <f t="shared" ref="BP207:CR207" si="678">+BP206/BK206-1</f>
        <v>1.7107618858165807E-2</v>
      </c>
      <c r="BQ207" s="52">
        <f t="shared" si="678"/>
        <v>5.3883834849545176E-2</v>
      </c>
      <c r="BR207" s="52">
        <f t="shared" si="678"/>
        <v>0.32371794871794868</v>
      </c>
      <c r="BS207" s="52">
        <f t="shared" si="678"/>
        <v>0.14540466392318252</v>
      </c>
      <c r="BT207" s="52">
        <f t="shared" si="678"/>
        <v>1.2137014314928427</v>
      </c>
      <c r="BU207" s="112">
        <f t="shared" si="678"/>
        <v>0.36769020144729114</v>
      </c>
      <c r="BV207" s="52">
        <f t="shared" si="678"/>
        <v>0.4614873837981408</v>
      </c>
      <c r="BW207" s="52">
        <f t="shared" si="678"/>
        <v>0.30145278450363189</v>
      </c>
      <c r="BX207" s="52">
        <f t="shared" si="678"/>
        <v>0.26526946107784433</v>
      </c>
      <c r="BY207" s="52">
        <f t="shared" si="678"/>
        <v>4.7575057736720661E-2</v>
      </c>
      <c r="BZ207" s="112">
        <f t="shared" si="678"/>
        <v>0.24867724867724861</v>
      </c>
      <c r="CA207" s="52">
        <f t="shared" si="678"/>
        <v>0.12812358019082226</v>
      </c>
      <c r="CB207" s="52">
        <f t="shared" si="678"/>
        <v>0.23116279069767431</v>
      </c>
      <c r="CC207" s="52">
        <f t="shared" si="678"/>
        <v>0.22574538570752489</v>
      </c>
      <c r="CD207" s="52">
        <f t="shared" si="678"/>
        <v>0.15299823633156961</v>
      </c>
      <c r="CE207" s="112">
        <f t="shared" si="678"/>
        <v>0.18357764544205213</v>
      </c>
      <c r="CF207" s="52">
        <f t="shared" si="678"/>
        <v>6.7660088602496948E-2</v>
      </c>
      <c r="CG207" s="52">
        <f t="shared" si="678"/>
        <v>2.8711749149981092E-2</v>
      </c>
      <c r="CH207" s="52">
        <f t="shared" si="678"/>
        <v>1.5444015444015413E-2</v>
      </c>
      <c r="CI207" s="52">
        <f t="shared" si="678"/>
        <v>-8.6806883365200815E-2</v>
      </c>
      <c r="CJ207" s="112">
        <f t="shared" si="678"/>
        <v>5.5152394775035418E-3</v>
      </c>
      <c r="CK207" s="52">
        <f t="shared" si="678"/>
        <v>-0.11316484345529987</v>
      </c>
      <c r="CL207" s="52">
        <f t="shared" si="678"/>
        <v>-0.15056922511935367</v>
      </c>
      <c r="CM207" s="52">
        <f t="shared" si="678"/>
        <v>-0.10076045627376429</v>
      </c>
      <c r="CN207" s="52">
        <f t="shared" si="678"/>
        <v>-0.13777219430485765</v>
      </c>
      <c r="CO207" s="112">
        <f t="shared" ref="CO207" si="679">+CO206/CJ206-1</f>
        <v>-0.12548113933795224</v>
      </c>
      <c r="CP207" s="52">
        <f t="shared" si="678"/>
        <v>-2.8498511271799254E-2</v>
      </c>
      <c r="CQ207" s="52">
        <f t="shared" si="678"/>
        <v>-9.9437959360138328E-2</v>
      </c>
      <c r="CR207" s="52">
        <f t="shared" si="678"/>
        <v>-4.5243128964059243E-2</v>
      </c>
      <c r="CS207" s="114">
        <f t="shared" ref="CS207" si="680">+CS206/CN206-1</f>
        <v>-6.3623118018455549E-2</v>
      </c>
      <c r="CT207" s="112">
        <f t="shared" ref="CT207:CU207" si="681">+CT206/CO206-1</f>
        <v>-5.8868838028169002E-2</v>
      </c>
      <c r="CU207" s="52">
        <f t="shared" si="681"/>
        <v>-6.0420315236427324E-2</v>
      </c>
      <c r="CV207" s="52"/>
      <c r="CW207" s="52"/>
      <c r="CX207" s="52"/>
      <c r="CY207" s="112"/>
      <c r="CZ207" s="52"/>
      <c r="DA207" s="52"/>
      <c r="DB207" s="52"/>
      <c r="DC207" s="52"/>
      <c r="DD207" s="112"/>
      <c r="DE207" s="52"/>
      <c r="DF207" s="52"/>
      <c r="DG207" s="52"/>
      <c r="DH207" s="52"/>
      <c r="DI207" s="112"/>
    </row>
    <row r="208" spans="1:113" s="3" customFormat="1" ht="12" hidden="1" customHeight="1" outlineLevel="1">
      <c r="A208" s="490" t="str">
        <f t="shared" si="364"/>
        <v xml:space="preserve"> </v>
      </c>
      <c r="B208" s="491" t="s">
        <v>173</v>
      </c>
      <c r="C208" s="492"/>
      <c r="D208" s="522"/>
      <c r="E208" s="492"/>
      <c r="F208" s="522"/>
      <c r="G208" s="492"/>
      <c r="H208" s="522"/>
      <c r="I208" s="492"/>
      <c r="J208" s="522"/>
      <c r="K208" s="492"/>
      <c r="L208" s="522"/>
      <c r="M208" s="492"/>
      <c r="N208" s="522"/>
      <c r="O208" s="492"/>
      <c r="P208" s="522"/>
      <c r="Q208" s="492"/>
      <c r="R208" s="378" t="s">
        <v>126</v>
      </c>
      <c r="S208" s="522" t="s">
        <v>126</v>
      </c>
      <c r="T208" s="522" t="s">
        <v>126</v>
      </c>
      <c r="U208" s="522" t="s">
        <v>126</v>
      </c>
      <c r="V208" s="492" t="s">
        <v>126</v>
      </c>
      <c r="W208" s="378" t="s">
        <v>126</v>
      </c>
      <c r="X208" s="522" t="s">
        <v>126</v>
      </c>
      <c r="Y208" s="522" t="s">
        <v>126</v>
      </c>
      <c r="Z208" s="522" t="s">
        <v>126</v>
      </c>
      <c r="AA208" s="492" t="s">
        <v>126</v>
      </c>
      <c r="AB208" s="492"/>
      <c r="AC208" s="378" t="s">
        <v>126</v>
      </c>
      <c r="AD208" s="522" t="s">
        <v>126</v>
      </c>
      <c r="AE208" s="522" t="s">
        <v>126</v>
      </c>
      <c r="AF208" s="522" t="s">
        <v>126</v>
      </c>
      <c r="AG208" s="492" t="s">
        <v>126</v>
      </c>
      <c r="AH208" s="52">
        <v>0.12</v>
      </c>
      <c r="AI208" s="52">
        <v>0.12</v>
      </c>
      <c r="AJ208" s="52">
        <v>0.19</v>
      </c>
      <c r="AK208" s="52">
        <v>0.21</v>
      </c>
      <c r="AL208" s="112">
        <v>0.16</v>
      </c>
      <c r="AM208" s="52">
        <v>0.22</v>
      </c>
      <c r="AN208" s="52">
        <v>0.18</v>
      </c>
      <c r="AO208" s="52">
        <v>0.15</v>
      </c>
      <c r="AP208" s="52">
        <f>+AP207-AP183+AP184</f>
        <v>0.12957998499946422</v>
      </c>
      <c r="AQ208" s="112">
        <v>0.17</v>
      </c>
      <c r="AR208" s="52">
        <v>0.1</v>
      </c>
      <c r="AS208" s="52">
        <v>0.17</v>
      </c>
      <c r="AT208" s="52">
        <v>0.25</v>
      </c>
      <c r="AU208" s="52">
        <f>+AU207-AU183+AU184</f>
        <v>0.18369395807298616</v>
      </c>
      <c r="AV208" s="112">
        <v>0.17</v>
      </c>
      <c r="AW208" s="52">
        <v>0.15</v>
      </c>
      <c r="AX208" s="52">
        <v>0.17</v>
      </c>
      <c r="AY208" s="52">
        <v>0.04</v>
      </c>
      <c r="AZ208" s="52">
        <f>+AZ207-AZ183+AZ184</f>
        <v>2.6378879573593965E-2</v>
      </c>
      <c r="BA208" s="112">
        <v>0.09</v>
      </c>
      <c r="BB208" s="52">
        <v>0.02</v>
      </c>
      <c r="BC208" s="52">
        <v>0.03</v>
      </c>
      <c r="BD208" s="522">
        <v>0.05</v>
      </c>
      <c r="BE208" s="52">
        <f>((BF208*SUM(AW206:AZ206))-BB208*AW206-BC208*AX206-BD208*AY206)/AZ206</f>
        <v>0.10096570397111916</v>
      </c>
      <c r="BF208" s="112">
        <v>0.05</v>
      </c>
      <c r="BG208" s="522">
        <v>7.0000000000000007E-2</v>
      </c>
      <c r="BH208" s="522">
        <v>0.08</v>
      </c>
      <c r="BI208" s="554">
        <v>0.06</v>
      </c>
      <c r="BJ208" s="52">
        <f>((BK208*SUM(BB206:BE206))-BG208*BB206-BH208*BC206-BI208*BD206)/BE206</f>
        <v>7.1144726083401486E-2</v>
      </c>
      <c r="BK208" s="112">
        <v>7.0000000000000007E-2</v>
      </c>
      <c r="BL208" s="554">
        <v>0.09</v>
      </c>
      <c r="BM208" s="522">
        <v>0.11</v>
      </c>
      <c r="BN208" s="554">
        <v>0.15</v>
      </c>
      <c r="BO208" s="52">
        <f>((BP208*SUM(BG206:BJ206))-BL208*BG206-BM208*BH206-BN208*BI206)/BJ206</f>
        <v>-0.25080999242997726</v>
      </c>
      <c r="BP208" s="112">
        <v>0.02</v>
      </c>
      <c r="BQ208" s="554">
        <v>0.05</v>
      </c>
      <c r="BR208" s="554">
        <v>0.32</v>
      </c>
      <c r="BS208" s="554">
        <v>0.15</v>
      </c>
      <c r="BT208" s="52">
        <f>((BU208*SUM(BL206:BO206))-BQ208*BL206-BR208*BM206-BS208*BN206)/BO206</f>
        <v>1.2293456032719836</v>
      </c>
      <c r="BU208" s="112">
        <v>0.37</v>
      </c>
      <c r="BV208" s="554">
        <v>0.46</v>
      </c>
      <c r="BW208" s="554">
        <v>0.3</v>
      </c>
      <c r="BX208" s="554">
        <v>0.27</v>
      </c>
      <c r="BY208" s="52">
        <f>((BZ208*SUM(BQ206:BT206))-BV208*BQ206-BW208*BR206-BX208*BS206)/BT206</f>
        <v>5.0341801385681326E-2</v>
      </c>
      <c r="BZ208" s="112">
        <v>0.25</v>
      </c>
      <c r="CA208" s="554">
        <v>0.13</v>
      </c>
      <c r="CB208" s="554">
        <v>0.23</v>
      </c>
      <c r="CC208" s="522">
        <v>0.23</v>
      </c>
      <c r="CD208" s="52">
        <f>((CE208*SUM(BV206:BY206))-CA208*BV206-CB208*BW206-CC208*BX206)/BY206</f>
        <v>0.13454144620811292</v>
      </c>
      <c r="CE208" s="583">
        <v>0.18</v>
      </c>
      <c r="CF208" s="554">
        <v>7.0000000000000007E-2</v>
      </c>
      <c r="CG208" s="554">
        <v>0.03</v>
      </c>
      <c r="CH208" s="554">
        <v>0.02</v>
      </c>
      <c r="CI208" s="52">
        <f>((CJ208*SUM(CA206:CD206))-CF208*CA206-CG208*CB206-CH208*CC206)/CD206</f>
        <v>-7.7120458891013391E-2</v>
      </c>
      <c r="CJ208" s="583">
        <v>0.01</v>
      </c>
      <c r="CK208" s="554">
        <v>-0.11</v>
      </c>
      <c r="CL208" s="554">
        <v>-0.15</v>
      </c>
      <c r="CM208" s="554">
        <v>-0.1</v>
      </c>
      <c r="CN208" s="522">
        <v>-0.14000000000000001</v>
      </c>
      <c r="CO208" s="583">
        <v>-0.13</v>
      </c>
      <c r="CP208" s="554">
        <v>-0.03</v>
      </c>
      <c r="CQ208" s="554">
        <v>-0.1</v>
      </c>
      <c r="CR208" s="554">
        <v>-0.05</v>
      </c>
      <c r="CS208" s="522"/>
      <c r="CT208" s="583">
        <v>-0.06</v>
      </c>
      <c r="CU208" s="522">
        <v>-0.06</v>
      </c>
      <c r="CV208" s="522"/>
      <c r="CW208" s="522"/>
      <c r="CX208" s="522"/>
      <c r="CY208" s="584"/>
      <c r="CZ208" s="522"/>
      <c r="DA208" s="522"/>
      <c r="DB208" s="522"/>
      <c r="DC208" s="522"/>
      <c r="DD208" s="584"/>
      <c r="DE208" s="522"/>
      <c r="DF208" s="522"/>
      <c r="DG208" s="522"/>
      <c r="DH208" s="522"/>
      <c r="DI208" s="584"/>
    </row>
    <row r="209" spans="1:113" ht="12" hidden="1" customHeight="1" outlineLevel="1">
      <c r="A209" s="219" t="str">
        <f t="shared" si="364"/>
        <v xml:space="preserve"> </v>
      </c>
      <c r="B209" s="491" t="s">
        <v>141</v>
      </c>
      <c r="C209" s="492"/>
      <c r="D209" s="522"/>
      <c r="E209" s="492"/>
      <c r="F209" s="522"/>
      <c r="G209" s="492"/>
      <c r="H209" s="522"/>
      <c r="I209" s="492"/>
      <c r="J209" s="522"/>
      <c r="K209" s="492"/>
      <c r="L209" s="522"/>
      <c r="M209" s="492"/>
      <c r="N209" s="522"/>
      <c r="O209" s="492"/>
      <c r="P209" s="522"/>
      <c r="Q209" s="492"/>
      <c r="R209" s="378" t="s">
        <v>126</v>
      </c>
      <c r="S209" s="522" t="s">
        <v>126</v>
      </c>
      <c r="T209" s="522" t="s">
        <v>126</v>
      </c>
      <c r="U209" s="522" t="s">
        <v>126</v>
      </c>
      <c r="V209" s="492" t="s">
        <v>126</v>
      </c>
      <c r="W209" s="378" t="s">
        <v>126</v>
      </c>
      <c r="X209" s="522" t="s">
        <v>126</v>
      </c>
      <c r="Y209" s="522" t="s">
        <v>126</v>
      </c>
      <c r="Z209" s="522" t="s">
        <v>126</v>
      </c>
      <c r="AA209" s="492" t="s">
        <v>126</v>
      </c>
      <c r="AB209" s="492"/>
      <c r="AC209" s="378" t="s">
        <v>126</v>
      </c>
      <c r="AD209" s="522" t="s">
        <v>126</v>
      </c>
      <c r="AE209" s="522" t="s">
        <v>126</v>
      </c>
      <c r="AF209" s="522" t="s">
        <v>126</v>
      </c>
      <c r="AG209" s="492" t="s">
        <v>126</v>
      </c>
      <c r="AH209" s="52">
        <f t="shared" ref="AH209:BD209" si="682">(1+AH207)/(1+AH208)-1</f>
        <v>3.196022727272485E-3</v>
      </c>
      <c r="AI209" s="52">
        <f t="shared" si="682"/>
        <v>3.4766118836913051E-3</v>
      </c>
      <c r="AJ209" s="52">
        <f t="shared" si="682"/>
        <v>-2.3466484877882055E-3</v>
      </c>
      <c r="AK209" s="52">
        <f t="shared" si="682"/>
        <v>-3.8697706214827488E-3</v>
      </c>
      <c r="AL209" s="112">
        <f t="shared" si="682"/>
        <v>6.9312077629546387E-4</v>
      </c>
      <c r="AM209" s="52">
        <f t="shared" si="682"/>
        <v>-4.1657167727093825E-3</v>
      </c>
      <c r="AN209" s="52">
        <f t="shared" si="682"/>
        <v>-7.0732683838247157E-3</v>
      </c>
      <c r="AO209" s="52">
        <f t="shared" si="682"/>
        <v>9.7126206935960191E-4</v>
      </c>
      <c r="AP209" s="52">
        <f t="shared" si="682"/>
        <v>-6.2244068458989776E-3</v>
      </c>
      <c r="AQ209" s="112">
        <f t="shared" si="682"/>
        <v>-4.6990046990046386E-3</v>
      </c>
      <c r="AR209" s="52">
        <f t="shared" si="682"/>
        <v>-6.7164885062909185E-3</v>
      </c>
      <c r="AS209" s="52">
        <f t="shared" si="682"/>
        <v>-1.700211377630656E-3</v>
      </c>
      <c r="AT209" s="52">
        <f t="shared" si="682"/>
        <v>-8.2191780821917471E-3</v>
      </c>
      <c r="AU209" s="52">
        <f t="shared" si="682"/>
        <v>6.7911009887122731E-4</v>
      </c>
      <c r="AV209" s="112">
        <f t="shared" si="682"/>
        <v>-3.6417051000980916E-4</v>
      </c>
      <c r="AW209" s="52">
        <f t="shared" si="682"/>
        <v>-4.1407867494813733E-4</v>
      </c>
      <c r="AX209" s="52">
        <f t="shared" si="682"/>
        <v>-3.6686239217884609E-3</v>
      </c>
      <c r="AY209" s="52">
        <f t="shared" si="682"/>
        <v>2.2666100014165913E-3</v>
      </c>
      <c r="AZ209" s="52">
        <f t="shared" si="682"/>
        <v>-5.0475735565784774E-3</v>
      </c>
      <c r="BA209" s="112">
        <f t="shared" si="682"/>
        <v>4.2619052959769199E-4</v>
      </c>
      <c r="BB209" s="52">
        <f t="shared" si="682"/>
        <v>3.1353054892213628E-3</v>
      </c>
      <c r="BC209" s="52">
        <f t="shared" si="682"/>
        <v>5.3767047796127176E-3</v>
      </c>
      <c r="BD209" s="52">
        <f t="shared" si="682"/>
        <v>3.3653037186587298E-4</v>
      </c>
      <c r="BE209" s="52">
        <f t="shared" ref="BE209:BI209" si="683">(1+BE207)/(1+BE208)-1</f>
        <v>2.5658471804370642E-3</v>
      </c>
      <c r="BF209" s="112">
        <f t="shared" si="683"/>
        <v>2.7759982916932824E-3</v>
      </c>
      <c r="BG209" s="52">
        <f t="shared" si="683"/>
        <v>-4.1242574444739777E-3</v>
      </c>
      <c r="BH209" s="52">
        <f t="shared" si="683"/>
        <v>-5.2254351587049941E-3</v>
      </c>
      <c r="BI209" s="114">
        <f t="shared" si="683"/>
        <v>2.1105415998856625E-3</v>
      </c>
      <c r="BJ209" s="52">
        <f t="shared" ref="BJ209:BK209" si="684">(1+BJ207)/(1+BJ208)-1</f>
        <v>8.3892489370309686E-3</v>
      </c>
      <c r="BK209" s="112">
        <f t="shared" si="684"/>
        <v>4.5375662723490251E-4</v>
      </c>
      <c r="BL209" s="52">
        <f t="shared" ref="BL209:BP209" si="685">(1+BL207)/(1+BL208)-1</f>
        <v>-3.7924207356182515E-3</v>
      </c>
      <c r="BM209" s="52">
        <f t="shared" si="685"/>
        <v>-2.374157653660891E-3</v>
      </c>
      <c r="BN209" s="52">
        <f t="shared" si="685"/>
        <v>3.8211298151400452E-3</v>
      </c>
      <c r="BO209" s="52">
        <f t="shared" si="685"/>
        <v>-1.1801794519440634E-2</v>
      </c>
      <c r="BP209" s="112">
        <f t="shared" si="685"/>
        <v>-2.835667786111995E-3</v>
      </c>
      <c r="BQ209" s="52">
        <f t="shared" ref="BQ209:CD209" si="686">(1+BQ207)/(1+BQ208)-1</f>
        <v>3.6988903329000511E-3</v>
      </c>
      <c r="BR209" s="52">
        <f t="shared" si="686"/>
        <v>2.8166278166277259E-3</v>
      </c>
      <c r="BS209" s="52">
        <f t="shared" si="686"/>
        <v>-3.9959444146238088E-3</v>
      </c>
      <c r="BT209" s="52">
        <f t="shared" si="686"/>
        <v>-7.0173829289547074E-3</v>
      </c>
      <c r="BU209" s="112">
        <f t="shared" si="686"/>
        <v>-1.6859843450430789E-3</v>
      </c>
      <c r="BV209" s="52">
        <f t="shared" si="686"/>
        <v>1.0187560261238904E-3</v>
      </c>
      <c r="BW209" s="52">
        <f t="shared" si="686"/>
        <v>1.1175265412552982E-3</v>
      </c>
      <c r="BX209" s="52">
        <f t="shared" si="686"/>
        <v>-3.7248337969729706E-3</v>
      </c>
      <c r="BY209" s="52">
        <f t="shared" ref="BY209" si="687">(1+BY207)/(1+BY208)-1</f>
        <v>-2.6341364737750839E-3</v>
      </c>
      <c r="BZ209" s="112">
        <f>(1+BZ207)/(1+BZ208)-1</f>
        <v>-1.0582010582010914E-3</v>
      </c>
      <c r="CA209" s="52">
        <f t="shared" ref="CA209" si="688">(1+CA207)/(1+CA208)-1</f>
        <v>-1.6605485036970125E-3</v>
      </c>
      <c r="CB209" s="52">
        <f t="shared" si="686"/>
        <v>9.4535829079211986E-4</v>
      </c>
      <c r="CC209" s="52">
        <f t="shared" si="686"/>
        <v>-3.4590360101423023E-3</v>
      </c>
      <c r="CD209" s="52">
        <f t="shared" si="686"/>
        <v>1.6268061590119398E-2</v>
      </c>
      <c r="CE209" s="112">
        <f>(1+CE207)/(1+CE208)-1</f>
        <v>3.0319029169934009E-3</v>
      </c>
      <c r="CF209" s="114">
        <f t="shared" ref="CF209:CP209" si="689">(1+CF207)/(1+CF208)-1</f>
        <v>-2.186833081778583E-3</v>
      </c>
      <c r="CG209" s="52">
        <f t="shared" si="689"/>
        <v>-1.250728980600857E-3</v>
      </c>
      <c r="CH209" s="52">
        <f t="shared" si="689"/>
        <v>-4.466651525475096E-3</v>
      </c>
      <c r="CI209" s="52">
        <f t="shared" si="689"/>
        <v>-1.0495870850650402E-2</v>
      </c>
      <c r="CJ209" s="112">
        <f>(1+CJ207)/(1+CJ208)-1</f>
        <v>-4.4403569529668507E-3</v>
      </c>
      <c r="CK209" s="52">
        <f t="shared" si="689"/>
        <v>-3.5560038823594375E-3</v>
      </c>
      <c r="CL209" s="52">
        <f t="shared" si="689"/>
        <v>-6.6967661100425513E-4</v>
      </c>
      <c r="CM209" s="52">
        <f t="shared" si="689"/>
        <v>-8.4495141529372653E-4</v>
      </c>
      <c r="CN209" s="52">
        <f t="shared" si="689"/>
        <v>2.5904717385376586E-3</v>
      </c>
      <c r="CO209" s="112">
        <f>(1+CO207)/(1+CO208)-1</f>
        <v>5.1940927149973781E-3</v>
      </c>
      <c r="CP209" s="52">
        <f t="shared" si="689"/>
        <v>1.5479265239182194E-3</v>
      </c>
      <c r="CQ209" s="52">
        <f t="shared" ref="CQ209:CS209" si="690">(1+CQ207)/(1+CQ208)-1</f>
        <v>6.2448959984617858E-4</v>
      </c>
      <c r="CR209" s="52">
        <f t="shared" si="690"/>
        <v>5.0072326694112768E-3</v>
      </c>
      <c r="CS209" s="218">
        <f t="shared" si="690"/>
        <v>-6.3623118018455549E-2</v>
      </c>
      <c r="CT209" s="112">
        <f>(1+CT207)/(1+CT208)-1</f>
        <v>1.2033637998203339E-3</v>
      </c>
      <c r="CU209" s="52">
        <f>(1+CU207)/(1+CU208)-1</f>
        <v>-4.471438685396123E-4</v>
      </c>
      <c r="CV209" s="376"/>
      <c r="CW209" s="376"/>
      <c r="CX209" s="376"/>
      <c r="CY209" s="375"/>
      <c r="CZ209" s="376"/>
      <c r="DA209" s="376"/>
      <c r="DB209" s="376"/>
      <c r="DC209" s="376"/>
      <c r="DD209" s="375"/>
      <c r="DE209" s="376"/>
      <c r="DF209" s="376"/>
      <c r="DG209" s="376"/>
      <c r="DH209" s="376"/>
      <c r="DI209" s="375"/>
    </row>
    <row r="210" spans="1:113" ht="12" hidden="1" customHeight="1" outlineLevel="1">
      <c r="A210" s="219"/>
      <c r="B210" s="491"/>
      <c r="C210" s="550"/>
      <c r="D210" s="549"/>
      <c r="E210" s="550"/>
      <c r="F210" s="549"/>
      <c r="G210" s="550"/>
      <c r="H210" s="549"/>
      <c r="I210" s="550"/>
      <c r="J210" s="549"/>
      <c r="K210" s="550"/>
      <c r="L210" s="549"/>
      <c r="M210" s="550"/>
      <c r="N210" s="549"/>
      <c r="O210" s="550"/>
      <c r="P210" s="549"/>
      <c r="Q210" s="550"/>
      <c r="R210" s="6"/>
      <c r="S210" s="6"/>
      <c r="T210" s="6"/>
      <c r="U210" s="6"/>
      <c r="V210" s="79"/>
      <c r="W210" s="6"/>
      <c r="X210" s="6"/>
      <c r="Y210" s="6"/>
      <c r="Z210" s="6"/>
      <c r="AA210" s="79"/>
      <c r="AB210" s="79"/>
      <c r="AC210" s="6"/>
      <c r="AD210" s="6"/>
      <c r="AE210" s="6"/>
      <c r="AF210" s="6"/>
      <c r="AG210" s="79"/>
      <c r="AH210" s="6"/>
      <c r="AI210" s="6"/>
      <c r="AJ210" s="6"/>
      <c r="AK210" s="6"/>
      <c r="AL210" s="79"/>
      <c r="AM210" s="6"/>
      <c r="AN210" s="6"/>
      <c r="AO210" s="6"/>
      <c r="AP210" s="6"/>
      <c r="AQ210" s="81"/>
      <c r="AR210" s="6"/>
      <c r="AS210" s="6"/>
      <c r="AT210" s="6"/>
      <c r="AU210" s="6"/>
      <c r="AV210" s="81"/>
      <c r="AW210" s="6"/>
      <c r="AX210" s="6"/>
      <c r="AY210" s="6"/>
      <c r="AZ210" s="6"/>
      <c r="BA210" s="81"/>
      <c r="BB210" s="6"/>
      <c r="BC210" s="6"/>
      <c r="BD210" s="6"/>
      <c r="BE210" s="6"/>
      <c r="BF210" s="81"/>
      <c r="BG210" s="6"/>
      <c r="BH210" s="6"/>
      <c r="BI210" s="582"/>
      <c r="BJ210" s="582"/>
      <c r="BK210" s="81"/>
      <c r="BL210" s="6"/>
      <c r="BM210" s="6"/>
      <c r="BN210" s="6"/>
      <c r="BO210" s="6"/>
      <c r="BP210" s="79"/>
      <c r="BQ210" s="6"/>
      <c r="BR210" s="6"/>
      <c r="BS210" s="6"/>
      <c r="BT210" s="6"/>
      <c r="BU210" s="79"/>
      <c r="BV210" s="6"/>
      <c r="BW210" s="6"/>
      <c r="BX210" s="6"/>
      <c r="BY210" s="49"/>
      <c r="BZ210" s="42"/>
      <c r="CA210" s="49"/>
      <c r="CB210" s="49"/>
      <c r="CC210" s="49"/>
      <c r="CD210" s="49"/>
      <c r="CE210" s="79"/>
      <c r="CF210" s="49"/>
      <c r="CG210" s="49"/>
      <c r="CH210" s="49"/>
      <c r="CI210" s="49"/>
      <c r="CJ210" s="79"/>
      <c r="CK210" s="6"/>
      <c r="CL210" s="6"/>
      <c r="CM210" s="6"/>
      <c r="CN210" s="6"/>
      <c r="CO210" s="81"/>
      <c r="CP210" s="6"/>
      <c r="CQ210" s="43"/>
      <c r="CR210" s="6"/>
      <c r="CS210" s="6"/>
      <c r="CT210" s="79"/>
      <c r="CU210" s="6"/>
      <c r="CV210" s="6"/>
      <c r="CW210" s="6"/>
      <c r="CX210" s="6"/>
      <c r="CY210" s="79"/>
      <c r="CZ210" s="6"/>
      <c r="DA210" s="6"/>
      <c r="DB210" s="6"/>
      <c r="DC210" s="6"/>
      <c r="DD210" s="79"/>
      <c r="DE210" s="6"/>
      <c r="DF210" s="6"/>
      <c r="DG210" s="6"/>
      <c r="DH210" s="6"/>
      <c r="DI210" s="79"/>
    </row>
    <row r="211" spans="1:113" s="7" customFormat="1" ht="12" hidden="1" customHeight="1" outlineLevel="1">
      <c r="A211" s="239" t="str">
        <f t="shared" si="364"/>
        <v xml:space="preserve"> </v>
      </c>
      <c r="B211" s="551" t="s">
        <v>178</v>
      </c>
      <c r="C211" s="36"/>
      <c r="D211" s="43"/>
      <c r="E211" s="36"/>
      <c r="F211" s="43"/>
      <c r="G211" s="36"/>
      <c r="H211" s="43"/>
      <c r="I211" s="36"/>
      <c r="J211" s="43"/>
      <c r="K211" s="36"/>
      <c r="L211" s="43"/>
      <c r="M211" s="36"/>
      <c r="N211" s="43"/>
      <c r="O211" s="36"/>
      <c r="P211" s="43"/>
      <c r="Q211" s="36"/>
      <c r="R211" s="542" t="s">
        <v>126</v>
      </c>
      <c r="S211" s="543" t="s">
        <v>126</v>
      </c>
      <c r="T211" s="543" t="s">
        <v>126</v>
      </c>
      <c r="U211" s="543" t="s">
        <v>126</v>
      </c>
      <c r="V211" s="544" t="s">
        <v>126</v>
      </c>
      <c r="W211" s="542" t="s">
        <v>126</v>
      </c>
      <c r="X211" s="543" t="s">
        <v>126</v>
      </c>
      <c r="Y211" s="543" t="s">
        <v>126</v>
      </c>
      <c r="Z211" s="543" t="s">
        <v>126</v>
      </c>
      <c r="AA211" s="544" t="s">
        <v>126</v>
      </c>
      <c r="AB211" s="544"/>
      <c r="AC211" s="43">
        <v>2162</v>
      </c>
      <c r="AD211" s="43">
        <v>1999</v>
      </c>
      <c r="AE211" s="43">
        <v>2096</v>
      </c>
      <c r="AF211" s="43">
        <v>2314</v>
      </c>
      <c r="AG211" s="36">
        <f>SUM(AC211:AF211)</f>
        <v>8571</v>
      </c>
      <c r="AH211" s="43">
        <v>2344</v>
      </c>
      <c r="AI211" s="43">
        <v>2166</v>
      </c>
      <c r="AJ211" s="43">
        <v>2308</v>
      </c>
      <c r="AK211" s="43">
        <v>2478</v>
      </c>
      <c r="AL211" s="36">
        <f>SUM(AH211:AK211)</f>
        <v>9296</v>
      </c>
      <c r="AM211" s="43">
        <v>2552</v>
      </c>
      <c r="AN211" s="43">
        <v>2497</v>
      </c>
      <c r="AO211" s="43">
        <v>2378</v>
      </c>
      <c r="AP211" s="43">
        <v>2816</v>
      </c>
      <c r="AQ211" s="36">
        <f>SUM(AM211:AP211)</f>
        <v>10243</v>
      </c>
      <c r="AR211" s="43">
        <v>2749</v>
      </c>
      <c r="AS211" s="43">
        <v>2678</v>
      </c>
      <c r="AT211" s="43">
        <v>2597</v>
      </c>
      <c r="AU211" s="43">
        <v>2650</v>
      </c>
      <c r="AV211" s="36">
        <f>SUM(AR211:AU211)</f>
        <v>10674</v>
      </c>
      <c r="AW211" s="43">
        <v>2824</v>
      </c>
      <c r="AX211" s="43">
        <v>2637</v>
      </c>
      <c r="AY211" s="43">
        <v>2650</v>
      </c>
      <c r="AZ211" s="43">
        <v>2645</v>
      </c>
      <c r="BA211" s="36">
        <f>SUM(AW211:AZ211)</f>
        <v>10756</v>
      </c>
      <c r="BB211" s="43">
        <v>2689</v>
      </c>
      <c r="BC211" s="43">
        <v>2436</v>
      </c>
      <c r="BD211" s="43">
        <v>2382</v>
      </c>
      <c r="BE211" s="43">
        <f>BF211-SUM(BB211:BD211)</f>
        <v>2652</v>
      </c>
      <c r="BF211" s="36">
        <v>10159</v>
      </c>
      <c r="BG211" s="43">
        <v>2829</v>
      </c>
      <c r="BH211" s="43">
        <v>2655</v>
      </c>
      <c r="BI211" s="369">
        <v>2547</v>
      </c>
      <c r="BJ211" s="43">
        <f>BK211-SUM(BG211:BI211)</f>
        <v>2844</v>
      </c>
      <c r="BK211" s="36">
        <v>10875</v>
      </c>
      <c r="BL211" s="43">
        <v>2864</v>
      </c>
      <c r="BM211" s="43">
        <v>2734</v>
      </c>
      <c r="BN211" s="43">
        <v>2521</v>
      </c>
      <c r="BO211" s="43">
        <f>BP211-SUM(BL211:BN211)</f>
        <v>1252</v>
      </c>
      <c r="BP211" s="36">
        <v>9371</v>
      </c>
      <c r="BQ211" s="43">
        <v>2719</v>
      </c>
      <c r="BR211" s="257">
        <v>2354</v>
      </c>
      <c r="BS211" s="237">
        <v>1894</v>
      </c>
      <c r="BT211" s="43">
        <f>BU211-SUM(BQ211:BS211)</f>
        <v>3219</v>
      </c>
      <c r="BU211" s="36">
        <v>10186</v>
      </c>
      <c r="BV211" s="43">
        <v>2678</v>
      </c>
      <c r="BW211" s="257">
        <v>2327</v>
      </c>
      <c r="BX211" s="258">
        <v>1769</v>
      </c>
      <c r="BY211" s="43">
        <f>BZ211-SUM(BV211:BX211)</f>
        <v>2847</v>
      </c>
      <c r="BZ211" s="36">
        <v>9621</v>
      </c>
      <c r="CA211" s="43">
        <v>3027</v>
      </c>
      <c r="CB211" s="257">
        <v>3183</v>
      </c>
      <c r="CC211" s="43">
        <v>2323</v>
      </c>
      <c r="CD211" s="43">
        <f>CE211-SUM(CA211:CC211)</f>
        <v>2740</v>
      </c>
      <c r="CE211" s="15">
        <v>11273</v>
      </c>
      <c r="CF211" s="369">
        <v>2772</v>
      </c>
      <c r="CG211" s="369">
        <v>2902</v>
      </c>
      <c r="CH211" s="369">
        <v>2440</v>
      </c>
      <c r="CI211" s="43">
        <f>CJ211-SUM(CF211:CH211)</f>
        <v>2890</v>
      </c>
      <c r="CJ211" s="15">
        <v>11004</v>
      </c>
      <c r="CK211" s="369">
        <v>2475</v>
      </c>
      <c r="CL211" s="369">
        <v>2866</v>
      </c>
      <c r="CM211" s="369">
        <v>2499</v>
      </c>
      <c r="CN211" s="43">
        <f>CO211-SUM(CK211:CM211)</f>
        <v>2644</v>
      </c>
      <c r="CO211" s="15">
        <v>10484</v>
      </c>
      <c r="CP211" s="369">
        <v>2736</v>
      </c>
      <c r="CQ211" s="369">
        <v>3550</v>
      </c>
      <c r="CR211" s="369">
        <v>2768</v>
      </c>
      <c r="CS211" s="43">
        <f>CT211-SUM(CP211:CR211)</f>
        <v>2904</v>
      </c>
      <c r="CT211" s="15">
        <v>11958</v>
      </c>
      <c r="CU211" s="585">
        <v>2981</v>
      </c>
      <c r="CV211" s="376"/>
      <c r="CW211" s="237"/>
      <c r="CX211" s="237"/>
      <c r="CY211" s="36"/>
      <c r="CZ211" s="237"/>
      <c r="DA211" s="237"/>
      <c r="DB211" s="237"/>
      <c r="DC211" s="237"/>
      <c r="DD211" s="36"/>
      <c r="DE211" s="237"/>
      <c r="DF211" s="237"/>
      <c r="DG211" s="237"/>
      <c r="DH211" s="237"/>
      <c r="DI211" s="36"/>
    </row>
    <row r="212" spans="1:113" ht="12" hidden="1" customHeight="1" outlineLevel="1">
      <c r="A212" s="219" t="str">
        <f t="shared" si="364"/>
        <v xml:space="preserve"> </v>
      </c>
      <c r="B212" s="491" t="s">
        <v>171</v>
      </c>
      <c r="C212" s="492"/>
      <c r="D212" s="522"/>
      <c r="E212" s="492"/>
      <c r="F212" s="522"/>
      <c r="G212" s="492"/>
      <c r="H212" s="522"/>
      <c r="I212" s="492"/>
      <c r="J212" s="522"/>
      <c r="K212" s="492"/>
      <c r="L212" s="522"/>
      <c r="M212" s="492"/>
      <c r="N212" s="522"/>
      <c r="O212" s="492"/>
      <c r="P212" s="522"/>
      <c r="Q212" s="492"/>
      <c r="R212" s="378" t="s">
        <v>126</v>
      </c>
      <c r="S212" s="522" t="s">
        <v>126</v>
      </c>
      <c r="T212" s="522" t="s">
        <v>126</v>
      </c>
      <c r="U212" s="522" t="s">
        <v>126</v>
      </c>
      <c r="V212" s="492" t="s">
        <v>126</v>
      </c>
      <c r="W212" s="378" t="s">
        <v>126</v>
      </c>
      <c r="X212" s="522" t="s">
        <v>126</v>
      </c>
      <c r="Y212" s="522" t="s">
        <v>126</v>
      </c>
      <c r="Z212" s="522" t="s">
        <v>126</v>
      </c>
      <c r="AA212" s="492" t="s">
        <v>126</v>
      </c>
      <c r="AB212" s="492"/>
      <c r="AC212" s="378" t="s">
        <v>126</v>
      </c>
      <c r="AD212" s="522" t="s">
        <v>126</v>
      </c>
      <c r="AE212" s="522" t="s">
        <v>126</v>
      </c>
      <c r="AF212" s="522" t="s">
        <v>126</v>
      </c>
      <c r="AG212" s="492" t="s">
        <v>126</v>
      </c>
      <c r="AH212" s="52">
        <f t="shared" ref="AH212:BD212" si="691">+AH211/AC211-1</f>
        <v>8.418131359851988E-2</v>
      </c>
      <c r="AI212" s="52">
        <f t="shared" si="691"/>
        <v>8.3541770885442679E-2</v>
      </c>
      <c r="AJ212" s="52">
        <f t="shared" si="691"/>
        <v>0.10114503816793885</v>
      </c>
      <c r="AK212" s="52">
        <f t="shared" si="691"/>
        <v>7.0872947277441645E-2</v>
      </c>
      <c r="AL212" s="112">
        <f t="shared" si="691"/>
        <v>8.4587562711468944E-2</v>
      </c>
      <c r="AM212" s="52">
        <f t="shared" si="691"/>
        <v>8.8737201365187701E-2</v>
      </c>
      <c r="AN212" s="52">
        <f t="shared" si="691"/>
        <v>0.15281625115420128</v>
      </c>
      <c r="AO212" s="52">
        <f t="shared" si="691"/>
        <v>3.0329289428076223E-2</v>
      </c>
      <c r="AP212" s="52">
        <f t="shared" si="691"/>
        <v>0.1364003228410009</v>
      </c>
      <c r="AQ212" s="112">
        <f t="shared" si="691"/>
        <v>0.10187177280550785</v>
      </c>
      <c r="AR212" s="52">
        <f t="shared" si="691"/>
        <v>7.7194357366771049E-2</v>
      </c>
      <c r="AS212" s="52">
        <f t="shared" si="691"/>
        <v>7.2486984381257447E-2</v>
      </c>
      <c r="AT212" s="52">
        <f t="shared" si="691"/>
        <v>9.2094196804036965E-2</v>
      </c>
      <c r="AU212" s="52">
        <f t="shared" si="691"/>
        <v>-5.8948863636363646E-2</v>
      </c>
      <c r="AV212" s="112">
        <f t="shared" si="691"/>
        <v>4.2077516352631017E-2</v>
      </c>
      <c r="AW212" s="52">
        <f t="shared" si="691"/>
        <v>2.7282648235722018E-2</v>
      </c>
      <c r="AX212" s="52">
        <f t="shared" si="691"/>
        <v>-1.5309932785660951E-2</v>
      </c>
      <c r="AY212" s="52">
        <f t="shared" si="691"/>
        <v>2.0408163265306145E-2</v>
      </c>
      <c r="AZ212" s="52">
        <f t="shared" si="691"/>
        <v>-1.8867924528301883E-3</v>
      </c>
      <c r="BA212" s="112">
        <f t="shared" si="691"/>
        <v>7.6822184747986633E-3</v>
      </c>
      <c r="BB212" s="52">
        <f t="shared" si="691"/>
        <v>-4.7804532577903736E-2</v>
      </c>
      <c r="BC212" s="52">
        <f t="shared" si="691"/>
        <v>-7.6222980659840678E-2</v>
      </c>
      <c r="BD212" s="52">
        <f t="shared" si="691"/>
        <v>-0.10113207547169811</v>
      </c>
      <c r="BE212" s="52">
        <f t="shared" ref="BE212:BI212" si="692">+BE211/AZ211-1</f>
        <v>2.6465028355386888E-3</v>
      </c>
      <c r="BF212" s="112">
        <f t="shared" si="692"/>
        <v>-5.5503904797322479E-2</v>
      </c>
      <c r="BG212" s="52">
        <f t="shared" si="692"/>
        <v>5.2063964298995957E-2</v>
      </c>
      <c r="BH212" s="52">
        <f t="shared" si="692"/>
        <v>8.9901477832512233E-2</v>
      </c>
      <c r="BI212" s="114">
        <f t="shared" si="692"/>
        <v>6.9269521410579404E-2</v>
      </c>
      <c r="BJ212" s="52">
        <f t="shared" ref="BJ212" si="693">+BJ211/BE211-1</f>
        <v>7.2398190045248834E-2</v>
      </c>
      <c r="BK212" s="112">
        <f t="shared" ref="BK212:BN212" si="694">+BK211/BF211-1</f>
        <v>7.0479377891524697E-2</v>
      </c>
      <c r="BL212" s="52">
        <f t="shared" si="694"/>
        <v>1.237186284906322E-2</v>
      </c>
      <c r="BM212" s="52">
        <f t="shared" si="694"/>
        <v>2.975517890772128E-2</v>
      </c>
      <c r="BN212" s="52">
        <f t="shared" si="694"/>
        <v>-1.0208087946603883E-2</v>
      </c>
      <c r="BO212" s="52">
        <f t="shared" ref="BO212" si="695">+BO211/BJ211-1</f>
        <v>-0.55977496483825595</v>
      </c>
      <c r="BP212" s="112">
        <f t="shared" ref="BP212:BV212" si="696">+BP211/BK211-1</f>
        <v>-0.1382988505747127</v>
      </c>
      <c r="BQ212" s="52">
        <f t="shared" si="696"/>
        <v>-5.0628491620111737E-2</v>
      </c>
      <c r="BR212" s="52">
        <f t="shared" si="696"/>
        <v>-0.13899049012435993</v>
      </c>
      <c r="BS212" s="52">
        <f t="shared" si="696"/>
        <v>-0.24871082903609676</v>
      </c>
      <c r="BT212" s="52">
        <f t="shared" si="696"/>
        <v>1.5710862619808306</v>
      </c>
      <c r="BU212" s="112">
        <f t="shared" si="696"/>
        <v>8.6970440721374498E-2</v>
      </c>
      <c r="BV212" s="52">
        <f t="shared" si="696"/>
        <v>-1.5079073188672298E-2</v>
      </c>
      <c r="BW212" s="52">
        <f t="shared" ref="BW212" si="697">+BW211/BR211-1</f>
        <v>-1.1469838572642277E-2</v>
      </c>
      <c r="BX212" s="52">
        <f t="shared" ref="BX212:BY212" si="698">+BX211/BS211-1</f>
        <v>-6.5997888067581889E-2</v>
      </c>
      <c r="BY212" s="52">
        <f t="shared" si="698"/>
        <v>-0.11556383970177075</v>
      </c>
      <c r="BZ212" s="112">
        <f t="shared" ref="BZ212:CU212" si="699">+BZ211/BU211-1</f>
        <v>-5.5468289809542548E-2</v>
      </c>
      <c r="CA212" s="52">
        <f t="shared" si="699"/>
        <v>0.13032113517550403</v>
      </c>
      <c r="CB212" s="52">
        <f t="shared" si="699"/>
        <v>0.36785560807907181</v>
      </c>
      <c r="CC212" s="52">
        <f t="shared" si="699"/>
        <v>0.31317128321085352</v>
      </c>
      <c r="CD212" s="52">
        <f t="shared" si="699"/>
        <v>-3.7583421145064966E-2</v>
      </c>
      <c r="CE212" s="112">
        <f t="shared" si="699"/>
        <v>0.17170772268994905</v>
      </c>
      <c r="CF212" s="52">
        <f t="shared" si="699"/>
        <v>-8.4241823587710596E-2</v>
      </c>
      <c r="CG212" s="52">
        <f t="shared" si="699"/>
        <v>-8.8281495444549218E-2</v>
      </c>
      <c r="CH212" s="52">
        <f t="shared" si="699"/>
        <v>5.0365906155833029E-2</v>
      </c>
      <c r="CI212" s="52">
        <f t="shared" si="699"/>
        <v>5.4744525547445244E-2</v>
      </c>
      <c r="CJ212" s="112">
        <f t="shared" si="699"/>
        <v>-2.3862325911469862E-2</v>
      </c>
      <c r="CK212" s="52">
        <f t="shared" si="699"/>
        <v>-0.1071428571428571</v>
      </c>
      <c r="CL212" s="52">
        <f t="shared" si="699"/>
        <v>-1.2405237767057153E-2</v>
      </c>
      <c r="CM212" s="52">
        <f t="shared" si="699"/>
        <v>2.418032786885238E-2</v>
      </c>
      <c r="CN212" s="52">
        <f t="shared" si="699"/>
        <v>-8.5121107266435958E-2</v>
      </c>
      <c r="CO212" s="112">
        <f t="shared" ref="CO212" si="700">+CO211/CJ211-1</f>
        <v>-4.7255543438749492E-2</v>
      </c>
      <c r="CP212" s="52">
        <f t="shared" si="699"/>
        <v>0.10545454545454547</v>
      </c>
      <c r="CQ212" s="52">
        <f t="shared" si="699"/>
        <v>0.23866015352407532</v>
      </c>
      <c r="CR212" s="52">
        <f t="shared" si="699"/>
        <v>0.10764305722288925</v>
      </c>
      <c r="CS212" s="114">
        <f t="shared" si="699"/>
        <v>9.833585476550688E-2</v>
      </c>
      <c r="CT212" s="112">
        <f t="shared" si="699"/>
        <v>0.14059519267455167</v>
      </c>
      <c r="CU212" s="114">
        <f t="shared" si="699"/>
        <v>8.9546783625731097E-2</v>
      </c>
      <c r="CW212" s="376"/>
      <c r="CX212" s="376"/>
      <c r="CY212" s="375"/>
      <c r="CZ212" s="376"/>
      <c r="DA212" s="376"/>
      <c r="DB212" s="376"/>
      <c r="DC212" s="376"/>
      <c r="DD212" s="375"/>
      <c r="DE212" s="376"/>
      <c r="DF212" s="376"/>
      <c r="DG212" s="376"/>
      <c r="DH212" s="376"/>
      <c r="DI212" s="375"/>
    </row>
    <row r="213" spans="1:113" s="3" customFormat="1" ht="12" hidden="1" customHeight="1" outlineLevel="1">
      <c r="A213" s="490" t="str">
        <f t="shared" si="364"/>
        <v xml:space="preserve"> </v>
      </c>
      <c r="B213" s="491" t="s">
        <v>173</v>
      </c>
      <c r="C213" s="492"/>
      <c r="D213" s="522"/>
      <c r="E213" s="492"/>
      <c r="F213" s="522"/>
      <c r="G213" s="492"/>
      <c r="H213" s="522"/>
      <c r="I213" s="492"/>
      <c r="J213" s="522"/>
      <c r="K213" s="492"/>
      <c r="L213" s="522"/>
      <c r="M213" s="492"/>
      <c r="N213" s="522"/>
      <c r="O213" s="492"/>
      <c r="P213" s="522"/>
      <c r="Q213" s="492"/>
      <c r="R213" s="378" t="s">
        <v>126</v>
      </c>
      <c r="S213" s="522" t="s">
        <v>126</v>
      </c>
      <c r="T213" s="522" t="s">
        <v>126</v>
      </c>
      <c r="U213" s="522" t="s">
        <v>126</v>
      </c>
      <c r="V213" s="492" t="s">
        <v>126</v>
      </c>
      <c r="W213" s="378" t="s">
        <v>126</v>
      </c>
      <c r="X213" s="522" t="s">
        <v>126</v>
      </c>
      <c r="Y213" s="522" t="s">
        <v>126</v>
      </c>
      <c r="Z213" s="522" t="s">
        <v>126</v>
      </c>
      <c r="AA213" s="492" t="s">
        <v>126</v>
      </c>
      <c r="AB213" s="492"/>
      <c r="AC213" s="378" t="s">
        <v>126</v>
      </c>
      <c r="AD213" s="522" t="s">
        <v>126</v>
      </c>
      <c r="AE213" s="522" t="s">
        <v>126</v>
      </c>
      <c r="AF213" s="522" t="s">
        <v>126</v>
      </c>
      <c r="AG213" s="492" t="s">
        <v>126</v>
      </c>
      <c r="AH213" s="52">
        <v>0.08</v>
      </c>
      <c r="AI213" s="52">
        <v>0.09</v>
      </c>
      <c r="AJ213" s="52">
        <v>0.1</v>
      </c>
      <c r="AK213" s="52">
        <f>+AK212-AK183+AK184</f>
        <v>6.9569035542235952E-2</v>
      </c>
      <c r="AL213" s="112">
        <v>0.09</v>
      </c>
      <c r="AM213" s="52">
        <v>0.09</v>
      </c>
      <c r="AN213" s="52">
        <v>0.15</v>
      </c>
      <c r="AO213" s="52">
        <v>0.03</v>
      </c>
      <c r="AP213" s="52">
        <f>+AP212-AP183+AP184</f>
        <v>0.14343128823262197</v>
      </c>
      <c r="AQ213" s="112">
        <v>0.1</v>
      </c>
      <c r="AR213" s="52">
        <v>0.08</v>
      </c>
      <c r="AS213" s="52">
        <v>0.08</v>
      </c>
      <c r="AT213" s="52">
        <v>0.1</v>
      </c>
      <c r="AU213" s="52">
        <f>+AU212-AU183+AU184</f>
        <v>-5.9752722157263904E-2</v>
      </c>
      <c r="AV213" s="112">
        <v>0.05</v>
      </c>
      <c r="AW213" s="52">
        <v>0.03</v>
      </c>
      <c r="AX213" s="52">
        <v>-0.01</v>
      </c>
      <c r="AY213" s="52">
        <v>0.02</v>
      </c>
      <c r="AZ213" s="52">
        <f>+AZ212-AZ183+AZ184</f>
        <v>3.2939304387361503E-3</v>
      </c>
      <c r="BA213" s="112">
        <v>0.01</v>
      </c>
      <c r="BB213" s="52">
        <v>-0.05</v>
      </c>
      <c r="BC213" s="52">
        <v>-0.08</v>
      </c>
      <c r="BD213" s="522">
        <v>-0.1</v>
      </c>
      <c r="BE213" s="52">
        <f>((BF213*SUM(AW211:AZ211))-BB213*AW211-BC213*AX211-BD213*AY211)/AZ211</f>
        <v>-1.0661625708884662E-2</v>
      </c>
      <c r="BF213" s="112">
        <v>-0.06</v>
      </c>
      <c r="BG213" s="522">
        <v>0.05</v>
      </c>
      <c r="BH213" s="522">
        <v>0.09</v>
      </c>
      <c r="BI213" s="554">
        <v>7.0000000000000007E-2</v>
      </c>
      <c r="BJ213" s="52">
        <f>((BK213*SUM(BB211:BE211))-BG213*BB211-BH213*BC211-BI213*BD211)/BE211</f>
        <v>7.1907993966817518E-2</v>
      </c>
      <c r="BK213" s="112">
        <v>7.0000000000000007E-2</v>
      </c>
      <c r="BL213" s="554">
        <v>0.01</v>
      </c>
      <c r="BM213" s="522">
        <v>0.03</v>
      </c>
      <c r="BN213" s="554">
        <v>-0.01</v>
      </c>
      <c r="BO213" s="52">
        <f>((BP213*SUM(BG211:BJ211))-BL213*BG211-BM213*BH211-BN213*BI211)/BJ211</f>
        <v>-0.56433544303797478</v>
      </c>
      <c r="BP213" s="112">
        <v>-0.14000000000000001</v>
      </c>
      <c r="BQ213" s="554">
        <v>-0.05</v>
      </c>
      <c r="BR213" s="554">
        <v>-0.14000000000000001</v>
      </c>
      <c r="BS213" s="554">
        <v>-0.25</v>
      </c>
      <c r="BT213" s="52">
        <f>((BU213*SUM(BL211:BO211))-BQ213*BL211-BR213*BM211-BS213*BN211)/BO211</f>
        <v>1.5971246006389777</v>
      </c>
      <c r="BU213" s="112">
        <v>0.09</v>
      </c>
      <c r="BV213" s="554">
        <v>-0.02</v>
      </c>
      <c r="BW213" s="554">
        <v>-0.01</v>
      </c>
      <c r="BX213" s="554">
        <v>-7.0000000000000007E-2</v>
      </c>
      <c r="BY213" s="52">
        <f>((BZ213*SUM(BQ211:BT211))-BV213*BQ211-BW213*BR211-BX213*BS211)/BT211</f>
        <v>-0.12446722584653618</v>
      </c>
      <c r="BZ213" s="112">
        <v>-0.06</v>
      </c>
      <c r="CA213" s="554">
        <v>0.13</v>
      </c>
      <c r="CB213" s="554">
        <v>0.37</v>
      </c>
      <c r="CC213" s="554">
        <v>0.32</v>
      </c>
      <c r="CD213" s="52">
        <f>((CE213*SUM(BV211:BY211))-CA213*BV211-CB213*BW211-CC213*BX211)/BY211</f>
        <v>-1.5254654021777371E-2</v>
      </c>
      <c r="CE213" s="583">
        <v>0.18</v>
      </c>
      <c r="CF213" s="554">
        <v>-0.08</v>
      </c>
      <c r="CG213" s="554">
        <v>-0.09</v>
      </c>
      <c r="CH213" s="554">
        <v>0.05</v>
      </c>
      <c r="CI213" s="52">
        <f>((CJ213*SUM(CA211:CD211))-CF213*CA211-CG213*CB211-CH213*CC211)/CD211</f>
        <v>6.8255474452554726E-2</v>
      </c>
      <c r="CJ213" s="583">
        <v>-0.02</v>
      </c>
      <c r="CK213" s="554">
        <v>-0.11</v>
      </c>
      <c r="CL213" s="554">
        <v>-0.01</v>
      </c>
      <c r="CM213" s="554">
        <v>0.03</v>
      </c>
      <c r="CN213" s="554">
        <v>-0.08</v>
      </c>
      <c r="CO213" s="583">
        <v>-0.05</v>
      </c>
      <c r="CP213" s="554">
        <v>0.11</v>
      </c>
      <c r="CQ213" s="554">
        <v>0.24</v>
      </c>
      <c r="CR213" s="554">
        <v>0.11</v>
      </c>
      <c r="CS213" s="554"/>
      <c r="CT213" s="583">
        <v>0.14000000000000001</v>
      </c>
      <c r="CU213" s="554">
        <v>0.09</v>
      </c>
      <c r="CV213" s="586"/>
      <c r="CW213" s="586"/>
      <c r="CX213" s="586"/>
      <c r="CY213" s="587"/>
      <c r="CZ213" s="586"/>
      <c r="DA213" s="586"/>
      <c r="DB213" s="586"/>
      <c r="DC213" s="586"/>
      <c r="DD213" s="587"/>
      <c r="DE213" s="586"/>
      <c r="DF213" s="586"/>
      <c r="DG213" s="586"/>
      <c r="DH213" s="586"/>
      <c r="DI213" s="587"/>
    </row>
    <row r="214" spans="1:113" ht="12" hidden="1" customHeight="1" outlineLevel="1">
      <c r="A214" s="219" t="str">
        <f t="shared" si="364"/>
        <v xml:space="preserve"> </v>
      </c>
      <c r="B214" s="491" t="s">
        <v>141</v>
      </c>
      <c r="C214" s="492"/>
      <c r="D214" s="522"/>
      <c r="E214" s="492"/>
      <c r="F214" s="522"/>
      <c r="G214" s="492"/>
      <c r="H214" s="522"/>
      <c r="I214" s="492"/>
      <c r="J214" s="522"/>
      <c r="K214" s="492"/>
      <c r="L214" s="522"/>
      <c r="M214" s="492"/>
      <c r="N214" s="522"/>
      <c r="O214" s="492"/>
      <c r="P214" s="522"/>
      <c r="Q214" s="492"/>
      <c r="R214" s="378" t="s">
        <v>126</v>
      </c>
      <c r="S214" s="522" t="s">
        <v>126</v>
      </c>
      <c r="T214" s="522" t="s">
        <v>126</v>
      </c>
      <c r="U214" s="522" t="s">
        <v>126</v>
      </c>
      <c r="V214" s="492" t="s">
        <v>126</v>
      </c>
      <c r="W214" s="378" t="s">
        <v>126</v>
      </c>
      <c r="X214" s="522" t="s">
        <v>126</v>
      </c>
      <c r="Y214" s="522" t="s">
        <v>126</v>
      </c>
      <c r="Z214" s="522" t="s">
        <v>126</v>
      </c>
      <c r="AA214" s="492" t="s">
        <v>126</v>
      </c>
      <c r="AB214" s="492"/>
      <c r="AC214" s="378" t="s">
        <v>126</v>
      </c>
      <c r="AD214" s="522" t="s">
        <v>126</v>
      </c>
      <c r="AE214" s="522" t="s">
        <v>126</v>
      </c>
      <c r="AF214" s="522" t="s">
        <v>126</v>
      </c>
      <c r="AG214" s="492" t="s">
        <v>126</v>
      </c>
      <c r="AH214" s="52">
        <f t="shared" ref="AH214:BI214" si="701">(1+AH212)/(1+AH213)-1</f>
        <v>3.8715866652960784E-3</v>
      </c>
      <c r="AI214" s="52">
        <f t="shared" si="701"/>
        <v>-5.9249808390434699E-3</v>
      </c>
      <c r="AJ214" s="52">
        <f t="shared" si="701"/>
        <v>1.0409437890352979E-3</v>
      </c>
      <c r="AK214" s="52">
        <f t="shared" si="701"/>
        <v>1.2191001159120862E-3</v>
      </c>
      <c r="AL214" s="112">
        <f t="shared" si="701"/>
        <v>-4.9655387968176035E-3</v>
      </c>
      <c r="AM214" s="52">
        <f t="shared" si="701"/>
        <v>-1.1585308576260722E-3</v>
      </c>
      <c r="AN214" s="52">
        <f t="shared" si="701"/>
        <v>2.4489140471315451E-3</v>
      </c>
      <c r="AO214" s="52">
        <f t="shared" si="701"/>
        <v>3.1969847386048578E-4</v>
      </c>
      <c r="AP214" s="52">
        <f t="shared" si="701"/>
        <v>-6.1490055974317004E-3</v>
      </c>
      <c r="AQ214" s="112">
        <f t="shared" si="701"/>
        <v>1.701611641370615E-3</v>
      </c>
      <c r="AR214" s="52">
        <f t="shared" si="701"/>
        <v>-2.597817252989798E-3</v>
      </c>
      <c r="AS214" s="52">
        <f t="shared" si="701"/>
        <v>-6.9564959432801832E-3</v>
      </c>
      <c r="AT214" s="52">
        <f t="shared" si="701"/>
        <v>-7.1870938145118801E-3</v>
      </c>
      <c r="AU214" s="52">
        <f t="shared" si="701"/>
        <v>8.5494373644401378E-4</v>
      </c>
      <c r="AV214" s="112">
        <f t="shared" si="701"/>
        <v>-7.5452225213038515E-3</v>
      </c>
      <c r="AW214" s="52">
        <f t="shared" si="701"/>
        <v>-2.6382055963863893E-3</v>
      </c>
      <c r="AX214" s="52">
        <f t="shared" si="701"/>
        <v>-5.3635684703645659E-3</v>
      </c>
      <c r="AY214" s="52">
        <f t="shared" si="701"/>
        <v>4.0016006402554538E-4</v>
      </c>
      <c r="AZ214" s="52">
        <f t="shared" si="701"/>
        <v>-5.1637139769207252E-3</v>
      </c>
      <c r="BA214" s="112">
        <f t="shared" si="701"/>
        <v>-2.2948331932686195E-3</v>
      </c>
      <c r="BB214" s="52">
        <f t="shared" si="701"/>
        <v>2.311018339048676E-3</v>
      </c>
      <c r="BC214" s="52">
        <f t="shared" si="701"/>
        <v>4.105455804521041E-3</v>
      </c>
      <c r="BD214" s="52">
        <f t="shared" si="701"/>
        <v>-1.2578616352201255E-3</v>
      </c>
      <c r="BE214" s="52">
        <f t="shared" si="701"/>
        <v>1.3451543870375948E-2</v>
      </c>
      <c r="BF214" s="112">
        <f t="shared" si="701"/>
        <v>4.7830800028485498E-3</v>
      </c>
      <c r="BG214" s="52">
        <f t="shared" si="701"/>
        <v>1.9656802847580757E-3</v>
      </c>
      <c r="BH214" s="52">
        <f t="shared" si="701"/>
        <v>-9.0387309621853262E-5</v>
      </c>
      <c r="BI214" s="52">
        <f t="shared" si="701"/>
        <v>-6.826902704866189E-4</v>
      </c>
      <c r="BJ214" s="52">
        <f t="shared" ref="BJ214:BL214" si="702">(1+BJ212)/(1+BJ213)-1</f>
        <v>4.5731171069762766E-4</v>
      </c>
      <c r="BK214" s="112">
        <f t="shared" si="702"/>
        <v>4.4801672105099222E-4</v>
      </c>
      <c r="BL214" s="52">
        <f t="shared" si="702"/>
        <v>2.3483790584784003E-3</v>
      </c>
      <c r="BM214" s="52">
        <f t="shared" ref="BM214:BS214" si="703">(1+BM212)/(1+BM213)-1</f>
        <v>-2.3769038085319494E-4</v>
      </c>
      <c r="BN214" s="52">
        <f t="shared" si="703"/>
        <v>-2.1018984505438709E-4</v>
      </c>
      <c r="BO214" s="52">
        <f t="shared" si="703"/>
        <v>1.0467865991945713E-2</v>
      </c>
      <c r="BP214" s="112">
        <f t="shared" si="703"/>
        <v>1.9780807270781686E-3</v>
      </c>
      <c r="BQ214" s="52">
        <f t="shared" si="703"/>
        <v>-6.6157012643330848E-4</v>
      </c>
      <c r="BR214" s="52">
        <f t="shared" si="703"/>
        <v>1.1738486926047287E-3</v>
      </c>
      <c r="BS214" s="52">
        <f t="shared" si="703"/>
        <v>1.7188946185375809E-3</v>
      </c>
      <c r="BT214" s="52">
        <f t="shared" ref="BT214" si="704">(1+BT212)/(1+BT213)-1</f>
        <v>-1.0025833435847065E-2</v>
      </c>
      <c r="BU214" s="112">
        <f t="shared" ref="BU214:CP214" si="705">(1+BU212)/(1+BU213)-1</f>
        <v>-2.779412182225327E-3</v>
      </c>
      <c r="BV214" s="52">
        <f t="shared" si="705"/>
        <v>5.0213538891099585E-3</v>
      </c>
      <c r="BW214" s="52">
        <f t="shared" si="705"/>
        <v>-1.4846854269113807E-3</v>
      </c>
      <c r="BX214" s="52">
        <f t="shared" si="705"/>
        <v>4.303346163890609E-3</v>
      </c>
      <c r="BY214" s="52">
        <f t="shared" si="705"/>
        <v>1.0169106637240244E-2</v>
      </c>
      <c r="BZ214" s="112">
        <f t="shared" si="705"/>
        <v>4.8209682877207172E-3</v>
      </c>
      <c r="CA214" s="52">
        <f t="shared" si="705"/>
        <v>2.8419042080018997E-4</v>
      </c>
      <c r="CB214" s="52">
        <f t="shared" si="705"/>
        <v>-1.5652495773199604E-3</v>
      </c>
      <c r="CC214" s="52">
        <f t="shared" si="705"/>
        <v>-5.1732702948079634E-3</v>
      </c>
      <c r="CD214" s="52">
        <f t="shared" ref="CD214" si="706">(1+CD212)/(1+CD213)-1</f>
        <v>-2.2674661235496107E-2</v>
      </c>
      <c r="CE214" s="112">
        <f t="shared" si="705"/>
        <v>-7.0273536525854441E-3</v>
      </c>
      <c r="CF214" s="52">
        <f t="shared" si="705"/>
        <v>-4.6106778127289472E-3</v>
      </c>
      <c r="CG214" s="52">
        <f t="shared" si="705"/>
        <v>1.8884665444514059E-3</v>
      </c>
      <c r="CH214" s="52">
        <f t="shared" si="705"/>
        <v>3.484820531742816E-4</v>
      </c>
      <c r="CI214" s="52">
        <f t="shared" si="705"/>
        <v>-1.2647675793127533E-2</v>
      </c>
      <c r="CJ214" s="112">
        <f t="shared" si="705"/>
        <v>-3.9411488892548974E-3</v>
      </c>
      <c r="CK214" s="52">
        <f t="shared" si="705"/>
        <v>3.2102728731941976E-3</v>
      </c>
      <c r="CL214" s="52">
        <f t="shared" si="705"/>
        <v>-2.4295330980375063E-3</v>
      </c>
      <c r="CM214" s="52">
        <f t="shared" si="705"/>
        <v>-5.6501671176191204E-3</v>
      </c>
      <c r="CN214" s="52">
        <f t="shared" si="705"/>
        <v>-5.5664209417782828E-3</v>
      </c>
      <c r="CO214" s="112">
        <f t="shared" si="705"/>
        <v>2.8889016434217041E-3</v>
      </c>
      <c r="CP214" s="52">
        <f t="shared" si="705"/>
        <v>-4.0950040950041844E-3</v>
      </c>
      <c r="CQ214" s="52">
        <f t="shared" ref="CQ214:CR214" si="707">(1+CQ212)/(1+CQ213)-1</f>
        <v>-1.0805213515521217E-3</v>
      </c>
      <c r="CR214" s="52">
        <f t="shared" si="707"/>
        <v>-2.1233718712709848E-3</v>
      </c>
      <c r="CS214" s="554"/>
      <c r="CT214" s="112">
        <f t="shared" ref="CT214:CU214" si="708">(1+CT212)/(1+CT213)-1</f>
        <v>5.220988373260127E-4</v>
      </c>
      <c r="CU214" s="114">
        <f t="shared" si="708"/>
        <v>-4.1579483877884904E-4</v>
      </c>
      <c r="CV214" s="376"/>
      <c r="CW214" s="376"/>
      <c r="CX214" s="376"/>
      <c r="CY214" s="375"/>
      <c r="CZ214" s="376"/>
      <c r="DA214" s="376"/>
      <c r="DB214" s="376"/>
      <c r="DC214" s="376"/>
      <c r="DD214" s="375"/>
      <c r="DE214" s="376"/>
      <c r="DF214" s="376"/>
      <c r="DG214" s="376"/>
      <c r="DH214" s="376"/>
      <c r="DI214" s="375"/>
    </row>
    <row r="215" spans="1:113" ht="12" hidden="1" customHeight="1" outlineLevel="1">
      <c r="A215" s="219"/>
      <c r="B215" s="17"/>
      <c r="C215" s="79"/>
      <c r="D215" s="6"/>
      <c r="E215" s="79"/>
      <c r="F215" s="6"/>
      <c r="G215" s="79"/>
      <c r="H215" s="6"/>
      <c r="I215" s="79"/>
      <c r="J215" s="6"/>
      <c r="K215" s="79"/>
      <c r="L215" s="6"/>
      <c r="M215" s="79"/>
      <c r="N215" s="6"/>
      <c r="O215" s="79"/>
      <c r="P215" s="6"/>
      <c r="Q215" s="79"/>
      <c r="R215" s="6"/>
      <c r="S215" s="6"/>
      <c r="T215" s="6"/>
      <c r="U215" s="6"/>
      <c r="V215" s="79"/>
      <c r="W215" s="6"/>
      <c r="X215" s="6"/>
      <c r="Y215" s="6"/>
      <c r="Z215" s="6"/>
      <c r="AA215" s="79"/>
      <c r="AB215" s="79"/>
      <c r="AC215" s="6"/>
      <c r="AD215" s="6"/>
      <c r="AE215" s="6"/>
      <c r="AF215" s="6"/>
      <c r="AG215" s="79"/>
      <c r="AH215" s="6"/>
      <c r="AI215" s="6"/>
      <c r="AJ215" s="6"/>
      <c r="AK215" s="6"/>
      <c r="AL215" s="79"/>
      <c r="AM215" s="6"/>
      <c r="AN215" s="6"/>
      <c r="AO215" s="6"/>
      <c r="AP215" s="6"/>
      <c r="AQ215" s="79"/>
      <c r="AR215" s="6"/>
      <c r="AS215" s="6"/>
      <c r="AT215" s="6"/>
      <c r="AU215" s="6"/>
      <c r="AV215" s="79"/>
      <c r="AW215" s="6"/>
      <c r="AX215" s="6"/>
      <c r="AY215" s="6"/>
      <c r="AZ215" s="6"/>
      <c r="BA215" s="79"/>
      <c r="BB215" s="6"/>
      <c r="BC215" s="6"/>
      <c r="BD215" s="6"/>
      <c r="BE215" s="6"/>
      <c r="BF215" s="79"/>
      <c r="BG215" s="6"/>
      <c r="BH215" s="6"/>
      <c r="BI215" s="6"/>
      <c r="BJ215" s="6"/>
      <c r="BK215" s="79"/>
      <c r="BL215" s="6"/>
      <c r="BM215" s="6"/>
      <c r="BN215" s="6"/>
      <c r="BO215" s="6"/>
      <c r="BP215" s="79"/>
      <c r="BQ215" s="6"/>
      <c r="BR215" s="6"/>
      <c r="BS215" s="6"/>
      <c r="BT215" s="6"/>
      <c r="BU215" s="79"/>
      <c r="BV215" s="6"/>
      <c r="BW215" s="6"/>
      <c r="BX215" s="6"/>
      <c r="BY215" s="6"/>
      <c r="BZ215" s="79"/>
      <c r="CA215" s="6"/>
      <c r="CB215" s="6"/>
      <c r="CC215" s="6"/>
      <c r="CD215" s="6"/>
      <c r="CE215" s="79"/>
      <c r="CF215" s="6"/>
      <c r="CG215" s="6"/>
      <c r="CH215" s="6"/>
      <c r="CI215" s="6"/>
      <c r="CJ215" s="79"/>
      <c r="CK215" s="6"/>
      <c r="CL215" s="6"/>
      <c r="CM215" s="6"/>
      <c r="CN215" s="6"/>
      <c r="CO215" s="79"/>
      <c r="CP215" s="6"/>
      <c r="CQ215" s="6"/>
      <c r="CR215" s="6"/>
      <c r="CS215" s="6"/>
      <c r="CT215" s="79"/>
      <c r="CU215" s="6"/>
      <c r="CV215" s="6"/>
      <c r="CW215" s="6"/>
      <c r="CX215" s="6"/>
      <c r="CY215" s="79"/>
      <c r="CZ215" s="6"/>
      <c r="DA215" s="6"/>
      <c r="DB215" s="6"/>
      <c r="DC215" s="6"/>
      <c r="DD215" s="79"/>
      <c r="DE215" s="6"/>
      <c r="DF215" s="6"/>
      <c r="DG215" s="6"/>
      <c r="DH215" s="6"/>
      <c r="DI215" s="79"/>
    </row>
    <row r="216" spans="1:113" s="531" customFormat="1" ht="12" hidden="1" customHeight="1" outlineLevel="1">
      <c r="A216" s="219" t="str">
        <f t="shared" si="364"/>
        <v xml:space="preserve"> </v>
      </c>
      <c r="B216" s="556" t="s">
        <v>306</v>
      </c>
      <c r="C216" s="42"/>
      <c r="D216" s="49"/>
      <c r="E216" s="42"/>
      <c r="F216" s="49"/>
      <c r="G216" s="42"/>
      <c r="H216" s="49"/>
      <c r="I216" s="42"/>
      <c r="J216" s="49"/>
      <c r="K216" s="42"/>
      <c r="L216" s="49"/>
      <c r="M216" s="42"/>
      <c r="N216" s="49"/>
      <c r="O216" s="42"/>
      <c r="P216" s="49"/>
      <c r="Q216" s="42"/>
      <c r="R216" s="217" t="s">
        <v>126</v>
      </c>
      <c r="S216" s="52" t="s">
        <v>126</v>
      </c>
      <c r="T216" s="52" t="s">
        <v>126</v>
      </c>
      <c r="U216" s="52" t="s">
        <v>126</v>
      </c>
      <c r="V216" s="112" t="s">
        <v>126</v>
      </c>
      <c r="W216" s="217" t="s">
        <v>126</v>
      </c>
      <c r="X216" s="52" t="s">
        <v>126</v>
      </c>
      <c r="Y216" s="52" t="s">
        <v>126</v>
      </c>
      <c r="Z216" s="52" t="s">
        <v>126</v>
      </c>
      <c r="AA216" s="112" t="s">
        <v>126</v>
      </c>
      <c r="AB216" s="112"/>
      <c r="AC216" s="217" t="s">
        <v>126</v>
      </c>
      <c r="AD216" s="52" t="s">
        <v>126</v>
      </c>
      <c r="AE216" s="52" t="s">
        <v>126</v>
      </c>
      <c r="AF216" s="52" t="s">
        <v>126</v>
      </c>
      <c r="AG216" s="112" t="s">
        <v>126</v>
      </c>
      <c r="AH216" s="49">
        <v>0.05</v>
      </c>
      <c r="AI216" s="49">
        <v>7.0000000000000007E-2</v>
      </c>
      <c r="AJ216" s="49">
        <v>0.08</v>
      </c>
      <c r="AK216" s="49">
        <v>0.08</v>
      </c>
      <c r="AL216" s="42"/>
      <c r="AM216" s="49">
        <v>0.11</v>
      </c>
      <c r="AN216" s="49">
        <v>0.08</v>
      </c>
      <c r="AO216" s="49">
        <v>7.0000000000000007E-2</v>
      </c>
      <c r="AP216" s="49">
        <v>0.06</v>
      </c>
      <c r="AQ216" s="42"/>
      <c r="AR216" s="49">
        <v>0.01</v>
      </c>
      <c r="AS216" s="49">
        <v>7.0000000000000007E-2</v>
      </c>
      <c r="AT216" s="49">
        <v>0.09</v>
      </c>
      <c r="AU216" s="49">
        <f>((AV216*AQ206-SUMPRODUCT(AR216:AT216,AM206:AO206))/AP206)</f>
        <v>7.5644104803493442E-2</v>
      </c>
      <c r="AV216" s="42">
        <v>0.06</v>
      </c>
      <c r="AW216" s="49">
        <v>0.05</v>
      </c>
      <c r="AX216" s="49">
        <v>0.1</v>
      </c>
      <c r="AY216" s="49">
        <v>0.01</v>
      </c>
      <c r="AZ216" s="49">
        <f>((BA216*AV206-SUMPRODUCT(AW216:AY216,AR206:AT206))/AU206)</f>
        <v>-2.5400921658986178E-2</v>
      </c>
      <c r="BA216" s="42">
        <v>0.03</v>
      </c>
      <c r="BB216" s="49">
        <v>0</v>
      </c>
      <c r="BC216" s="49">
        <v>0</v>
      </c>
      <c r="BD216" s="49">
        <v>-0.01</v>
      </c>
      <c r="BE216" s="58" t="s">
        <v>126</v>
      </c>
      <c r="BF216" s="59" t="s">
        <v>126</v>
      </c>
      <c r="BG216" s="58">
        <v>-0.02</v>
      </c>
      <c r="BH216" s="49">
        <v>-0.03</v>
      </c>
      <c r="BI216" s="49">
        <v>-0.08</v>
      </c>
      <c r="BJ216" s="58" t="s">
        <v>126</v>
      </c>
      <c r="BK216" s="42">
        <v>-0.03</v>
      </c>
      <c r="BL216" s="49" t="s">
        <v>322</v>
      </c>
      <c r="BM216" s="49">
        <v>0</v>
      </c>
      <c r="BN216" s="49">
        <v>0.06</v>
      </c>
      <c r="BO216" s="58" t="s">
        <v>126</v>
      </c>
      <c r="BP216" s="81">
        <v>-0.2</v>
      </c>
      <c r="BQ216" s="82">
        <v>-0.35</v>
      </c>
      <c r="BR216" s="84">
        <v>-0.11</v>
      </c>
      <c r="BS216" s="82">
        <v>-0.2</v>
      </c>
      <c r="BT216" s="58" t="s">
        <v>126</v>
      </c>
      <c r="BU216" s="81">
        <v>0.05</v>
      </c>
      <c r="BV216" s="82">
        <v>0.49</v>
      </c>
      <c r="BW216" s="84" t="s">
        <v>144</v>
      </c>
      <c r="BX216" s="82">
        <v>0.16</v>
      </c>
      <c r="BY216" s="58" t="s">
        <v>126</v>
      </c>
      <c r="BZ216" s="81">
        <v>0.17</v>
      </c>
      <c r="CA216" s="82">
        <v>0.04</v>
      </c>
      <c r="CB216" s="82">
        <v>0.09</v>
      </c>
      <c r="CC216" s="82">
        <v>0.17</v>
      </c>
      <c r="CD216" s="58" t="s">
        <v>126</v>
      </c>
      <c r="CE216" s="81">
        <v>0.09</v>
      </c>
      <c r="CF216" s="82">
        <v>0.06</v>
      </c>
      <c r="CG216" s="82">
        <v>0.01</v>
      </c>
      <c r="CH216" s="82">
        <v>0.03</v>
      </c>
      <c r="CI216" s="58" t="s">
        <v>126</v>
      </c>
      <c r="CJ216" s="81">
        <v>0</v>
      </c>
      <c r="CK216" s="82">
        <v>0.01</v>
      </c>
      <c r="CL216" s="82">
        <v>-0.03</v>
      </c>
      <c r="CM216" s="82">
        <v>-7.0000000000000007E-2</v>
      </c>
      <c r="CN216" s="58" t="s">
        <v>126</v>
      </c>
      <c r="CO216" s="81">
        <v>-0.01</v>
      </c>
      <c r="CP216" s="82">
        <v>0</v>
      </c>
      <c r="CQ216" s="82">
        <v>-0.01</v>
      </c>
      <c r="CR216" s="82">
        <v>-0.01</v>
      </c>
      <c r="CS216" s="82"/>
      <c r="CT216" s="81"/>
      <c r="CU216" s="82"/>
      <c r="CV216" s="82"/>
      <c r="CW216" s="82"/>
      <c r="CX216" s="82"/>
      <c r="CY216" s="81"/>
      <c r="CZ216" s="82"/>
      <c r="DA216" s="82"/>
      <c r="DB216" s="82"/>
      <c r="DC216" s="82"/>
      <c r="DD216" s="81"/>
      <c r="DE216" s="82"/>
      <c r="DF216" s="82"/>
      <c r="DG216" s="82"/>
      <c r="DH216" s="82"/>
      <c r="DI216" s="81"/>
    </row>
    <row r="217" spans="1:113" s="531" customFormat="1" ht="12" hidden="1" customHeight="1" outlineLevel="1">
      <c r="A217" s="219" t="str">
        <f t="shared" si="364"/>
        <v xml:space="preserve"> </v>
      </c>
      <c r="B217" s="556" t="s">
        <v>321</v>
      </c>
      <c r="C217" s="42"/>
      <c r="D217" s="49"/>
      <c r="E217" s="42"/>
      <c r="F217" s="49"/>
      <c r="G217" s="42"/>
      <c r="H217" s="49"/>
      <c r="I217" s="42"/>
      <c r="J217" s="49"/>
      <c r="K217" s="42"/>
      <c r="L217" s="49"/>
      <c r="M217" s="42"/>
      <c r="N217" s="49"/>
      <c r="O217" s="42"/>
      <c r="P217" s="49"/>
      <c r="Q217" s="42"/>
      <c r="R217" s="217"/>
      <c r="S217" s="52"/>
      <c r="T217" s="52"/>
      <c r="U217" s="52"/>
      <c r="V217" s="112"/>
      <c r="W217" s="217"/>
      <c r="X217" s="52"/>
      <c r="Y217" s="52"/>
      <c r="Z217" s="52"/>
      <c r="AA217" s="112"/>
      <c r="AB217" s="112"/>
      <c r="AC217" s="217"/>
      <c r="AD217" s="52"/>
      <c r="AE217" s="52"/>
      <c r="AF217" s="52"/>
      <c r="AG217" s="112"/>
      <c r="AH217" s="49"/>
      <c r="AI217" s="49"/>
      <c r="AJ217" s="49"/>
      <c r="AK217" s="49"/>
      <c r="AL217" s="42"/>
      <c r="AM217" s="49"/>
      <c r="AN217" s="49"/>
      <c r="AO217" s="49"/>
      <c r="AP217" s="49"/>
      <c r="AQ217" s="42"/>
      <c r="AR217" s="49"/>
      <c r="AS217" s="49"/>
      <c r="AT217" s="49"/>
      <c r="AU217" s="49"/>
      <c r="AV217" s="42"/>
      <c r="AW217" s="49"/>
      <c r="AX217" s="49"/>
      <c r="AY217" s="49"/>
      <c r="AZ217" s="49"/>
      <c r="BA217" s="42"/>
      <c r="BB217" s="49"/>
      <c r="BC217" s="49"/>
      <c r="BD217" s="49"/>
      <c r="BE217" s="58"/>
      <c r="BF217" s="59"/>
      <c r="BG217" s="58"/>
      <c r="BH217" s="49"/>
      <c r="BI217" s="49"/>
      <c r="BJ217" s="58"/>
      <c r="BK217" s="42"/>
      <c r="BL217" s="49">
        <v>0.31</v>
      </c>
      <c r="BM217" s="49">
        <v>0.32</v>
      </c>
      <c r="BN217" s="24">
        <v>0.33</v>
      </c>
      <c r="BO217" s="58" t="s">
        <v>126</v>
      </c>
      <c r="BP217" s="81">
        <v>0.45</v>
      </c>
      <c r="BQ217" s="82">
        <v>0.99</v>
      </c>
      <c r="BR217" s="82" t="s">
        <v>326</v>
      </c>
      <c r="BS217" s="84">
        <v>0.53</v>
      </c>
      <c r="BT217" s="58" t="s">
        <v>126</v>
      </c>
      <c r="BU217" s="81">
        <v>0.73</v>
      </c>
      <c r="BV217" s="82">
        <v>0.43</v>
      </c>
      <c r="BW217" s="82">
        <v>0.4</v>
      </c>
      <c r="BX217" s="84">
        <v>0.33</v>
      </c>
      <c r="BY217" s="58" t="s">
        <v>126</v>
      </c>
      <c r="BZ217" s="81">
        <v>0.3</v>
      </c>
      <c r="CA217" s="82">
        <v>0.19</v>
      </c>
      <c r="CB217" s="84">
        <v>0.31</v>
      </c>
      <c r="CC217" s="82">
        <v>0.25</v>
      </c>
      <c r="CD217" s="82">
        <v>0.17</v>
      </c>
      <c r="CE217" s="81">
        <v>0.23</v>
      </c>
      <c r="CF217" s="82">
        <v>0.04</v>
      </c>
      <c r="CG217" s="82">
        <v>0.02</v>
      </c>
      <c r="CH217" s="82">
        <v>0.01</v>
      </c>
      <c r="CI217" s="58" t="s">
        <v>126</v>
      </c>
      <c r="CJ217" s="81">
        <v>-0.01</v>
      </c>
      <c r="CK217" s="82">
        <v>-0.15</v>
      </c>
      <c r="CL217" s="82">
        <v>-0.22</v>
      </c>
      <c r="CM217" s="82">
        <v>-0.12</v>
      </c>
      <c r="CN217" s="58">
        <v>-0.25</v>
      </c>
      <c r="CO217" s="81">
        <v>-0.19</v>
      </c>
      <c r="CP217" s="82">
        <v>-0.1</v>
      </c>
      <c r="CQ217" s="82">
        <v>-0.16</v>
      </c>
      <c r="CR217" s="82">
        <v>-7.0000000000000007E-2</v>
      </c>
      <c r="CS217" s="82"/>
      <c r="CT217" s="81"/>
      <c r="CU217" s="82"/>
      <c r="CV217" s="82"/>
      <c r="CW217" s="82"/>
      <c r="CX217" s="82"/>
      <c r="CY217" s="81"/>
      <c r="CZ217" s="82"/>
      <c r="DA217" s="82"/>
      <c r="DB217" s="82"/>
      <c r="DC217" s="82"/>
      <c r="DD217" s="81"/>
      <c r="DE217" s="82"/>
      <c r="DF217" s="82"/>
      <c r="DG217" s="82"/>
      <c r="DH217" s="82"/>
      <c r="DI217" s="81"/>
    </row>
    <row r="218" spans="1:113" ht="12" hidden="1" customHeight="1" outlineLevel="1">
      <c r="A218" s="219" t="str">
        <f t="shared" si="364"/>
        <v xml:space="preserve"> </v>
      </c>
      <c r="B218" s="17" t="s">
        <v>307</v>
      </c>
      <c r="C218" s="41"/>
      <c r="D218" s="9"/>
      <c r="E218" s="41"/>
      <c r="F218" s="9"/>
      <c r="G218" s="41"/>
      <c r="H218" s="9"/>
      <c r="I218" s="41"/>
      <c r="J218" s="9"/>
      <c r="K218" s="41"/>
      <c r="L218" s="9"/>
      <c r="M218" s="41"/>
      <c r="N218" s="9"/>
      <c r="O218" s="41"/>
      <c r="P218" s="9"/>
      <c r="Q218" s="41"/>
      <c r="R218" s="9" t="s">
        <v>126</v>
      </c>
      <c r="S218" s="9" t="s">
        <v>126</v>
      </c>
      <c r="T218" s="9" t="s">
        <v>126</v>
      </c>
      <c r="U218" s="9" t="s">
        <v>126</v>
      </c>
      <c r="V218" s="41" t="s">
        <v>126</v>
      </c>
      <c r="W218" s="9">
        <v>-1.2</v>
      </c>
      <c r="X218" s="9">
        <v>-1.9</v>
      </c>
      <c r="Y218" s="9">
        <v>-1</v>
      </c>
      <c r="Z218" s="9">
        <v>0.5</v>
      </c>
      <c r="AA218" s="413">
        <v>-0.9</v>
      </c>
      <c r="AB218" s="413"/>
      <c r="AC218" s="412" t="s">
        <v>126</v>
      </c>
      <c r="AD218" s="9" t="s">
        <v>126</v>
      </c>
      <c r="AE218" s="9" t="s">
        <v>126</v>
      </c>
      <c r="AF218" s="9" t="s">
        <v>126</v>
      </c>
      <c r="AG218" s="41" t="s">
        <v>126</v>
      </c>
      <c r="AH218" s="9">
        <v>1.2</v>
      </c>
      <c r="AI218" s="9">
        <v>1.6</v>
      </c>
      <c r="AJ218" s="9">
        <v>0.4</v>
      </c>
      <c r="AK218" s="9">
        <f>+AL218*4-AJ218-AI218-AH218</f>
        <v>1.5999999999999994</v>
      </c>
      <c r="AL218" s="41">
        <v>1.2</v>
      </c>
      <c r="AM218" s="9">
        <v>1.7</v>
      </c>
      <c r="AN218" s="9">
        <v>0.7</v>
      </c>
      <c r="AO218" s="9">
        <v>1.4</v>
      </c>
      <c r="AP218" s="9">
        <f>+AQ218*4-AO218-AN218-AM218</f>
        <v>0.60000000000000075</v>
      </c>
      <c r="AQ218" s="41">
        <v>1.1000000000000001</v>
      </c>
      <c r="AR218" s="9">
        <v>-0.2</v>
      </c>
      <c r="AS218" s="9">
        <v>-0.2</v>
      </c>
      <c r="AT218" s="9">
        <v>-0.7</v>
      </c>
      <c r="AU218" s="9">
        <f>+AV218*4-AT218-AS218-AR218</f>
        <v>-2.0999999999999996</v>
      </c>
      <c r="AV218" s="41">
        <v>-0.8</v>
      </c>
      <c r="AW218" s="9">
        <v>-0.9</v>
      </c>
      <c r="AX218" s="9">
        <v>-0.3</v>
      </c>
      <c r="AY218" s="9">
        <v>0.4</v>
      </c>
      <c r="AZ218" s="9">
        <f>+BA218*4-AY218-AX218-AW218</f>
        <v>1.2</v>
      </c>
      <c r="BA218" s="41">
        <v>0.1</v>
      </c>
      <c r="BB218" s="9">
        <v>-0.4</v>
      </c>
      <c r="BC218" s="9">
        <v>0.3</v>
      </c>
      <c r="BD218" s="9">
        <v>-0.2</v>
      </c>
      <c r="BE218" s="9">
        <f>+BF218*4-BD218-BC218-BB218</f>
        <v>-9.9999999999999978E-2</v>
      </c>
      <c r="BF218" s="41">
        <v>-0.1</v>
      </c>
      <c r="BG218" s="9">
        <v>0.2</v>
      </c>
      <c r="BH218" s="9">
        <v>0.4</v>
      </c>
      <c r="BI218" s="9">
        <v>0.5</v>
      </c>
      <c r="BJ218" s="9">
        <f>+BK218*4-BI218-BH218-BG218</f>
        <v>9.9999999999999922E-2</v>
      </c>
      <c r="BK218" s="41">
        <v>0.3</v>
      </c>
      <c r="BL218" s="9">
        <v>0.2</v>
      </c>
      <c r="BM218" s="9">
        <v>-1.9</v>
      </c>
      <c r="BN218" s="9">
        <v>-0.4</v>
      </c>
      <c r="BO218" s="9" t="s">
        <v>322</v>
      </c>
      <c r="BP218" s="41">
        <v>-0.23</v>
      </c>
      <c r="BQ218" s="9">
        <v>0.15</v>
      </c>
      <c r="BR218" s="9">
        <v>1</v>
      </c>
      <c r="BS218" s="582">
        <v>1.9</v>
      </c>
      <c r="BT218" s="9" t="s">
        <v>322</v>
      </c>
      <c r="BU218" s="79">
        <v>4.3</v>
      </c>
      <c r="BV218" s="9">
        <v>0.6</v>
      </c>
      <c r="BW218" s="9">
        <v>2.8</v>
      </c>
      <c r="BX218" s="582">
        <v>-0.5</v>
      </c>
      <c r="BY218" s="9" t="s">
        <v>322</v>
      </c>
      <c r="BZ218" s="79">
        <v>-0.1</v>
      </c>
      <c r="CA218" s="9">
        <v>-4.5999999999999996</v>
      </c>
      <c r="CB218" s="6">
        <v>-3.2</v>
      </c>
      <c r="CC218" s="6">
        <v>-2</v>
      </c>
      <c r="CD218" s="9" t="s">
        <v>322</v>
      </c>
      <c r="CE218" s="79">
        <v>-3.1</v>
      </c>
      <c r="CF218" s="588" t="s">
        <v>346</v>
      </c>
      <c r="CG218" s="588" t="s">
        <v>346</v>
      </c>
      <c r="CH218" s="588" t="s">
        <v>350</v>
      </c>
      <c r="CI218" s="9" t="s">
        <v>322</v>
      </c>
      <c r="CJ218" s="79" t="s">
        <v>359</v>
      </c>
      <c r="CK218" s="588" t="s">
        <v>351</v>
      </c>
      <c r="CL218" s="588">
        <v>0</v>
      </c>
      <c r="CM218" s="588">
        <v>-2.1</v>
      </c>
      <c r="CN218" s="9" t="s">
        <v>322</v>
      </c>
      <c r="CO218" s="79">
        <v>-0.9</v>
      </c>
      <c r="CP218" s="588"/>
      <c r="CQ218" s="6"/>
      <c r="CR218" s="6"/>
      <c r="CS218" s="6"/>
      <c r="CT218" s="79"/>
      <c r="CU218" s="6"/>
      <c r="CV218" s="6"/>
      <c r="CW218" s="6"/>
      <c r="CX218" s="6"/>
      <c r="CY218" s="79"/>
      <c r="CZ218" s="6"/>
      <c r="DA218" s="6"/>
      <c r="DB218" s="6"/>
      <c r="DC218" s="6"/>
      <c r="DD218" s="79"/>
      <c r="DE218" s="6"/>
      <c r="DF218" s="6"/>
      <c r="DG218" s="6"/>
      <c r="DH218" s="6"/>
      <c r="DI218" s="79"/>
    </row>
    <row r="219" spans="1:113" s="593" customFormat="1" ht="12" hidden="1" customHeight="1" outlineLevel="1">
      <c r="A219" s="219" t="str">
        <f t="shared" ref="A219:A327" si="709">IF(ISBLANK(B219),"Scrap", " ")</f>
        <v xml:space="preserve"> </v>
      </c>
      <c r="B219" s="589" t="s">
        <v>168</v>
      </c>
      <c r="C219" s="41"/>
      <c r="D219" s="9"/>
      <c r="E219" s="41"/>
      <c r="F219" s="9"/>
      <c r="G219" s="41"/>
      <c r="H219" s="9"/>
      <c r="I219" s="41"/>
      <c r="J219" s="9"/>
      <c r="K219" s="41"/>
      <c r="L219" s="9"/>
      <c r="M219" s="41"/>
      <c r="N219" s="9"/>
      <c r="O219" s="41"/>
      <c r="P219" s="9"/>
      <c r="Q219" s="41"/>
      <c r="R219" s="9" t="s">
        <v>126</v>
      </c>
      <c r="S219" s="9" t="s">
        <v>126</v>
      </c>
      <c r="T219" s="9" t="s">
        <v>126</v>
      </c>
      <c r="U219" s="9" t="s">
        <v>126</v>
      </c>
      <c r="V219" s="41" t="s">
        <v>126</v>
      </c>
      <c r="W219" s="477">
        <f>1-W218</f>
        <v>2.2000000000000002</v>
      </c>
      <c r="X219" s="477">
        <v>1.2</v>
      </c>
      <c r="Y219" s="477">
        <v>1.2</v>
      </c>
      <c r="Z219" s="477">
        <f>-1.2-Z218</f>
        <v>-1.7</v>
      </c>
      <c r="AA219" s="476">
        <v>0.7</v>
      </c>
      <c r="AB219" s="476"/>
      <c r="AC219" s="9" t="s">
        <v>126</v>
      </c>
      <c r="AD219" s="9" t="s">
        <v>126</v>
      </c>
      <c r="AE219" s="9" t="s">
        <v>126</v>
      </c>
      <c r="AF219" s="9" t="s">
        <v>126</v>
      </c>
      <c r="AG219" s="41" t="s">
        <v>126</v>
      </c>
      <c r="AH219" s="477">
        <f>3.4-AH218</f>
        <v>2.2000000000000002</v>
      </c>
      <c r="AI219" s="477">
        <f>1.1-AI218</f>
        <v>-0.5</v>
      </c>
      <c r="AJ219" s="477">
        <f>-0.202324969258388-AJ218</f>
        <v>-0.60232496925838808</v>
      </c>
      <c r="AK219" s="477">
        <f>0.9-AK218</f>
        <v>-0.6999999999999994</v>
      </c>
      <c r="AL219" s="476">
        <f>1.3-AL218</f>
        <v>0.10000000000000009</v>
      </c>
      <c r="AM219" s="477">
        <f t="shared" ref="AM219:BA219" si="710">((AM241/AM182)-(AH241/AH182))*100-AM218</f>
        <v>-2.1286486147829686E-2</v>
      </c>
      <c r="AN219" s="477">
        <f t="shared" si="710"/>
        <v>0.3506231465577192</v>
      </c>
      <c r="AO219" s="477">
        <f t="shared" si="710"/>
        <v>0.35340253457508819</v>
      </c>
      <c r="AP219" s="477">
        <f t="shared" si="710"/>
        <v>0.84489542518112448</v>
      </c>
      <c r="AQ219" s="41">
        <f t="shared" si="710"/>
        <v>0.39382862454468515</v>
      </c>
      <c r="AR219" s="477">
        <f t="shared" si="710"/>
        <v>1.6542729606511097E-2</v>
      </c>
      <c r="AS219" s="477">
        <f t="shared" si="710"/>
        <v>0.84516454536067687</v>
      </c>
      <c r="AT219" s="477">
        <f t="shared" si="710"/>
        <v>-0.28901229106105886</v>
      </c>
      <c r="AU219" s="477">
        <f t="shared" si="710"/>
        <v>-1.2427601079559389</v>
      </c>
      <c r="AV219" s="41">
        <f t="shared" si="710"/>
        <v>-0.24071156205522981</v>
      </c>
      <c r="AW219" s="477">
        <f t="shared" si="710"/>
        <v>-1.6212996225814855</v>
      </c>
      <c r="AX219" s="477">
        <f t="shared" si="710"/>
        <v>0.42021735520273967</v>
      </c>
      <c r="AY219" s="477">
        <f t="shared" si="710"/>
        <v>0.99415982619415788</v>
      </c>
      <c r="AZ219" s="477">
        <f t="shared" si="710"/>
        <v>-0.17444293561135082</v>
      </c>
      <c r="BA219" s="41">
        <f t="shared" si="710"/>
        <v>-0.12105862698962291</v>
      </c>
      <c r="BB219" s="9" t="s">
        <v>163</v>
      </c>
      <c r="BC219" s="9" t="s">
        <v>163</v>
      </c>
      <c r="BD219" s="9" t="s">
        <v>163</v>
      </c>
      <c r="BE219" s="477">
        <f>((BE241/BE182)-(AZ241/AZ182))*100-BE218</f>
        <v>-0.8245077056634299</v>
      </c>
      <c r="BF219" s="41">
        <f>((BF241/BF182)-(BA241/BA182))*100-BF218</f>
        <v>-1.1323495330430422</v>
      </c>
      <c r="BG219" s="9" t="s">
        <v>163</v>
      </c>
      <c r="BH219" s="9" t="s">
        <v>163</v>
      </c>
      <c r="BI219" s="9" t="s">
        <v>163</v>
      </c>
      <c r="BJ219" s="477">
        <f>((BJ241/BJ182)-(BE241/BE182))*100-BJ218</f>
        <v>-9.9225496650267975E-2</v>
      </c>
      <c r="BK219" s="41">
        <f>((BK241/BK182)-(BF241/BF182))*100-BK218</f>
        <v>0.14816532564549428</v>
      </c>
      <c r="BL219" s="9" t="s">
        <v>163</v>
      </c>
      <c r="BM219" s="9" t="s">
        <v>163</v>
      </c>
      <c r="BN219" s="9" t="s">
        <v>163</v>
      </c>
      <c r="BO219" s="477" t="s">
        <v>322</v>
      </c>
      <c r="BP219" s="41" t="s">
        <v>163</v>
      </c>
      <c r="BQ219" s="9" t="s">
        <v>309</v>
      </c>
      <c r="BR219" s="9" t="s">
        <v>309</v>
      </c>
      <c r="BS219" s="9" t="s">
        <v>309</v>
      </c>
      <c r="BT219" s="477" t="s">
        <v>322</v>
      </c>
      <c r="BU219" s="590" t="s">
        <v>309</v>
      </c>
      <c r="BV219" s="9" t="s">
        <v>163</v>
      </c>
      <c r="BW219" s="9" t="s">
        <v>163</v>
      </c>
      <c r="BX219" s="9" t="s">
        <v>163</v>
      </c>
      <c r="BY219" s="477" t="s">
        <v>322</v>
      </c>
      <c r="BZ219" s="590" t="s">
        <v>163</v>
      </c>
      <c r="CA219" s="9" t="s">
        <v>163</v>
      </c>
      <c r="CB219" s="591" t="s">
        <v>163</v>
      </c>
      <c r="CC219" s="591" t="s">
        <v>163</v>
      </c>
      <c r="CD219" s="477" t="s">
        <v>322</v>
      </c>
      <c r="CE219" s="81">
        <v>0.15</v>
      </c>
      <c r="CF219" s="591" t="s">
        <v>163</v>
      </c>
      <c r="CG219" s="591" t="s">
        <v>163</v>
      </c>
      <c r="CH219" s="591" t="s">
        <v>278</v>
      </c>
      <c r="CI219" s="477" t="s">
        <v>322</v>
      </c>
      <c r="CJ219" s="81">
        <v>0.01</v>
      </c>
      <c r="CK219" s="591" t="s">
        <v>163</v>
      </c>
      <c r="CL219" s="377">
        <v>-0.05</v>
      </c>
      <c r="CM219" s="592" t="s">
        <v>370</v>
      </c>
      <c r="CN219" s="477" t="s">
        <v>322</v>
      </c>
      <c r="CO219" s="81"/>
      <c r="CP219" s="591"/>
      <c r="CQ219" s="591"/>
      <c r="CR219" s="591"/>
      <c r="CS219" s="591"/>
      <c r="CT219" s="590"/>
      <c r="CU219" s="591"/>
      <c r="CV219" s="591"/>
      <c r="CW219" s="591"/>
      <c r="CX219" s="591"/>
      <c r="CY219" s="590"/>
      <c r="CZ219" s="591"/>
      <c r="DA219" s="591"/>
      <c r="DB219" s="591"/>
      <c r="DC219" s="591"/>
      <c r="DD219" s="590"/>
      <c r="DE219" s="591"/>
      <c r="DF219" s="591"/>
      <c r="DG219" s="591"/>
      <c r="DH219" s="591"/>
      <c r="DI219" s="590"/>
    </row>
    <row r="220" spans="1:113" ht="12" hidden="1" customHeight="1" outlineLevel="1">
      <c r="A220" s="219"/>
      <c r="B220" s="17"/>
      <c r="C220" s="79"/>
      <c r="D220" s="6"/>
      <c r="E220" s="79"/>
      <c r="F220" s="6"/>
      <c r="G220" s="79"/>
      <c r="H220" s="6"/>
      <c r="I220" s="79"/>
      <c r="J220" s="6"/>
      <c r="K220" s="79"/>
      <c r="L220" s="6"/>
      <c r="M220" s="79"/>
      <c r="N220" s="6"/>
      <c r="O220" s="79"/>
      <c r="P220" s="6"/>
      <c r="Q220" s="79"/>
      <c r="R220" s="6"/>
      <c r="S220" s="6"/>
      <c r="T220" s="6"/>
      <c r="U220" s="6"/>
      <c r="V220" s="79"/>
      <c r="W220" s="6"/>
      <c r="X220" s="6"/>
      <c r="Y220" s="6"/>
      <c r="Z220" s="6"/>
      <c r="AA220" s="79"/>
      <c r="AB220" s="79"/>
      <c r="AC220" s="6"/>
      <c r="AD220" s="6"/>
      <c r="AE220" s="6"/>
      <c r="AF220" s="6"/>
      <c r="AG220" s="79"/>
      <c r="AH220" s="6"/>
      <c r="AI220" s="6"/>
      <c r="AJ220" s="6"/>
      <c r="AK220" s="6"/>
      <c r="AL220" s="79"/>
      <c r="AM220" s="6"/>
      <c r="AN220" s="6"/>
      <c r="AO220" s="6"/>
      <c r="AP220" s="6"/>
      <c r="AQ220" s="79"/>
      <c r="AR220" s="6"/>
      <c r="AS220" s="6"/>
      <c r="AT220" s="6"/>
      <c r="AU220" s="6"/>
      <c r="AV220" s="79"/>
      <c r="AW220" s="6"/>
      <c r="AX220" s="6"/>
      <c r="AY220" s="6"/>
      <c r="AZ220" s="6"/>
      <c r="BA220" s="79"/>
      <c r="BB220" s="6"/>
      <c r="BC220" s="6"/>
      <c r="BD220" s="6"/>
      <c r="BE220" s="6"/>
      <c r="BF220" s="79"/>
      <c r="BG220" s="6"/>
      <c r="BH220" s="6"/>
      <c r="BI220" s="6"/>
      <c r="BJ220" s="6"/>
      <c r="BK220" s="79"/>
      <c r="BL220" s="6"/>
      <c r="BM220" s="6"/>
      <c r="BN220" s="6"/>
      <c r="BO220" s="6"/>
      <c r="BP220" s="79"/>
      <c r="BQ220" s="6"/>
      <c r="BR220" s="6"/>
      <c r="BS220" s="6"/>
      <c r="BT220" s="6"/>
      <c r="BU220" s="79"/>
      <c r="BV220" s="6"/>
      <c r="BW220" s="6"/>
      <c r="BX220" s="6"/>
      <c r="BY220" s="6"/>
      <c r="BZ220" s="79"/>
      <c r="CA220" s="6"/>
      <c r="CB220" s="6"/>
      <c r="CC220" s="6"/>
      <c r="CD220" s="6"/>
      <c r="CE220" s="79"/>
      <c r="CF220" s="6"/>
      <c r="CG220" s="6"/>
      <c r="CH220" s="6"/>
      <c r="CI220" s="6"/>
      <c r="CJ220" s="79"/>
      <c r="CK220" s="6"/>
      <c r="CL220" s="6"/>
      <c r="CM220" s="6"/>
      <c r="CN220" s="6"/>
      <c r="CO220" s="79"/>
      <c r="CP220" s="6"/>
      <c r="CS220" s="591"/>
      <c r="CT220" s="590"/>
      <c r="CU220" s="591"/>
      <c r="CV220" s="591"/>
      <c r="CW220" s="591"/>
      <c r="CX220" s="591"/>
      <c r="CY220" s="590"/>
      <c r="CZ220" s="591"/>
      <c r="DA220" s="591"/>
      <c r="DB220" s="6"/>
      <c r="DC220" s="6"/>
      <c r="DD220" s="79"/>
      <c r="DE220" s="591"/>
      <c r="DF220" s="591"/>
      <c r="DG220" s="6"/>
      <c r="DH220" s="6"/>
      <c r="DI220" s="79"/>
    </row>
    <row r="221" spans="1:113" ht="12" hidden="1" customHeight="1" outlineLevel="1">
      <c r="A221" s="219"/>
      <c r="B221" s="17" t="s">
        <v>377</v>
      </c>
      <c r="C221" s="79"/>
      <c r="D221" s="6"/>
      <c r="E221" s="79"/>
      <c r="F221" s="6"/>
      <c r="G221" s="79"/>
      <c r="H221" s="6"/>
      <c r="I221" s="79"/>
      <c r="J221" s="6"/>
      <c r="K221" s="79"/>
      <c r="L221" s="6"/>
      <c r="M221" s="79"/>
      <c r="N221" s="6"/>
      <c r="O221" s="79"/>
      <c r="P221" s="6"/>
      <c r="Q221" s="79"/>
      <c r="R221" s="6"/>
      <c r="S221" s="6"/>
      <c r="T221" s="6"/>
      <c r="U221" s="6"/>
      <c r="V221" s="79"/>
      <c r="W221" s="6"/>
      <c r="X221" s="6"/>
      <c r="Y221" s="6"/>
      <c r="Z221" s="6"/>
      <c r="AA221" s="79"/>
      <c r="AB221" s="79"/>
      <c r="AC221" s="6"/>
      <c r="AD221" s="6"/>
      <c r="AE221" s="6"/>
      <c r="AF221" s="6"/>
      <c r="AG221" s="79"/>
      <c r="AH221" s="6"/>
      <c r="AI221" s="6"/>
      <c r="AJ221" s="6"/>
      <c r="AK221" s="6"/>
      <c r="AL221" s="79"/>
      <c r="AM221" s="6"/>
      <c r="AN221" s="6"/>
      <c r="AO221" s="6"/>
      <c r="AP221" s="6"/>
      <c r="AQ221" s="79"/>
      <c r="AR221" s="6"/>
      <c r="AS221" s="6"/>
      <c r="AT221" s="6"/>
      <c r="AU221" s="6"/>
      <c r="AV221" s="79"/>
      <c r="AW221" s="6"/>
      <c r="AX221" s="6"/>
      <c r="AY221" s="6"/>
      <c r="AZ221" s="6"/>
      <c r="BA221" s="79"/>
      <c r="BB221" s="6"/>
      <c r="BC221" s="6"/>
      <c r="BD221" s="6"/>
      <c r="BE221" s="6"/>
      <c r="BF221" s="79"/>
      <c r="BG221" s="6"/>
      <c r="BH221" s="6"/>
      <c r="BI221" s="6"/>
      <c r="BJ221" s="6"/>
      <c r="BK221" s="79"/>
      <c r="BL221" s="6"/>
      <c r="BM221" s="6"/>
      <c r="BN221" s="6"/>
      <c r="BO221" s="6"/>
      <c r="BP221" s="79"/>
      <c r="BQ221" s="6"/>
      <c r="BR221" s="6"/>
      <c r="BS221" s="6"/>
      <c r="BT221" s="6"/>
      <c r="BU221" s="79"/>
      <c r="BV221" s="6"/>
      <c r="BW221" s="6"/>
      <c r="BX221" s="6"/>
      <c r="BY221" s="6"/>
      <c r="BZ221" s="79"/>
      <c r="CA221" s="6"/>
      <c r="CB221" s="6"/>
      <c r="CC221" s="6"/>
      <c r="CD221" s="6"/>
      <c r="CE221" s="36">
        <v>9111</v>
      </c>
      <c r="CF221" s="43"/>
      <c r="CG221" s="43"/>
      <c r="CH221" s="43"/>
      <c r="CI221" s="43"/>
      <c r="CJ221" s="36">
        <v>9497</v>
      </c>
      <c r="CK221" s="43">
        <v>2199</v>
      </c>
      <c r="CL221" s="43">
        <v>2283</v>
      </c>
      <c r="CM221" s="43">
        <v>2098</v>
      </c>
      <c r="CN221" s="43">
        <f>CO221-CM221-CL221-CK221</f>
        <v>1936</v>
      </c>
      <c r="CO221" s="36">
        <v>8516</v>
      </c>
      <c r="CP221" s="43">
        <v>2123</v>
      </c>
      <c r="CQ221" s="43">
        <v>2298</v>
      </c>
      <c r="CR221" s="43">
        <v>1990</v>
      </c>
      <c r="CS221" s="43">
        <f>CT221-CR221-CQ221-CP221</f>
        <v>2940</v>
      </c>
      <c r="CT221" s="36">
        <v>9351</v>
      </c>
      <c r="CU221" s="43"/>
      <c r="CV221" s="43"/>
      <c r="CW221" s="43"/>
      <c r="CX221" s="43"/>
      <c r="CY221" s="36"/>
      <c r="CZ221" s="43"/>
      <c r="DA221" s="43"/>
      <c r="DB221" s="43"/>
      <c r="DC221" s="43"/>
      <c r="DD221" s="36"/>
      <c r="DE221" s="43"/>
      <c r="DF221" s="43"/>
      <c r="DG221" s="43"/>
      <c r="DH221" s="43"/>
      <c r="DI221" s="36"/>
    </row>
    <row r="222" spans="1:113" ht="12" hidden="1" customHeight="1" outlineLevel="1">
      <c r="A222" s="219"/>
      <c r="B222" s="491" t="s">
        <v>348</v>
      </c>
      <c r="C222" s="79"/>
      <c r="D222" s="6"/>
      <c r="E222" s="79"/>
      <c r="F222" s="6"/>
      <c r="G222" s="79"/>
      <c r="H222" s="6"/>
      <c r="I222" s="79"/>
      <c r="J222" s="6"/>
      <c r="K222" s="79"/>
      <c r="L222" s="6"/>
      <c r="M222" s="79"/>
      <c r="N222" s="6"/>
      <c r="O222" s="79"/>
      <c r="P222" s="6"/>
      <c r="Q222" s="79"/>
      <c r="R222" s="6"/>
      <c r="S222" s="6"/>
      <c r="T222" s="6"/>
      <c r="U222" s="6"/>
      <c r="V222" s="79"/>
      <c r="W222" s="6"/>
      <c r="X222" s="6"/>
      <c r="Y222" s="6"/>
      <c r="Z222" s="6"/>
      <c r="AA222" s="79"/>
      <c r="AB222" s="79"/>
      <c r="AC222" s="6"/>
      <c r="AD222" s="6"/>
      <c r="AE222" s="6"/>
      <c r="AF222" s="6"/>
      <c r="AG222" s="79"/>
      <c r="AH222" s="6"/>
      <c r="AI222" s="6"/>
      <c r="AJ222" s="6"/>
      <c r="AK222" s="6"/>
      <c r="AL222" s="79"/>
      <c r="AM222" s="6"/>
      <c r="AN222" s="6"/>
      <c r="AO222" s="6"/>
      <c r="AP222" s="6"/>
      <c r="AQ222" s="79"/>
      <c r="AR222" s="6"/>
      <c r="AS222" s="6"/>
      <c r="AT222" s="6"/>
      <c r="AU222" s="6"/>
      <c r="AV222" s="79"/>
      <c r="AW222" s="6"/>
      <c r="AX222" s="6"/>
      <c r="AY222" s="6"/>
      <c r="AZ222" s="6"/>
      <c r="BA222" s="79"/>
      <c r="BB222" s="6"/>
      <c r="BC222" s="6"/>
      <c r="BD222" s="6"/>
      <c r="BE222" s="6"/>
      <c r="BF222" s="79"/>
      <c r="BG222" s="6"/>
      <c r="BH222" s="6"/>
      <c r="BI222" s="6"/>
      <c r="BJ222" s="6"/>
      <c r="BK222" s="79"/>
      <c r="BL222" s="6"/>
      <c r="BM222" s="6"/>
      <c r="BN222" s="6"/>
      <c r="BO222" s="6"/>
      <c r="BP222" s="79"/>
      <c r="BQ222" s="6"/>
      <c r="BR222" s="6"/>
      <c r="BS222" s="6"/>
      <c r="BT222" s="6"/>
      <c r="BU222" s="79"/>
      <c r="BV222" s="6"/>
      <c r="BW222" s="6"/>
      <c r="BX222" s="6"/>
      <c r="BY222" s="6"/>
      <c r="BZ222" s="79"/>
      <c r="CA222" s="6"/>
      <c r="CB222" s="6"/>
      <c r="CC222" s="6"/>
      <c r="CD222" s="6"/>
      <c r="CE222" s="232" t="s">
        <v>126</v>
      </c>
      <c r="CF222" s="27"/>
      <c r="CG222" s="27"/>
      <c r="CH222" s="27"/>
      <c r="CI222" s="27"/>
      <c r="CJ222" s="112">
        <f>CJ221/CE221-1</f>
        <v>4.2366370321589297E-2</v>
      </c>
      <c r="CK222" s="213" t="s">
        <v>126</v>
      </c>
      <c r="CL222" s="213" t="s">
        <v>126</v>
      </c>
      <c r="CM222" s="213" t="s">
        <v>126</v>
      </c>
      <c r="CN222" s="213" t="s">
        <v>126</v>
      </c>
      <c r="CO222" s="112">
        <f>CO221/CJ221-1</f>
        <v>-0.10329577761398334</v>
      </c>
      <c r="CP222" s="27">
        <f>CP221/CK221-1</f>
        <v>-3.456116416552979E-2</v>
      </c>
      <c r="CQ222" s="27">
        <f>CQ221/CL221-1</f>
        <v>6.5703022339027584E-3</v>
      </c>
      <c r="CR222" s="27">
        <f>CR221/CM221-1</f>
        <v>-5.1477597712106804E-2</v>
      </c>
      <c r="CS222" s="213" t="s">
        <v>126</v>
      </c>
      <c r="CT222" s="112">
        <f>CT221/CO221-1</f>
        <v>9.8050728041333857E-2</v>
      </c>
      <c r="CU222" s="27"/>
      <c r="CV222" s="27"/>
      <c r="CW222" s="27"/>
      <c r="CX222" s="27"/>
      <c r="CY222" s="112"/>
      <c r="CZ222" s="27"/>
      <c r="DA222" s="27"/>
      <c r="DB222" s="27"/>
      <c r="DC222" s="27"/>
      <c r="DD222" s="112"/>
      <c r="DE222" s="27"/>
      <c r="DF222" s="27"/>
      <c r="DG222" s="27"/>
      <c r="DH222" s="27"/>
      <c r="DI222" s="112"/>
    </row>
    <row r="223" spans="1:113" ht="12" hidden="1" customHeight="1" outlineLevel="1">
      <c r="A223" s="219"/>
      <c r="B223" s="491" t="s">
        <v>217</v>
      </c>
      <c r="C223" s="79"/>
      <c r="D223" s="6"/>
      <c r="E223" s="79"/>
      <c r="F223" s="6"/>
      <c r="G223" s="79"/>
      <c r="H223" s="6"/>
      <c r="I223" s="79"/>
      <c r="J223" s="6"/>
      <c r="K223" s="79"/>
      <c r="L223" s="6"/>
      <c r="M223" s="79"/>
      <c r="N223" s="6"/>
      <c r="O223" s="79"/>
      <c r="P223" s="6"/>
      <c r="Q223" s="79"/>
      <c r="R223" s="6"/>
      <c r="S223" s="6"/>
      <c r="T223" s="6"/>
      <c r="U223" s="6"/>
      <c r="V223" s="79"/>
      <c r="W223" s="6"/>
      <c r="X223" s="6"/>
      <c r="Y223" s="6"/>
      <c r="Z223" s="6"/>
      <c r="AA223" s="79"/>
      <c r="AB223" s="79"/>
      <c r="AC223" s="6"/>
      <c r="AD223" s="6"/>
      <c r="AE223" s="6"/>
      <c r="AF223" s="6"/>
      <c r="AG223" s="79"/>
      <c r="AH223" s="6"/>
      <c r="AI223" s="6"/>
      <c r="AJ223" s="6"/>
      <c r="AK223" s="6"/>
      <c r="AL223" s="79"/>
      <c r="AM223" s="6"/>
      <c r="AN223" s="6"/>
      <c r="AO223" s="6"/>
      <c r="AP223" s="6"/>
      <c r="AQ223" s="79"/>
      <c r="AR223" s="6"/>
      <c r="AS223" s="6"/>
      <c r="AT223" s="6"/>
      <c r="AU223" s="6"/>
      <c r="AV223" s="79"/>
      <c r="AW223" s="6"/>
      <c r="AX223" s="6"/>
      <c r="AY223" s="6"/>
      <c r="AZ223" s="6"/>
      <c r="BA223" s="79"/>
      <c r="BB223" s="6"/>
      <c r="BC223" s="6"/>
      <c r="BD223" s="6"/>
      <c r="BE223" s="6"/>
      <c r="BF223" s="79"/>
      <c r="BG223" s="6"/>
      <c r="BH223" s="6"/>
      <c r="BI223" s="6"/>
      <c r="BJ223" s="6"/>
      <c r="BK223" s="79"/>
      <c r="BL223" s="6"/>
      <c r="BM223" s="6"/>
      <c r="BN223" s="6"/>
      <c r="BO223" s="6"/>
      <c r="BP223" s="79"/>
      <c r="BQ223" s="6"/>
      <c r="BR223" s="6"/>
      <c r="BS223" s="6"/>
      <c r="BT223" s="6"/>
      <c r="BU223" s="79"/>
      <c r="BV223" s="6"/>
      <c r="BW223" s="6"/>
      <c r="BX223" s="6"/>
      <c r="BY223" s="6"/>
      <c r="BZ223" s="79"/>
      <c r="CA223" s="6"/>
      <c r="CB223" s="6"/>
      <c r="CC223" s="6"/>
      <c r="CD223" s="6"/>
      <c r="CE223" s="112">
        <f>CE221/CE182</f>
        <v>0.42164938911514255</v>
      </c>
      <c r="CF223" s="549"/>
      <c r="CG223" s="549"/>
      <c r="CH223" s="549"/>
      <c r="CI223" s="549"/>
      <c r="CJ223" s="112">
        <f t="shared" ref="CJ223:CT223" si="711">CJ221/CJ182</f>
        <v>0.44386801271265658</v>
      </c>
      <c r="CK223" s="27">
        <f t="shared" si="711"/>
        <v>0.4556568586821384</v>
      </c>
      <c r="CL223" s="27">
        <f t="shared" si="711"/>
        <v>0.44081869086696274</v>
      </c>
      <c r="CM223" s="27">
        <f t="shared" si="711"/>
        <v>0.43133223684210525</v>
      </c>
      <c r="CN223" s="27">
        <f t="shared" si="711"/>
        <v>0.41165213693387198</v>
      </c>
      <c r="CO223" s="112">
        <f t="shared" si="711"/>
        <v>0.43511138360923768</v>
      </c>
      <c r="CP223" s="27">
        <f t="shared" si="711"/>
        <v>0.42290836653386454</v>
      </c>
      <c r="CQ223" s="27">
        <f t="shared" si="711"/>
        <v>0.4079531333214983</v>
      </c>
      <c r="CR223" s="27">
        <f t="shared" si="711"/>
        <v>0.39594110624751294</v>
      </c>
      <c r="CS223" s="27">
        <f t="shared" si="711"/>
        <v>0.60844370860927155</v>
      </c>
      <c r="CT223" s="112">
        <f t="shared" si="711"/>
        <v>0.45590171127687584</v>
      </c>
      <c r="CU223" s="27"/>
      <c r="CV223" s="594"/>
      <c r="CW223" s="594"/>
      <c r="CX223" s="594"/>
      <c r="CY223" s="595"/>
      <c r="CZ223" s="594"/>
      <c r="DA223" s="594"/>
      <c r="DB223" s="549"/>
      <c r="DC223" s="549"/>
      <c r="DD223" s="550"/>
      <c r="DE223" s="594"/>
      <c r="DF223" s="594"/>
      <c r="DG223" s="549"/>
      <c r="DH223" s="549"/>
      <c r="DI223" s="550"/>
    </row>
    <row r="224" spans="1:113" ht="12" hidden="1" customHeight="1" outlineLevel="1">
      <c r="A224" s="219"/>
      <c r="B224" s="491" t="s">
        <v>376</v>
      </c>
      <c r="C224" s="79"/>
      <c r="D224" s="6"/>
      <c r="E224" s="79"/>
      <c r="F224" s="6"/>
      <c r="G224" s="79"/>
      <c r="H224" s="6"/>
      <c r="I224" s="79"/>
      <c r="J224" s="6"/>
      <c r="K224" s="79"/>
      <c r="L224" s="6"/>
      <c r="M224" s="79"/>
      <c r="N224" s="6"/>
      <c r="O224" s="79"/>
      <c r="P224" s="6"/>
      <c r="Q224" s="79"/>
      <c r="R224" s="6"/>
      <c r="S224" s="6"/>
      <c r="T224" s="6"/>
      <c r="U224" s="6"/>
      <c r="V224" s="79"/>
      <c r="W224" s="6"/>
      <c r="X224" s="6"/>
      <c r="Y224" s="6"/>
      <c r="Z224" s="6"/>
      <c r="AA224" s="79"/>
      <c r="AB224" s="79"/>
      <c r="AC224" s="6"/>
      <c r="AD224" s="6"/>
      <c r="AE224" s="6"/>
      <c r="AF224" s="6"/>
      <c r="AG224" s="79"/>
      <c r="AH224" s="6"/>
      <c r="AI224" s="6"/>
      <c r="AJ224" s="6"/>
      <c r="AK224" s="6"/>
      <c r="AL224" s="79"/>
      <c r="AM224" s="6"/>
      <c r="AN224" s="6"/>
      <c r="AO224" s="6"/>
      <c r="AP224" s="6"/>
      <c r="AQ224" s="79"/>
      <c r="AR224" s="6"/>
      <c r="AS224" s="6"/>
      <c r="AT224" s="6"/>
      <c r="AU224" s="6"/>
      <c r="AV224" s="79"/>
      <c r="AW224" s="6"/>
      <c r="AX224" s="6"/>
      <c r="AY224" s="6"/>
      <c r="AZ224" s="6"/>
      <c r="BA224" s="79"/>
      <c r="BB224" s="6"/>
      <c r="BC224" s="6"/>
      <c r="BD224" s="6"/>
      <c r="BE224" s="6"/>
      <c r="BF224" s="79"/>
      <c r="BG224" s="6"/>
      <c r="BH224" s="6"/>
      <c r="BI224" s="6"/>
      <c r="BJ224" s="6"/>
      <c r="BK224" s="79"/>
      <c r="BL224" s="6"/>
      <c r="BM224" s="6"/>
      <c r="BN224" s="6"/>
      <c r="BO224" s="6"/>
      <c r="BP224" s="79"/>
      <c r="BQ224" s="6"/>
      <c r="BR224" s="6"/>
      <c r="BS224" s="6"/>
      <c r="BT224" s="6"/>
      <c r="BU224" s="79"/>
      <c r="BV224" s="6"/>
      <c r="BW224" s="6"/>
      <c r="BX224" s="6"/>
      <c r="BY224" s="6"/>
      <c r="BZ224" s="79"/>
      <c r="CA224" s="6"/>
      <c r="CB224" s="6"/>
      <c r="CC224" s="6"/>
      <c r="CD224" s="6"/>
      <c r="CE224" s="596" t="s">
        <v>126</v>
      </c>
      <c r="CF224" s="568"/>
      <c r="CG224" s="568"/>
      <c r="CH224" s="568"/>
      <c r="CI224" s="568"/>
      <c r="CJ224" s="567">
        <f>(CJ223-CE223)*100*100</f>
        <v>222.18623597514031</v>
      </c>
      <c r="CK224" s="213" t="s">
        <v>126</v>
      </c>
      <c r="CL224" s="213" t="s">
        <v>126</v>
      </c>
      <c r="CM224" s="213" t="s">
        <v>126</v>
      </c>
      <c r="CN224" s="213" t="s">
        <v>126</v>
      </c>
      <c r="CO224" s="567">
        <f t="shared" ref="CO224:CT224" si="712">(CO223-CJ223)*100*100</f>
        <v>-87.566291034189007</v>
      </c>
      <c r="CP224" s="568">
        <f t="shared" si="712"/>
        <v>-327.48492148273857</v>
      </c>
      <c r="CQ224" s="568">
        <f t="shared" si="712"/>
        <v>-328.65557545464441</v>
      </c>
      <c r="CR224" s="568">
        <f t="shared" si="712"/>
        <v>-353.91130594592312</v>
      </c>
      <c r="CS224" s="568">
        <f t="shared" si="712"/>
        <v>1967.9157167539956</v>
      </c>
      <c r="CT224" s="567">
        <f t="shared" si="712"/>
        <v>207.90327667638167</v>
      </c>
      <c r="CU224" s="568"/>
      <c r="CV224" s="568"/>
      <c r="CW224" s="568"/>
      <c r="CX224" s="568"/>
      <c r="CY224" s="567"/>
      <c r="CZ224" s="568"/>
      <c r="DA224" s="568"/>
      <c r="DB224" s="568"/>
      <c r="DC224" s="568"/>
      <c r="DD224" s="567"/>
      <c r="DE224" s="568"/>
      <c r="DF224" s="568"/>
      <c r="DG224" s="568"/>
      <c r="DH224" s="568"/>
      <c r="DI224" s="567"/>
    </row>
    <row r="225" spans="1:113" ht="12" hidden="1" customHeight="1" outlineLevel="1">
      <c r="A225" s="219"/>
      <c r="B225" s="491"/>
      <c r="C225" s="79"/>
      <c r="D225" s="6"/>
      <c r="E225" s="79"/>
      <c r="F225" s="6"/>
      <c r="G225" s="79"/>
      <c r="H225" s="6"/>
      <c r="I225" s="79"/>
      <c r="J225" s="6"/>
      <c r="K225" s="79"/>
      <c r="L225" s="6"/>
      <c r="M225" s="79"/>
      <c r="N225" s="6"/>
      <c r="O225" s="79"/>
      <c r="P225" s="6"/>
      <c r="Q225" s="79"/>
      <c r="R225" s="6"/>
      <c r="S225" s="6"/>
      <c r="T225" s="6"/>
      <c r="U225" s="6"/>
      <c r="V225" s="79"/>
      <c r="W225" s="6"/>
      <c r="X225" s="6"/>
      <c r="Y225" s="6"/>
      <c r="Z225" s="6"/>
      <c r="AA225" s="79"/>
      <c r="AB225" s="79"/>
      <c r="AC225" s="6"/>
      <c r="AD225" s="6"/>
      <c r="AE225" s="6"/>
      <c r="AF225" s="6"/>
      <c r="AG225" s="79"/>
      <c r="AH225" s="6"/>
      <c r="AI225" s="6"/>
      <c r="AJ225" s="6"/>
      <c r="AK225" s="6"/>
      <c r="AL225" s="79"/>
      <c r="AM225" s="6"/>
      <c r="AN225" s="6"/>
      <c r="AO225" s="6"/>
      <c r="AP225" s="6"/>
      <c r="AQ225" s="79"/>
      <c r="AR225" s="6"/>
      <c r="AS225" s="6"/>
      <c r="AT225" s="6"/>
      <c r="AU225" s="6"/>
      <c r="AV225" s="79"/>
      <c r="AW225" s="6"/>
      <c r="AX225" s="6"/>
      <c r="AY225" s="6"/>
      <c r="AZ225" s="6"/>
      <c r="BA225" s="79"/>
      <c r="BB225" s="6"/>
      <c r="BC225" s="6"/>
      <c r="BD225" s="6"/>
      <c r="BE225" s="6"/>
      <c r="BF225" s="79"/>
      <c r="BG225" s="6"/>
      <c r="BH225" s="6"/>
      <c r="BI225" s="6"/>
      <c r="BJ225" s="6"/>
      <c r="BK225" s="79"/>
      <c r="BL225" s="6"/>
      <c r="BM225" s="6"/>
      <c r="BN225" s="6"/>
      <c r="BO225" s="6"/>
      <c r="BP225" s="79"/>
      <c r="BQ225" s="6"/>
      <c r="BR225" s="6"/>
      <c r="BS225" s="6"/>
      <c r="BT225" s="6"/>
      <c r="BU225" s="79"/>
      <c r="BV225" s="6"/>
      <c r="BW225" s="6"/>
      <c r="BX225" s="6"/>
      <c r="BY225" s="6"/>
      <c r="BZ225" s="79"/>
      <c r="CA225" s="6"/>
      <c r="CB225" s="6"/>
      <c r="CC225" s="6"/>
      <c r="CD225" s="6"/>
      <c r="CE225" s="79"/>
      <c r="CF225" s="6"/>
      <c r="CG225" s="6"/>
      <c r="CH225" s="6"/>
      <c r="CI225" s="6"/>
      <c r="CJ225" s="79"/>
      <c r="CK225" s="6"/>
      <c r="CL225" s="6"/>
      <c r="CM225" s="6"/>
      <c r="CN225" s="6"/>
      <c r="CO225" s="79"/>
      <c r="CP225" s="6"/>
      <c r="CS225" s="6"/>
      <c r="CT225" s="79"/>
      <c r="CU225" s="591"/>
      <c r="CV225" s="591"/>
      <c r="CW225" s="591"/>
      <c r="CX225" s="591"/>
      <c r="CY225" s="590"/>
      <c r="CZ225" s="591"/>
      <c r="DA225" s="591"/>
      <c r="DB225" s="6"/>
      <c r="DC225" s="6"/>
      <c r="DD225" s="79"/>
      <c r="DE225" s="591"/>
      <c r="DF225" s="591"/>
      <c r="DG225" s="6"/>
      <c r="DH225" s="6"/>
      <c r="DI225" s="79"/>
    </row>
    <row r="226" spans="1:113" ht="12" hidden="1" customHeight="1" outlineLevel="1">
      <c r="A226" s="219"/>
      <c r="B226" s="555" t="s">
        <v>378</v>
      </c>
      <c r="C226" s="79"/>
      <c r="D226" s="6"/>
      <c r="E226" s="79"/>
      <c r="F226" s="6"/>
      <c r="G226" s="79"/>
      <c r="H226" s="6"/>
      <c r="I226" s="79"/>
      <c r="J226" s="6"/>
      <c r="K226" s="79"/>
      <c r="L226" s="6"/>
      <c r="M226" s="79"/>
      <c r="N226" s="6"/>
      <c r="O226" s="79"/>
      <c r="P226" s="6"/>
      <c r="Q226" s="79"/>
      <c r="R226" s="6"/>
      <c r="S226" s="6"/>
      <c r="T226" s="6"/>
      <c r="U226" s="6"/>
      <c r="V226" s="79"/>
      <c r="W226" s="6"/>
      <c r="X226" s="6"/>
      <c r="Y226" s="6"/>
      <c r="Z226" s="6"/>
      <c r="AA226" s="79"/>
      <c r="AB226" s="79"/>
      <c r="AC226" s="6"/>
      <c r="AD226" s="6"/>
      <c r="AE226" s="6"/>
      <c r="AF226" s="6"/>
      <c r="AG226" s="79"/>
      <c r="AH226" s="6"/>
      <c r="AI226" s="6"/>
      <c r="AJ226" s="6"/>
      <c r="AK226" s="6"/>
      <c r="AL226" s="79"/>
      <c r="AM226" s="6"/>
      <c r="AN226" s="6"/>
      <c r="AO226" s="6"/>
      <c r="AP226" s="6"/>
      <c r="AQ226" s="79"/>
      <c r="AR226" s="6"/>
      <c r="AS226" s="6"/>
      <c r="AT226" s="6"/>
      <c r="AU226" s="6"/>
      <c r="AV226" s="79"/>
      <c r="AW226" s="6"/>
      <c r="AX226" s="6"/>
      <c r="AY226" s="6"/>
      <c r="AZ226" s="6"/>
      <c r="BA226" s="79"/>
      <c r="BB226" s="6"/>
      <c r="BC226" s="6"/>
      <c r="BD226" s="6"/>
      <c r="BE226" s="6"/>
      <c r="BF226" s="79"/>
      <c r="BG226" s="6"/>
      <c r="BH226" s="6"/>
      <c r="BI226" s="6"/>
      <c r="BJ226" s="6"/>
      <c r="BK226" s="79"/>
      <c r="BL226" s="6"/>
      <c r="BM226" s="6"/>
      <c r="BN226" s="6"/>
      <c r="BO226" s="6"/>
      <c r="BP226" s="79"/>
      <c r="BQ226" s="6"/>
      <c r="BR226" s="6"/>
      <c r="BS226" s="6"/>
      <c r="BT226" s="6"/>
      <c r="BU226" s="79"/>
      <c r="BV226" s="6"/>
      <c r="BW226" s="6"/>
      <c r="BX226" s="6"/>
      <c r="BY226" s="6"/>
      <c r="BZ226" s="79"/>
      <c r="CA226" s="6"/>
      <c r="CB226" s="6"/>
      <c r="CC226" s="6"/>
      <c r="CD226" s="6"/>
      <c r="CE226" s="36">
        <v>-1455</v>
      </c>
      <c r="CF226" s="43"/>
      <c r="CG226" s="43"/>
      <c r="CH226" s="43"/>
      <c r="CI226" s="43"/>
      <c r="CJ226" s="36">
        <v>-1495</v>
      </c>
      <c r="CK226" s="43">
        <v>-452</v>
      </c>
      <c r="CL226" s="43">
        <v>-382</v>
      </c>
      <c r="CM226" s="43">
        <v>-401</v>
      </c>
      <c r="CN226" s="43">
        <f>CO226-CM226-CL226-CK226</f>
        <v>-398</v>
      </c>
      <c r="CO226" s="36">
        <v>-1633</v>
      </c>
      <c r="CP226" s="43">
        <v>-442</v>
      </c>
      <c r="CQ226" s="43">
        <v>-473</v>
      </c>
      <c r="CR226" s="43">
        <v>-416</v>
      </c>
      <c r="CS226" s="43">
        <f>CT226-CR226-CQ226-CP226</f>
        <v>-399</v>
      </c>
      <c r="CT226" s="36">
        <v>-1730</v>
      </c>
      <c r="CU226" s="43"/>
      <c r="CV226" s="43"/>
      <c r="CW226" s="43"/>
      <c r="CX226" s="43"/>
      <c r="CY226" s="36"/>
      <c r="CZ226" s="43"/>
      <c r="DA226" s="43"/>
      <c r="DB226" s="43"/>
      <c r="DC226" s="43"/>
      <c r="DD226" s="36"/>
      <c r="DE226" s="43"/>
      <c r="DF226" s="43"/>
      <c r="DG226" s="43"/>
      <c r="DH226" s="43"/>
      <c r="DI226" s="36"/>
    </row>
    <row r="227" spans="1:113" ht="12" hidden="1" customHeight="1" outlineLevel="1">
      <c r="A227" s="219"/>
      <c r="B227" s="597" t="s">
        <v>348</v>
      </c>
      <c r="C227" s="79"/>
      <c r="D227" s="6"/>
      <c r="E227" s="79"/>
      <c r="F227" s="6"/>
      <c r="G227" s="79"/>
      <c r="H227" s="6"/>
      <c r="I227" s="79"/>
      <c r="J227" s="6"/>
      <c r="K227" s="79"/>
      <c r="L227" s="6"/>
      <c r="M227" s="79"/>
      <c r="N227" s="6"/>
      <c r="O227" s="79"/>
      <c r="P227" s="6"/>
      <c r="Q227" s="79"/>
      <c r="R227" s="6"/>
      <c r="S227" s="6"/>
      <c r="T227" s="6"/>
      <c r="U227" s="6"/>
      <c r="V227" s="79"/>
      <c r="W227" s="6"/>
      <c r="X227" s="6"/>
      <c r="Y227" s="6"/>
      <c r="Z227" s="6"/>
      <c r="AA227" s="79"/>
      <c r="AB227" s="79"/>
      <c r="AC227" s="6"/>
      <c r="AD227" s="6"/>
      <c r="AE227" s="6"/>
      <c r="AF227" s="6"/>
      <c r="AG227" s="79"/>
      <c r="AH227" s="6"/>
      <c r="AI227" s="6"/>
      <c r="AJ227" s="6"/>
      <c r="AK227" s="6"/>
      <c r="AL227" s="79"/>
      <c r="AM227" s="6"/>
      <c r="AN227" s="6"/>
      <c r="AO227" s="6"/>
      <c r="AP227" s="6"/>
      <c r="AQ227" s="79"/>
      <c r="AR227" s="6"/>
      <c r="AS227" s="6"/>
      <c r="AT227" s="6"/>
      <c r="AU227" s="6"/>
      <c r="AV227" s="79"/>
      <c r="AW227" s="6"/>
      <c r="AX227" s="6"/>
      <c r="AY227" s="6"/>
      <c r="AZ227" s="6"/>
      <c r="BA227" s="79"/>
      <c r="BB227" s="6"/>
      <c r="BC227" s="6"/>
      <c r="BD227" s="6"/>
      <c r="BE227" s="6"/>
      <c r="BF227" s="79"/>
      <c r="BG227" s="6"/>
      <c r="BH227" s="6"/>
      <c r="BI227" s="6"/>
      <c r="BJ227" s="6"/>
      <c r="BK227" s="79"/>
      <c r="BL227" s="6"/>
      <c r="BM227" s="6"/>
      <c r="BN227" s="6"/>
      <c r="BO227" s="6"/>
      <c r="BP227" s="79"/>
      <c r="BQ227" s="6"/>
      <c r="BR227" s="6"/>
      <c r="BS227" s="6"/>
      <c r="BT227" s="6"/>
      <c r="BU227" s="79"/>
      <c r="BV227" s="6"/>
      <c r="BW227" s="6"/>
      <c r="BX227" s="6"/>
      <c r="BY227" s="6"/>
      <c r="BZ227" s="79"/>
      <c r="CA227" s="6"/>
      <c r="CB227" s="6"/>
      <c r="CC227" s="6"/>
      <c r="CD227" s="6"/>
      <c r="CE227" s="232" t="s">
        <v>126</v>
      </c>
      <c r="CF227" s="27"/>
      <c r="CG227" s="27"/>
      <c r="CH227" s="27"/>
      <c r="CI227" s="27"/>
      <c r="CJ227" s="112">
        <f>CJ226/CE226-1</f>
        <v>2.7491408934707806E-2</v>
      </c>
      <c r="CK227" s="213" t="s">
        <v>126</v>
      </c>
      <c r="CL227" s="213" t="s">
        <v>126</v>
      </c>
      <c r="CM227" s="213" t="s">
        <v>126</v>
      </c>
      <c r="CN227" s="213" t="s">
        <v>126</v>
      </c>
      <c r="CO227" s="112">
        <f>CO226/CJ226-1</f>
        <v>9.2307692307692202E-2</v>
      </c>
      <c r="CP227" s="27">
        <f>CP226/CK226-1</f>
        <v>-2.2123893805309769E-2</v>
      </c>
      <c r="CQ227" s="27">
        <f>CQ226/CL226-1</f>
        <v>0.23821989528795817</v>
      </c>
      <c r="CR227" s="27">
        <f>CR226/CM226-1</f>
        <v>3.7406483790523692E-2</v>
      </c>
      <c r="CS227" s="213" t="s">
        <v>126</v>
      </c>
      <c r="CT227" s="112">
        <f>CT226/CO226-1</f>
        <v>5.9399877526025824E-2</v>
      </c>
      <c r="CU227" s="27"/>
      <c r="CV227" s="27"/>
      <c r="CW227" s="27"/>
      <c r="CX227" s="27"/>
      <c r="CY227" s="112"/>
      <c r="CZ227" s="27"/>
      <c r="DA227" s="27"/>
      <c r="DB227" s="27"/>
      <c r="DC227" s="27"/>
      <c r="DD227" s="112"/>
      <c r="DE227" s="27"/>
      <c r="DF227" s="27"/>
      <c r="DG227" s="27"/>
      <c r="DH227" s="27"/>
      <c r="DI227" s="112"/>
    </row>
    <row r="228" spans="1:113" s="529" customFormat="1" ht="12" hidden="1" customHeight="1" outlineLevel="1">
      <c r="A228" s="564"/>
      <c r="B228" s="570" t="s">
        <v>217</v>
      </c>
      <c r="C228" s="112"/>
      <c r="D228" s="27"/>
      <c r="E228" s="112"/>
      <c r="F228" s="27"/>
      <c r="G228" s="112"/>
      <c r="H228" s="27"/>
      <c r="I228" s="112"/>
      <c r="J228" s="27"/>
      <c r="K228" s="112"/>
      <c r="L228" s="27"/>
      <c r="M228" s="112"/>
      <c r="N228" s="27"/>
      <c r="O228" s="112"/>
      <c r="P228" s="27"/>
      <c r="Q228" s="112"/>
      <c r="R228" s="27"/>
      <c r="S228" s="27"/>
      <c r="T228" s="27"/>
      <c r="U228" s="27"/>
      <c r="V228" s="112"/>
      <c r="W228" s="27"/>
      <c r="X228" s="27"/>
      <c r="Y228" s="27"/>
      <c r="Z228" s="27"/>
      <c r="AA228" s="112"/>
      <c r="AB228" s="112"/>
      <c r="AC228" s="27"/>
      <c r="AD228" s="27"/>
      <c r="AE228" s="27"/>
      <c r="AF228" s="27"/>
      <c r="AG228" s="112"/>
      <c r="AH228" s="27"/>
      <c r="AI228" s="27"/>
      <c r="AJ228" s="27"/>
      <c r="AK228" s="27"/>
      <c r="AL228" s="112"/>
      <c r="AM228" s="27"/>
      <c r="AN228" s="27"/>
      <c r="AO228" s="27"/>
      <c r="AP228" s="27"/>
      <c r="AQ228" s="112"/>
      <c r="AR228" s="27"/>
      <c r="AS228" s="27"/>
      <c r="AT228" s="27"/>
      <c r="AU228" s="27"/>
      <c r="AV228" s="112"/>
      <c r="AW228" s="27"/>
      <c r="AX228" s="27"/>
      <c r="AY228" s="27"/>
      <c r="AZ228" s="27"/>
      <c r="BA228" s="112"/>
      <c r="BB228" s="27"/>
      <c r="BC228" s="27"/>
      <c r="BD228" s="27"/>
      <c r="BE228" s="27"/>
      <c r="BF228" s="112"/>
      <c r="BG228" s="27"/>
      <c r="BH228" s="27"/>
      <c r="BI228" s="27"/>
      <c r="BJ228" s="27"/>
      <c r="BK228" s="112"/>
      <c r="BL228" s="27"/>
      <c r="BM228" s="27"/>
      <c r="BN228" s="27"/>
      <c r="BO228" s="27"/>
      <c r="BP228" s="112"/>
      <c r="BQ228" s="27"/>
      <c r="BR228" s="27"/>
      <c r="BS228" s="27"/>
      <c r="BT228" s="27"/>
      <c r="BU228" s="112"/>
      <c r="BV228" s="27"/>
      <c r="BW228" s="27"/>
      <c r="BX228" s="27"/>
      <c r="BY228" s="27"/>
      <c r="BZ228" s="112"/>
      <c r="CA228" s="27"/>
      <c r="CB228" s="27"/>
      <c r="CC228" s="27"/>
      <c r="CD228" s="27"/>
      <c r="CE228" s="112">
        <f>-CE226/CE182</f>
        <v>6.7336171788226581E-2</v>
      </c>
      <c r="CF228" s="27"/>
      <c r="CG228" s="27"/>
      <c r="CH228" s="27"/>
      <c r="CI228" s="27"/>
      <c r="CJ228" s="112">
        <f t="shared" ref="CJ228:CT228" si="713">-CJ226/CJ182</f>
        <v>6.9872873434286789E-2</v>
      </c>
      <c r="CK228" s="27">
        <f t="shared" si="713"/>
        <v>9.3659345213427267E-2</v>
      </c>
      <c r="CL228" s="27">
        <f t="shared" si="713"/>
        <v>7.3759413014095387E-2</v>
      </c>
      <c r="CM228" s="27">
        <f t="shared" si="713"/>
        <v>8.2442434210526314E-2</v>
      </c>
      <c r="CN228" s="27">
        <f t="shared" si="713"/>
        <v>8.462683393578567E-2</v>
      </c>
      <c r="CO228" s="112">
        <f t="shared" si="713"/>
        <v>8.3435520130799107E-2</v>
      </c>
      <c r="CP228" s="27">
        <f t="shared" si="713"/>
        <v>8.8047808764940241E-2</v>
      </c>
      <c r="CQ228" s="27">
        <f t="shared" si="713"/>
        <v>8.3969465648854963E-2</v>
      </c>
      <c r="CR228" s="27">
        <f t="shared" si="713"/>
        <v>8.2769598089932353E-2</v>
      </c>
      <c r="CS228" s="27">
        <f t="shared" si="713"/>
        <v>8.2574503311258277E-2</v>
      </c>
      <c r="CT228" s="112">
        <f t="shared" si="713"/>
        <v>8.4344985617473556E-2</v>
      </c>
      <c r="CU228" s="27"/>
      <c r="CV228" s="27"/>
      <c r="CW228" s="27"/>
      <c r="CX228" s="27"/>
      <c r="CY228" s="112"/>
      <c r="CZ228" s="27"/>
      <c r="DA228" s="27"/>
      <c r="DB228" s="27"/>
      <c r="DC228" s="27"/>
      <c r="DD228" s="112"/>
      <c r="DE228" s="27"/>
      <c r="DF228" s="27"/>
      <c r="DG228" s="27"/>
      <c r="DH228" s="27"/>
      <c r="DI228" s="112"/>
    </row>
    <row r="229" spans="1:113" ht="12" hidden="1" customHeight="1" outlineLevel="1">
      <c r="A229" s="219"/>
      <c r="B229" s="597" t="s">
        <v>376</v>
      </c>
      <c r="C229" s="79"/>
      <c r="D229" s="6"/>
      <c r="E229" s="79"/>
      <c r="F229" s="6"/>
      <c r="G229" s="79"/>
      <c r="H229" s="6"/>
      <c r="I229" s="79"/>
      <c r="J229" s="6"/>
      <c r="K229" s="79"/>
      <c r="L229" s="6"/>
      <c r="M229" s="79"/>
      <c r="N229" s="6"/>
      <c r="O229" s="79"/>
      <c r="P229" s="6"/>
      <c r="Q229" s="79"/>
      <c r="R229" s="6"/>
      <c r="S229" s="6"/>
      <c r="T229" s="6"/>
      <c r="U229" s="6"/>
      <c r="V229" s="79"/>
      <c r="W229" s="6"/>
      <c r="X229" s="6"/>
      <c r="Y229" s="6"/>
      <c r="Z229" s="6"/>
      <c r="AA229" s="79"/>
      <c r="AB229" s="79"/>
      <c r="AC229" s="6"/>
      <c r="AD229" s="6"/>
      <c r="AE229" s="6"/>
      <c r="AF229" s="6"/>
      <c r="AG229" s="79"/>
      <c r="AH229" s="6"/>
      <c r="AI229" s="6"/>
      <c r="AJ229" s="6"/>
      <c r="AK229" s="6"/>
      <c r="AL229" s="79"/>
      <c r="AM229" s="6"/>
      <c r="AN229" s="6"/>
      <c r="AO229" s="6"/>
      <c r="AP229" s="6"/>
      <c r="AQ229" s="79"/>
      <c r="AR229" s="6"/>
      <c r="AS229" s="6"/>
      <c r="AT229" s="6"/>
      <c r="AU229" s="6"/>
      <c r="AV229" s="79"/>
      <c r="AW229" s="6"/>
      <c r="AX229" s="6"/>
      <c r="AY229" s="6"/>
      <c r="AZ229" s="6"/>
      <c r="BA229" s="79"/>
      <c r="BB229" s="6"/>
      <c r="BC229" s="6"/>
      <c r="BD229" s="6"/>
      <c r="BE229" s="6"/>
      <c r="BF229" s="79"/>
      <c r="BG229" s="6"/>
      <c r="BH229" s="6"/>
      <c r="BI229" s="6"/>
      <c r="BJ229" s="6"/>
      <c r="BK229" s="79"/>
      <c r="BL229" s="6"/>
      <c r="BM229" s="6"/>
      <c r="BN229" s="6"/>
      <c r="BO229" s="6"/>
      <c r="BP229" s="79"/>
      <c r="BQ229" s="6"/>
      <c r="BR229" s="6"/>
      <c r="BS229" s="6"/>
      <c r="BT229" s="6"/>
      <c r="BU229" s="79"/>
      <c r="BV229" s="6"/>
      <c r="BW229" s="6"/>
      <c r="BX229" s="6"/>
      <c r="BY229" s="6"/>
      <c r="BZ229" s="79"/>
      <c r="CA229" s="6"/>
      <c r="CB229" s="6"/>
      <c r="CC229" s="6"/>
      <c r="CD229" s="6"/>
      <c r="CE229" s="596" t="s">
        <v>126</v>
      </c>
      <c r="CF229" s="568"/>
      <c r="CG229" s="568"/>
      <c r="CH229" s="568"/>
      <c r="CI229" s="568"/>
      <c r="CJ229" s="567">
        <f>(CJ228-CE228)*100*100</f>
        <v>25.367016460602077</v>
      </c>
      <c r="CK229" s="213" t="s">
        <v>126</v>
      </c>
      <c r="CL229" s="213" t="s">
        <v>126</v>
      </c>
      <c r="CM229" s="213" t="s">
        <v>126</v>
      </c>
      <c r="CN229" s="213" t="s">
        <v>126</v>
      </c>
      <c r="CO229" s="567">
        <f>(CO228-CJ228)*100*100</f>
        <v>135.62646696512317</v>
      </c>
      <c r="CP229" s="568">
        <f>(CP228-CK228)*100*100</f>
        <v>-56.115364484870256</v>
      </c>
      <c r="CQ229" s="568">
        <f>(CQ228-CL228)*100*100</f>
        <v>102.10052634759576</v>
      </c>
      <c r="CR229" s="568">
        <f>(CR228-CM228)*100*100</f>
        <v>3.2716387940603942</v>
      </c>
      <c r="CS229" s="213" t="s">
        <v>126</v>
      </c>
      <c r="CT229" s="567">
        <f>(CT228-CO228)*100*100</f>
        <v>9.0946548667444898</v>
      </c>
      <c r="CU229" s="568"/>
      <c r="CV229" s="568"/>
      <c r="CW229" s="568"/>
      <c r="CX229" s="568"/>
      <c r="CY229" s="567"/>
      <c r="CZ229" s="568"/>
      <c r="DA229" s="568"/>
      <c r="DB229" s="568"/>
      <c r="DC229" s="568"/>
      <c r="DD229" s="567"/>
      <c r="DE229" s="568"/>
      <c r="DF229" s="568"/>
      <c r="DG229" s="568"/>
      <c r="DH229" s="568"/>
      <c r="DI229" s="567"/>
    </row>
    <row r="230" spans="1:113" ht="12" hidden="1" customHeight="1" outlineLevel="1">
      <c r="A230" s="219"/>
      <c r="B230" s="555" t="s">
        <v>379</v>
      </c>
      <c r="C230" s="79"/>
      <c r="D230" s="6"/>
      <c r="E230" s="79"/>
      <c r="F230" s="6"/>
      <c r="G230" s="79"/>
      <c r="H230" s="6"/>
      <c r="I230" s="79"/>
      <c r="J230" s="6"/>
      <c r="K230" s="79"/>
      <c r="L230" s="6"/>
      <c r="M230" s="79"/>
      <c r="N230" s="6"/>
      <c r="O230" s="79"/>
      <c r="P230" s="6"/>
      <c r="Q230" s="79"/>
      <c r="R230" s="6"/>
      <c r="S230" s="6"/>
      <c r="T230" s="6"/>
      <c r="U230" s="6"/>
      <c r="V230" s="79"/>
      <c r="W230" s="6"/>
      <c r="X230" s="6"/>
      <c r="Y230" s="6"/>
      <c r="Z230" s="6"/>
      <c r="AA230" s="79"/>
      <c r="AB230" s="79"/>
      <c r="AC230" s="6"/>
      <c r="AD230" s="6"/>
      <c r="AE230" s="6"/>
      <c r="AF230" s="6"/>
      <c r="AG230" s="79"/>
      <c r="AH230" s="6"/>
      <c r="AI230" s="6"/>
      <c r="AJ230" s="6"/>
      <c r="AK230" s="6"/>
      <c r="AL230" s="79"/>
      <c r="AM230" s="6"/>
      <c r="AN230" s="6"/>
      <c r="AO230" s="6"/>
      <c r="AP230" s="6"/>
      <c r="AQ230" s="79"/>
      <c r="AR230" s="6"/>
      <c r="AS230" s="6"/>
      <c r="AT230" s="6"/>
      <c r="AU230" s="6"/>
      <c r="AV230" s="79"/>
      <c r="AW230" s="6"/>
      <c r="AX230" s="6"/>
      <c r="AY230" s="6"/>
      <c r="AZ230" s="6"/>
      <c r="BA230" s="79"/>
      <c r="BB230" s="6"/>
      <c r="BC230" s="6"/>
      <c r="BD230" s="6"/>
      <c r="BE230" s="6"/>
      <c r="BF230" s="79"/>
      <c r="BG230" s="6"/>
      <c r="BH230" s="6"/>
      <c r="BI230" s="6"/>
      <c r="BJ230" s="6"/>
      <c r="BK230" s="79"/>
      <c r="BL230" s="6"/>
      <c r="BM230" s="6"/>
      <c r="BN230" s="6"/>
      <c r="BO230" s="6"/>
      <c r="BP230" s="79"/>
      <c r="BQ230" s="6"/>
      <c r="BR230" s="6"/>
      <c r="BS230" s="6"/>
      <c r="BT230" s="6"/>
      <c r="BU230" s="79"/>
      <c r="BV230" s="6"/>
      <c r="BW230" s="6"/>
      <c r="BX230" s="6"/>
      <c r="BY230" s="6"/>
      <c r="BZ230" s="79"/>
      <c r="CA230" s="6"/>
      <c r="CB230" s="6"/>
      <c r="CC230" s="6"/>
      <c r="CD230" s="6"/>
      <c r="CE230" s="36">
        <v>-2207</v>
      </c>
      <c r="CF230" s="43"/>
      <c r="CG230" s="43"/>
      <c r="CH230" s="43"/>
      <c r="CI230" s="43"/>
      <c r="CJ230" s="36">
        <v>-2189</v>
      </c>
      <c r="CK230" s="43">
        <v>-529</v>
      </c>
      <c r="CL230" s="43">
        <v>-531</v>
      </c>
      <c r="CM230" s="43">
        <v>-596</v>
      </c>
      <c r="CN230" s="43">
        <f>CO230-CM230-CL230-CK230</f>
        <v>-494</v>
      </c>
      <c r="CO230" s="36">
        <v>-2150</v>
      </c>
      <c r="CP230" s="43">
        <v>-547</v>
      </c>
      <c r="CQ230" s="43">
        <v>-565</v>
      </c>
      <c r="CR230" s="43">
        <v>-593</v>
      </c>
      <c r="CS230" s="43">
        <f>CT230-CR230-CQ230-CP230</f>
        <v>-554</v>
      </c>
      <c r="CT230" s="36">
        <v>-2259</v>
      </c>
      <c r="CU230" s="43"/>
      <c r="CV230" s="43"/>
      <c r="CW230" s="43"/>
      <c r="CX230" s="43"/>
      <c r="CY230" s="36"/>
      <c r="CZ230" s="43"/>
      <c r="DA230" s="43"/>
      <c r="DB230" s="43"/>
      <c r="DC230" s="43"/>
      <c r="DD230" s="36"/>
      <c r="DE230" s="43"/>
      <c r="DF230" s="43"/>
      <c r="DG230" s="43"/>
      <c r="DH230" s="43"/>
      <c r="DI230" s="36"/>
    </row>
    <row r="231" spans="1:113" ht="12" hidden="1" customHeight="1" outlineLevel="1">
      <c r="A231" s="219"/>
      <c r="B231" s="597" t="s">
        <v>348</v>
      </c>
      <c r="C231" s="79"/>
      <c r="D231" s="6"/>
      <c r="E231" s="79"/>
      <c r="F231" s="6"/>
      <c r="G231" s="79"/>
      <c r="H231" s="6"/>
      <c r="I231" s="79"/>
      <c r="J231" s="6"/>
      <c r="K231" s="79"/>
      <c r="L231" s="6"/>
      <c r="M231" s="79"/>
      <c r="N231" s="6"/>
      <c r="O231" s="79"/>
      <c r="P231" s="6"/>
      <c r="Q231" s="79"/>
      <c r="R231" s="6"/>
      <c r="S231" s="6"/>
      <c r="T231" s="6"/>
      <c r="U231" s="6"/>
      <c r="V231" s="79"/>
      <c r="W231" s="6"/>
      <c r="X231" s="6"/>
      <c r="Y231" s="6"/>
      <c r="Z231" s="6"/>
      <c r="AA231" s="79"/>
      <c r="AB231" s="79"/>
      <c r="AC231" s="6"/>
      <c r="AD231" s="6"/>
      <c r="AE231" s="6"/>
      <c r="AF231" s="6"/>
      <c r="AG231" s="79"/>
      <c r="AH231" s="6"/>
      <c r="AI231" s="6"/>
      <c r="AJ231" s="6"/>
      <c r="AK231" s="6"/>
      <c r="AL231" s="79"/>
      <c r="AM231" s="6"/>
      <c r="AN231" s="6"/>
      <c r="AO231" s="6"/>
      <c r="AP231" s="6"/>
      <c r="AQ231" s="79"/>
      <c r="AR231" s="6"/>
      <c r="AS231" s="6"/>
      <c r="AT231" s="6"/>
      <c r="AU231" s="6"/>
      <c r="AV231" s="79"/>
      <c r="AW231" s="6"/>
      <c r="AX231" s="6"/>
      <c r="AY231" s="6"/>
      <c r="AZ231" s="6"/>
      <c r="BA231" s="79"/>
      <c r="BB231" s="6"/>
      <c r="BC231" s="6"/>
      <c r="BD231" s="6"/>
      <c r="BE231" s="6"/>
      <c r="BF231" s="79"/>
      <c r="BG231" s="6"/>
      <c r="BH231" s="6"/>
      <c r="BI231" s="6"/>
      <c r="BJ231" s="6"/>
      <c r="BK231" s="79"/>
      <c r="BL231" s="6"/>
      <c r="BM231" s="6"/>
      <c r="BN231" s="6"/>
      <c r="BO231" s="6"/>
      <c r="BP231" s="79"/>
      <c r="BQ231" s="6"/>
      <c r="BR231" s="6"/>
      <c r="BS231" s="6"/>
      <c r="BT231" s="6"/>
      <c r="BU231" s="79"/>
      <c r="BV231" s="6"/>
      <c r="BW231" s="6"/>
      <c r="BX231" s="6"/>
      <c r="BY231" s="6"/>
      <c r="BZ231" s="79"/>
      <c r="CA231" s="6"/>
      <c r="CB231" s="6"/>
      <c r="CC231" s="6"/>
      <c r="CD231" s="6"/>
      <c r="CE231" s="232" t="s">
        <v>126</v>
      </c>
      <c r="CF231" s="27"/>
      <c r="CG231" s="27"/>
      <c r="CH231" s="27"/>
      <c r="CI231" s="27"/>
      <c r="CJ231" s="112">
        <f>CJ230/CE230-1</f>
        <v>-8.1558676937019126E-3</v>
      </c>
      <c r="CK231" s="213" t="s">
        <v>126</v>
      </c>
      <c r="CL231" s="213" t="s">
        <v>126</v>
      </c>
      <c r="CM231" s="213" t="s">
        <v>126</v>
      </c>
      <c r="CN231" s="213" t="s">
        <v>126</v>
      </c>
      <c r="CO231" s="112">
        <f>CO230/CJ230-1</f>
        <v>-1.7816354499771592E-2</v>
      </c>
      <c r="CP231" s="27">
        <f>CP230/CK230-1</f>
        <v>3.402646502835549E-2</v>
      </c>
      <c r="CQ231" s="27">
        <f>CQ230/CL230-1</f>
        <v>6.4030131826741998E-2</v>
      </c>
      <c r="CR231" s="27">
        <f>CR230/CM230-1</f>
        <v>-5.0335570469798308E-3</v>
      </c>
      <c r="CS231" s="213" t="s">
        <v>126</v>
      </c>
      <c r="CT231" s="112">
        <f>CT230/CO230-1</f>
        <v>5.0697674418604732E-2</v>
      </c>
      <c r="CU231" s="27"/>
      <c r="CV231" s="27"/>
      <c r="CW231" s="27"/>
      <c r="CX231" s="27"/>
      <c r="CY231" s="112"/>
      <c r="CZ231" s="27"/>
      <c r="DA231" s="27"/>
      <c r="DB231" s="27"/>
      <c r="DC231" s="27"/>
      <c r="DD231" s="112"/>
      <c r="DE231" s="27"/>
      <c r="DF231" s="27"/>
      <c r="DG231" s="27"/>
      <c r="DH231" s="27"/>
      <c r="DI231" s="112"/>
    </row>
    <row r="232" spans="1:113" s="529" customFormat="1" ht="12" hidden="1" customHeight="1" outlineLevel="1">
      <c r="A232" s="564"/>
      <c r="B232" s="570" t="s">
        <v>217</v>
      </c>
      <c r="C232" s="112"/>
      <c r="D232" s="27"/>
      <c r="E232" s="112"/>
      <c r="F232" s="27"/>
      <c r="G232" s="112"/>
      <c r="H232" s="27"/>
      <c r="I232" s="112"/>
      <c r="J232" s="27"/>
      <c r="K232" s="112"/>
      <c r="L232" s="27"/>
      <c r="M232" s="112"/>
      <c r="N232" s="27"/>
      <c r="O232" s="112"/>
      <c r="P232" s="27"/>
      <c r="Q232" s="112"/>
      <c r="R232" s="27"/>
      <c r="S232" s="27"/>
      <c r="T232" s="27"/>
      <c r="U232" s="27"/>
      <c r="V232" s="112"/>
      <c r="W232" s="27"/>
      <c r="X232" s="27"/>
      <c r="Y232" s="27"/>
      <c r="Z232" s="27"/>
      <c r="AA232" s="112"/>
      <c r="AB232" s="112"/>
      <c r="AC232" s="27"/>
      <c r="AD232" s="27"/>
      <c r="AE232" s="27"/>
      <c r="AF232" s="27"/>
      <c r="AG232" s="112"/>
      <c r="AH232" s="27"/>
      <c r="AI232" s="27"/>
      <c r="AJ232" s="27"/>
      <c r="AK232" s="27"/>
      <c r="AL232" s="112"/>
      <c r="AM232" s="27"/>
      <c r="AN232" s="27"/>
      <c r="AO232" s="27"/>
      <c r="AP232" s="27"/>
      <c r="AQ232" s="112"/>
      <c r="AR232" s="27"/>
      <c r="AS232" s="27"/>
      <c r="AT232" s="27"/>
      <c r="AU232" s="27"/>
      <c r="AV232" s="112"/>
      <c r="AW232" s="27"/>
      <c r="AX232" s="27"/>
      <c r="AY232" s="27"/>
      <c r="AZ232" s="27"/>
      <c r="BA232" s="112"/>
      <c r="BB232" s="27"/>
      <c r="BC232" s="27"/>
      <c r="BD232" s="27"/>
      <c r="BE232" s="27"/>
      <c r="BF232" s="112"/>
      <c r="BG232" s="27"/>
      <c r="BH232" s="27"/>
      <c r="BI232" s="27"/>
      <c r="BJ232" s="27"/>
      <c r="BK232" s="112"/>
      <c r="BL232" s="27"/>
      <c r="BM232" s="27"/>
      <c r="BN232" s="27"/>
      <c r="BO232" s="27"/>
      <c r="BP232" s="112"/>
      <c r="BQ232" s="27"/>
      <c r="BR232" s="27"/>
      <c r="BS232" s="27"/>
      <c r="BT232" s="27"/>
      <c r="BU232" s="112"/>
      <c r="BV232" s="27"/>
      <c r="BW232" s="27"/>
      <c r="BX232" s="27"/>
      <c r="BY232" s="27"/>
      <c r="BZ232" s="112"/>
      <c r="CA232" s="27"/>
      <c r="CB232" s="27"/>
      <c r="CC232" s="27"/>
      <c r="CD232" s="27"/>
      <c r="CE232" s="112">
        <f>-CE230/CE182</f>
        <v>0.10213809700111071</v>
      </c>
      <c r="CF232" s="27"/>
      <c r="CG232" s="27"/>
      <c r="CH232" s="27"/>
      <c r="CI232" s="27"/>
      <c r="CJ232" s="112">
        <f t="shared" ref="CJ232:CT232" si="714">-CJ230/CJ182</f>
        <v>0.10230884277435034</v>
      </c>
      <c r="CK232" s="27">
        <f t="shared" si="714"/>
        <v>0.10961458765022793</v>
      </c>
      <c r="CL232" s="27">
        <f t="shared" si="714"/>
        <v>0.10252944583896505</v>
      </c>
      <c r="CM232" s="27">
        <f t="shared" si="714"/>
        <v>0.1225328947368421</v>
      </c>
      <c r="CN232" s="27">
        <f t="shared" si="714"/>
        <v>0.10503933659366362</v>
      </c>
      <c r="CO232" s="112">
        <f t="shared" si="714"/>
        <v>0.10985080727569999</v>
      </c>
      <c r="CP232" s="27">
        <f t="shared" si="714"/>
        <v>0.10896414342629482</v>
      </c>
      <c r="CQ232" s="27">
        <f t="shared" si="714"/>
        <v>0.10030179300550328</v>
      </c>
      <c r="CR232" s="27">
        <f t="shared" si="714"/>
        <v>0.11798647035415838</v>
      </c>
      <c r="CS232" s="27">
        <f t="shared" si="714"/>
        <v>0.1146523178807947</v>
      </c>
      <c r="CT232" s="112">
        <f t="shared" si="714"/>
        <v>0.11013602457218079</v>
      </c>
      <c r="CU232" s="27"/>
      <c r="CV232" s="27"/>
      <c r="CW232" s="27"/>
      <c r="CX232" s="27"/>
      <c r="CY232" s="112"/>
      <c r="CZ232" s="27"/>
      <c r="DA232" s="27"/>
      <c r="DB232" s="27"/>
      <c r="DC232" s="27"/>
      <c r="DD232" s="112"/>
      <c r="DE232" s="27"/>
      <c r="DF232" s="27"/>
      <c r="DG232" s="27"/>
      <c r="DH232" s="27"/>
      <c r="DI232" s="112"/>
    </row>
    <row r="233" spans="1:113" ht="12" hidden="1" customHeight="1" outlineLevel="1">
      <c r="A233" s="219"/>
      <c r="B233" s="597" t="s">
        <v>376</v>
      </c>
      <c r="C233" s="79"/>
      <c r="D233" s="6"/>
      <c r="E233" s="79"/>
      <c r="F233" s="6"/>
      <c r="G233" s="79"/>
      <c r="H233" s="6"/>
      <c r="I233" s="79"/>
      <c r="J233" s="6"/>
      <c r="K233" s="79"/>
      <c r="L233" s="6"/>
      <c r="M233" s="79"/>
      <c r="N233" s="6"/>
      <c r="O233" s="79"/>
      <c r="P233" s="6"/>
      <c r="Q233" s="79"/>
      <c r="R233" s="6"/>
      <c r="S233" s="6"/>
      <c r="T233" s="6"/>
      <c r="U233" s="6"/>
      <c r="V233" s="79"/>
      <c r="W233" s="6"/>
      <c r="X233" s="6"/>
      <c r="Y233" s="6"/>
      <c r="Z233" s="6"/>
      <c r="AA233" s="79"/>
      <c r="AB233" s="79"/>
      <c r="AC233" s="6"/>
      <c r="AD233" s="6"/>
      <c r="AE233" s="6"/>
      <c r="AF233" s="6"/>
      <c r="AG233" s="79"/>
      <c r="AH233" s="6"/>
      <c r="AI233" s="6"/>
      <c r="AJ233" s="6"/>
      <c r="AK233" s="6"/>
      <c r="AL233" s="79"/>
      <c r="AM233" s="6"/>
      <c r="AN233" s="6"/>
      <c r="AO233" s="6"/>
      <c r="AP233" s="6"/>
      <c r="AQ233" s="79"/>
      <c r="AR233" s="6"/>
      <c r="AS233" s="6"/>
      <c r="AT233" s="6"/>
      <c r="AU233" s="6"/>
      <c r="AV233" s="79"/>
      <c r="AW233" s="6"/>
      <c r="AX233" s="6"/>
      <c r="AY233" s="6"/>
      <c r="AZ233" s="6"/>
      <c r="BA233" s="79"/>
      <c r="BB233" s="6"/>
      <c r="BC233" s="6"/>
      <c r="BD233" s="6"/>
      <c r="BE233" s="6"/>
      <c r="BF233" s="79"/>
      <c r="BG233" s="6"/>
      <c r="BH233" s="6"/>
      <c r="BI233" s="6"/>
      <c r="BJ233" s="6"/>
      <c r="BK233" s="79"/>
      <c r="BL233" s="6"/>
      <c r="BM233" s="6"/>
      <c r="BN233" s="6"/>
      <c r="BO233" s="6"/>
      <c r="BP233" s="79"/>
      <c r="BQ233" s="6"/>
      <c r="BR233" s="6"/>
      <c r="BS233" s="6"/>
      <c r="BT233" s="6"/>
      <c r="BU233" s="79"/>
      <c r="BV233" s="6"/>
      <c r="BW233" s="6"/>
      <c r="BX233" s="6"/>
      <c r="BY233" s="6"/>
      <c r="BZ233" s="79"/>
      <c r="CA233" s="6"/>
      <c r="CB233" s="6"/>
      <c r="CC233" s="6"/>
      <c r="CD233" s="6"/>
      <c r="CE233" s="596" t="s">
        <v>126</v>
      </c>
      <c r="CF233" s="568"/>
      <c r="CG233" s="568"/>
      <c r="CH233" s="568"/>
      <c r="CI233" s="568"/>
      <c r="CJ233" s="567">
        <f>(CJ232-CE232)*100*100</f>
        <v>1.7074577323963891</v>
      </c>
      <c r="CK233" s="213" t="s">
        <v>126</v>
      </c>
      <c r="CL233" s="213" t="s">
        <v>126</v>
      </c>
      <c r="CM233" s="213" t="s">
        <v>126</v>
      </c>
      <c r="CN233" s="213" t="s">
        <v>126</v>
      </c>
      <c r="CO233" s="567">
        <f>(CO232-CJ232)*100*100</f>
        <v>75.419645013496407</v>
      </c>
      <c r="CP233" s="568">
        <f>(CP232-CK232)*100*100</f>
        <v>-6.5044422393310821</v>
      </c>
      <c r="CQ233" s="568">
        <f>(CQ232-CL232)*100*100</f>
        <v>-22.276528334617684</v>
      </c>
      <c r="CR233" s="568">
        <f>(CR232-CM232)*100*100</f>
        <v>-45.464243826837254</v>
      </c>
      <c r="CS233" s="213" t="s">
        <v>126</v>
      </c>
      <c r="CT233" s="567">
        <f>(CT232-CO232)*100*100</f>
        <v>2.852172964808025</v>
      </c>
      <c r="CU233" s="568"/>
      <c r="CV233" s="568"/>
      <c r="CW233" s="568"/>
      <c r="CX233" s="568"/>
      <c r="CY233" s="567"/>
      <c r="CZ233" s="568"/>
      <c r="DA233" s="568"/>
      <c r="DB233" s="568"/>
      <c r="DC233" s="568"/>
      <c r="DD233" s="567"/>
      <c r="DE233" s="568"/>
      <c r="DF233" s="568"/>
      <c r="DG233" s="568"/>
      <c r="DH233" s="568"/>
      <c r="DI233" s="567"/>
    </row>
    <row r="234" spans="1:113" ht="12" hidden="1" customHeight="1" outlineLevel="1">
      <c r="A234" s="219"/>
      <c r="B234" s="17" t="s">
        <v>380</v>
      </c>
      <c r="C234" s="79"/>
      <c r="D234" s="6"/>
      <c r="E234" s="79"/>
      <c r="F234" s="6"/>
      <c r="G234" s="79"/>
      <c r="H234" s="6"/>
      <c r="I234" s="79"/>
      <c r="J234" s="6"/>
      <c r="K234" s="79"/>
      <c r="L234" s="6"/>
      <c r="M234" s="79"/>
      <c r="N234" s="6"/>
      <c r="O234" s="79"/>
      <c r="P234" s="6"/>
      <c r="Q234" s="79"/>
      <c r="R234" s="6"/>
      <c r="S234" s="6"/>
      <c r="T234" s="6"/>
      <c r="U234" s="6"/>
      <c r="V234" s="79"/>
      <c r="W234" s="6"/>
      <c r="X234" s="6"/>
      <c r="Y234" s="6"/>
      <c r="Z234" s="6"/>
      <c r="AA234" s="79"/>
      <c r="AB234" s="79"/>
      <c r="AC234" s="6"/>
      <c r="AD234" s="6"/>
      <c r="AE234" s="6"/>
      <c r="AF234" s="6"/>
      <c r="AG234" s="79"/>
      <c r="AH234" s="6"/>
      <c r="AI234" s="6"/>
      <c r="AJ234" s="6"/>
      <c r="AK234" s="6"/>
      <c r="AL234" s="79"/>
      <c r="AM234" s="6"/>
      <c r="AN234" s="6"/>
      <c r="AO234" s="6"/>
      <c r="AP234" s="6"/>
      <c r="AQ234" s="79"/>
      <c r="AR234" s="6"/>
      <c r="AS234" s="6"/>
      <c r="AT234" s="6"/>
      <c r="AU234" s="6"/>
      <c r="AV234" s="79"/>
      <c r="AW234" s="6"/>
      <c r="AX234" s="6"/>
      <c r="AY234" s="6"/>
      <c r="AZ234" s="6"/>
      <c r="BA234" s="79"/>
      <c r="BB234" s="6"/>
      <c r="BC234" s="6"/>
      <c r="BD234" s="6"/>
      <c r="BE234" s="6"/>
      <c r="BF234" s="79"/>
      <c r="BG234" s="6"/>
      <c r="BH234" s="6"/>
      <c r="BI234" s="6"/>
      <c r="BJ234" s="6"/>
      <c r="BK234" s="79"/>
      <c r="BL234" s="6"/>
      <c r="BM234" s="6"/>
      <c r="BN234" s="6"/>
      <c r="BO234" s="6"/>
      <c r="BP234" s="79"/>
      <c r="BQ234" s="6"/>
      <c r="BR234" s="6"/>
      <c r="BS234" s="6"/>
      <c r="BT234" s="6"/>
      <c r="BU234" s="79"/>
      <c r="BV234" s="6"/>
      <c r="BW234" s="6"/>
      <c r="BX234" s="6"/>
      <c r="BY234" s="6"/>
      <c r="BZ234" s="79"/>
      <c r="CA234" s="6"/>
      <c r="CB234" s="6"/>
      <c r="CC234" s="6"/>
      <c r="CD234" s="6"/>
      <c r="CE234" s="36">
        <f>CE226+CE230</f>
        <v>-3662</v>
      </c>
      <c r="CF234" s="43"/>
      <c r="CG234" s="43"/>
      <c r="CH234" s="43"/>
      <c r="CI234" s="43"/>
      <c r="CJ234" s="36">
        <f t="shared" ref="CJ234:CT234" si="715">CJ226+CJ230</f>
        <v>-3684</v>
      </c>
      <c r="CK234" s="43">
        <f t="shared" si="715"/>
        <v>-981</v>
      </c>
      <c r="CL234" s="43">
        <f t="shared" si="715"/>
        <v>-913</v>
      </c>
      <c r="CM234" s="43">
        <f t="shared" si="715"/>
        <v>-997</v>
      </c>
      <c r="CN234" s="43">
        <f t="shared" si="715"/>
        <v>-892</v>
      </c>
      <c r="CO234" s="36">
        <f t="shared" si="715"/>
        <v>-3783</v>
      </c>
      <c r="CP234" s="43">
        <f t="shared" si="715"/>
        <v>-989</v>
      </c>
      <c r="CQ234" s="43">
        <f t="shared" si="715"/>
        <v>-1038</v>
      </c>
      <c r="CR234" s="43">
        <f t="shared" si="715"/>
        <v>-1009</v>
      </c>
      <c r="CS234" s="43">
        <f t="shared" si="715"/>
        <v>-953</v>
      </c>
      <c r="CT234" s="36">
        <f t="shared" si="715"/>
        <v>-3989</v>
      </c>
      <c r="CU234" s="43"/>
      <c r="CV234" s="43"/>
      <c r="CW234" s="43"/>
      <c r="CX234" s="43"/>
      <c r="CY234" s="36"/>
      <c r="CZ234" s="43"/>
      <c r="DA234" s="43"/>
      <c r="DB234" s="43"/>
      <c r="DC234" s="43"/>
      <c r="DD234" s="36"/>
      <c r="DE234" s="43"/>
      <c r="DF234" s="43"/>
      <c r="DG234" s="43"/>
      <c r="DH234" s="43"/>
      <c r="DI234" s="36"/>
    </row>
    <row r="235" spans="1:113" ht="12" hidden="1" customHeight="1" outlineLevel="1">
      <c r="A235" s="219"/>
      <c r="B235" s="491" t="s">
        <v>348</v>
      </c>
      <c r="C235" s="79"/>
      <c r="D235" s="6"/>
      <c r="E235" s="79"/>
      <c r="F235" s="6"/>
      <c r="G235" s="79"/>
      <c r="H235" s="6"/>
      <c r="I235" s="79"/>
      <c r="J235" s="6"/>
      <c r="K235" s="79"/>
      <c r="L235" s="6"/>
      <c r="M235" s="79"/>
      <c r="N235" s="6"/>
      <c r="O235" s="79"/>
      <c r="P235" s="6"/>
      <c r="Q235" s="79"/>
      <c r="R235" s="6"/>
      <c r="S235" s="6"/>
      <c r="T235" s="6"/>
      <c r="U235" s="6"/>
      <c r="V235" s="79"/>
      <c r="W235" s="6"/>
      <c r="X235" s="6"/>
      <c r="Y235" s="6"/>
      <c r="Z235" s="6"/>
      <c r="AA235" s="79"/>
      <c r="AB235" s="79"/>
      <c r="AC235" s="6"/>
      <c r="AD235" s="6"/>
      <c r="AE235" s="6"/>
      <c r="AF235" s="6"/>
      <c r="AG235" s="79"/>
      <c r="AH235" s="6"/>
      <c r="AI235" s="6"/>
      <c r="AJ235" s="6"/>
      <c r="AK235" s="6"/>
      <c r="AL235" s="79"/>
      <c r="AM235" s="6"/>
      <c r="AN235" s="6"/>
      <c r="AO235" s="6"/>
      <c r="AP235" s="6"/>
      <c r="AQ235" s="79"/>
      <c r="AR235" s="6"/>
      <c r="AS235" s="6"/>
      <c r="AT235" s="6"/>
      <c r="AU235" s="6"/>
      <c r="AV235" s="79"/>
      <c r="AW235" s="6"/>
      <c r="AX235" s="6"/>
      <c r="AY235" s="6"/>
      <c r="AZ235" s="6"/>
      <c r="BA235" s="79"/>
      <c r="BB235" s="6"/>
      <c r="BC235" s="6"/>
      <c r="BD235" s="6"/>
      <c r="BE235" s="6"/>
      <c r="BF235" s="79"/>
      <c r="BG235" s="6"/>
      <c r="BH235" s="6"/>
      <c r="BI235" s="6"/>
      <c r="BJ235" s="6"/>
      <c r="BK235" s="79"/>
      <c r="BL235" s="6"/>
      <c r="BM235" s="6"/>
      <c r="BN235" s="6"/>
      <c r="BO235" s="6"/>
      <c r="BP235" s="79"/>
      <c r="BQ235" s="6"/>
      <c r="BR235" s="6"/>
      <c r="BS235" s="6"/>
      <c r="BT235" s="6"/>
      <c r="BU235" s="79"/>
      <c r="BV235" s="6"/>
      <c r="BW235" s="6"/>
      <c r="BX235" s="6"/>
      <c r="BY235" s="6"/>
      <c r="BZ235" s="79"/>
      <c r="CA235" s="6"/>
      <c r="CB235" s="6"/>
      <c r="CC235" s="6"/>
      <c r="CD235" s="6"/>
      <c r="CE235" s="232" t="s">
        <v>126</v>
      </c>
      <c r="CF235" s="27"/>
      <c r="CG235" s="27"/>
      <c r="CH235" s="27"/>
      <c r="CI235" s="27"/>
      <c r="CJ235" s="112">
        <f>CJ234/CE234-1</f>
        <v>6.007646095030017E-3</v>
      </c>
      <c r="CK235" s="213" t="s">
        <v>126</v>
      </c>
      <c r="CL235" s="213" t="s">
        <v>126</v>
      </c>
      <c r="CM235" s="213" t="s">
        <v>126</v>
      </c>
      <c r="CN235" s="213" t="s">
        <v>126</v>
      </c>
      <c r="CO235" s="112">
        <f>CO234/CJ234-1</f>
        <v>2.6872964169381008E-2</v>
      </c>
      <c r="CP235" s="27">
        <f>CP234/CK234-1</f>
        <v>8.1549439347603503E-3</v>
      </c>
      <c r="CQ235" s="27">
        <f>CQ234/CL234-1</f>
        <v>0.13691128148959475</v>
      </c>
      <c r="CR235" s="27">
        <f>CR234/CM234-1</f>
        <v>1.2036108324974926E-2</v>
      </c>
      <c r="CS235" s="213" t="s">
        <v>126</v>
      </c>
      <c r="CT235" s="112">
        <f>CT234/CO234-1</f>
        <v>5.4454136928363761E-2</v>
      </c>
      <c r="CU235" s="27"/>
      <c r="CV235" s="27"/>
      <c r="CW235" s="27"/>
      <c r="CX235" s="27"/>
      <c r="CY235" s="112"/>
      <c r="CZ235" s="27"/>
      <c r="DA235" s="27"/>
      <c r="DB235" s="27"/>
      <c r="DC235" s="27"/>
      <c r="DD235" s="112"/>
      <c r="DE235" s="27"/>
      <c r="DF235" s="27"/>
      <c r="DG235" s="27"/>
      <c r="DH235" s="27"/>
      <c r="DI235" s="112"/>
    </row>
    <row r="236" spans="1:113" s="529" customFormat="1" ht="12" hidden="1" customHeight="1" outlineLevel="1">
      <c r="A236" s="564"/>
      <c r="B236" s="526" t="s">
        <v>217</v>
      </c>
      <c r="C236" s="112"/>
      <c r="D236" s="27"/>
      <c r="E236" s="112"/>
      <c r="F236" s="27"/>
      <c r="G236" s="112"/>
      <c r="H236" s="27"/>
      <c r="I236" s="112"/>
      <c r="J236" s="27"/>
      <c r="K236" s="112"/>
      <c r="L236" s="27"/>
      <c r="M236" s="112"/>
      <c r="N236" s="27"/>
      <c r="O236" s="112"/>
      <c r="P236" s="27"/>
      <c r="Q236" s="112"/>
      <c r="R236" s="27"/>
      <c r="S236" s="27"/>
      <c r="T236" s="27"/>
      <c r="U236" s="27"/>
      <c r="V236" s="112"/>
      <c r="W236" s="27"/>
      <c r="X236" s="27"/>
      <c r="Y236" s="27"/>
      <c r="Z236" s="27"/>
      <c r="AA236" s="112"/>
      <c r="AB236" s="112"/>
      <c r="AC236" s="27"/>
      <c r="AD236" s="27"/>
      <c r="AE236" s="27"/>
      <c r="AF236" s="27"/>
      <c r="AG236" s="112"/>
      <c r="AH236" s="27"/>
      <c r="AI236" s="27"/>
      <c r="AJ236" s="27"/>
      <c r="AK236" s="27"/>
      <c r="AL236" s="112"/>
      <c r="AM236" s="27"/>
      <c r="AN236" s="27"/>
      <c r="AO236" s="27"/>
      <c r="AP236" s="27"/>
      <c r="AQ236" s="112"/>
      <c r="AR236" s="27"/>
      <c r="AS236" s="27"/>
      <c r="AT236" s="27"/>
      <c r="AU236" s="27"/>
      <c r="AV236" s="112"/>
      <c r="AW236" s="27"/>
      <c r="AX236" s="27"/>
      <c r="AY236" s="27"/>
      <c r="AZ236" s="27"/>
      <c r="BA236" s="112"/>
      <c r="BB236" s="27"/>
      <c r="BC236" s="27"/>
      <c r="BD236" s="27"/>
      <c r="BE236" s="27"/>
      <c r="BF236" s="112"/>
      <c r="BG236" s="27"/>
      <c r="BH236" s="27"/>
      <c r="BI236" s="27"/>
      <c r="BJ236" s="27"/>
      <c r="BK236" s="112"/>
      <c r="BL236" s="27"/>
      <c r="BM236" s="27"/>
      <c r="BN236" s="27"/>
      <c r="BO236" s="27"/>
      <c r="BP236" s="112"/>
      <c r="BQ236" s="27"/>
      <c r="BR236" s="27"/>
      <c r="BS236" s="27"/>
      <c r="BT236" s="27"/>
      <c r="BU236" s="112"/>
      <c r="BV236" s="27"/>
      <c r="BW236" s="27"/>
      <c r="BX236" s="27"/>
      <c r="BY236" s="27"/>
      <c r="BZ236" s="112"/>
      <c r="CA236" s="27"/>
      <c r="CB236" s="27"/>
      <c r="CC236" s="27"/>
      <c r="CD236" s="27"/>
      <c r="CE236" s="112">
        <f>-CE234/CE182</f>
        <v>0.16947426878933727</v>
      </c>
      <c r="CF236" s="27"/>
      <c r="CG236" s="27"/>
      <c r="CH236" s="27"/>
      <c r="CI236" s="27"/>
      <c r="CJ236" s="112">
        <f t="shared" ref="CJ236:CT236" si="716">-CJ234/CJ182</f>
        <v>0.17218171620863712</v>
      </c>
      <c r="CK236" s="27">
        <f t="shared" si="716"/>
        <v>0.20327393286365519</v>
      </c>
      <c r="CL236" s="27">
        <f t="shared" si="716"/>
        <v>0.17628885885306045</v>
      </c>
      <c r="CM236" s="27">
        <f t="shared" si="716"/>
        <v>0.20497532894736842</v>
      </c>
      <c r="CN236" s="27">
        <f t="shared" si="716"/>
        <v>0.18966617052944929</v>
      </c>
      <c r="CO236" s="112">
        <f t="shared" si="716"/>
        <v>0.19328632740649909</v>
      </c>
      <c r="CP236" s="27">
        <f t="shared" si="716"/>
        <v>0.19701195219123507</v>
      </c>
      <c r="CQ236" s="27">
        <f t="shared" si="716"/>
        <v>0.18427125865435826</v>
      </c>
      <c r="CR236" s="27">
        <f t="shared" si="716"/>
        <v>0.20075606844409072</v>
      </c>
      <c r="CS236" s="27">
        <f t="shared" si="716"/>
        <v>0.19722682119205298</v>
      </c>
      <c r="CT236" s="112">
        <f t="shared" si="716"/>
        <v>0.19448101018965433</v>
      </c>
      <c r="CU236" s="27"/>
      <c r="CV236" s="27"/>
      <c r="CW236" s="27"/>
      <c r="CX236" s="27"/>
      <c r="CY236" s="112"/>
      <c r="CZ236" s="27"/>
      <c r="DA236" s="27"/>
      <c r="DB236" s="27"/>
      <c r="DC236" s="27"/>
      <c r="DD236" s="112"/>
      <c r="DE236" s="27"/>
      <c r="DF236" s="27"/>
      <c r="DG236" s="27"/>
      <c r="DH236" s="27"/>
      <c r="DI236" s="112"/>
    </row>
    <row r="237" spans="1:113" ht="12" hidden="1" customHeight="1" outlineLevel="1">
      <c r="A237" s="219"/>
      <c r="B237" s="491" t="s">
        <v>376</v>
      </c>
      <c r="C237" s="79"/>
      <c r="D237" s="6"/>
      <c r="E237" s="79"/>
      <c r="F237" s="6"/>
      <c r="G237" s="79"/>
      <c r="H237" s="6"/>
      <c r="I237" s="79"/>
      <c r="J237" s="6"/>
      <c r="K237" s="79"/>
      <c r="L237" s="6"/>
      <c r="M237" s="79"/>
      <c r="N237" s="6"/>
      <c r="O237" s="79"/>
      <c r="P237" s="6"/>
      <c r="Q237" s="79"/>
      <c r="R237" s="6"/>
      <c r="S237" s="6"/>
      <c r="T237" s="6"/>
      <c r="U237" s="6"/>
      <c r="V237" s="79"/>
      <c r="W237" s="6"/>
      <c r="X237" s="6"/>
      <c r="Y237" s="6"/>
      <c r="Z237" s="6"/>
      <c r="AA237" s="79"/>
      <c r="AB237" s="79"/>
      <c r="AC237" s="6"/>
      <c r="AD237" s="6"/>
      <c r="AE237" s="6"/>
      <c r="AF237" s="6"/>
      <c r="AG237" s="79"/>
      <c r="AH237" s="6"/>
      <c r="AI237" s="6"/>
      <c r="AJ237" s="6"/>
      <c r="AK237" s="6"/>
      <c r="AL237" s="79"/>
      <c r="AM237" s="6"/>
      <c r="AN237" s="6"/>
      <c r="AO237" s="6"/>
      <c r="AP237" s="6"/>
      <c r="AQ237" s="79"/>
      <c r="AR237" s="6"/>
      <c r="AS237" s="6"/>
      <c r="AT237" s="6"/>
      <c r="AU237" s="6"/>
      <c r="AV237" s="79"/>
      <c r="AW237" s="6"/>
      <c r="AX237" s="6"/>
      <c r="AY237" s="6"/>
      <c r="AZ237" s="6"/>
      <c r="BA237" s="79"/>
      <c r="BB237" s="6"/>
      <c r="BC237" s="6"/>
      <c r="BD237" s="6"/>
      <c r="BE237" s="6"/>
      <c r="BF237" s="79"/>
      <c r="BG237" s="6"/>
      <c r="BH237" s="6"/>
      <c r="BI237" s="6"/>
      <c r="BJ237" s="6"/>
      <c r="BK237" s="79"/>
      <c r="BL237" s="6"/>
      <c r="BM237" s="6"/>
      <c r="BN237" s="6"/>
      <c r="BO237" s="6"/>
      <c r="BP237" s="79"/>
      <c r="BQ237" s="6"/>
      <c r="BR237" s="6"/>
      <c r="BS237" s="6"/>
      <c r="BT237" s="6"/>
      <c r="BU237" s="79"/>
      <c r="BV237" s="6"/>
      <c r="BW237" s="6"/>
      <c r="BX237" s="6"/>
      <c r="BY237" s="6"/>
      <c r="BZ237" s="79"/>
      <c r="CA237" s="6"/>
      <c r="CB237" s="6"/>
      <c r="CC237" s="6"/>
      <c r="CD237" s="6"/>
      <c r="CE237" s="596" t="s">
        <v>126</v>
      </c>
      <c r="CF237" s="568"/>
      <c r="CG237" s="568"/>
      <c r="CH237" s="568"/>
      <c r="CI237" s="568"/>
      <c r="CJ237" s="567">
        <f>(CJ236-CE236)*100*100</f>
        <v>27.074474192998466</v>
      </c>
      <c r="CK237" s="213" t="s">
        <v>126</v>
      </c>
      <c r="CL237" s="213" t="s">
        <v>126</v>
      </c>
      <c r="CM237" s="213" t="s">
        <v>126</v>
      </c>
      <c r="CN237" s="213" t="s">
        <v>126</v>
      </c>
      <c r="CO237" s="567">
        <f>(CO236-CJ236)*100*100</f>
        <v>211.04611197861973</v>
      </c>
      <c r="CP237" s="568">
        <f>(CP236-CK236)*100*100</f>
        <v>-62.619806724201197</v>
      </c>
      <c r="CQ237" s="568">
        <f>(CQ236-CL236)*100*100</f>
        <v>79.823998012978066</v>
      </c>
      <c r="CR237" s="568">
        <f>(CR236-CM236)*100*100</f>
        <v>-42.192605032776996</v>
      </c>
      <c r="CS237" s="213" t="s">
        <v>126</v>
      </c>
      <c r="CT237" s="567">
        <f>(CT236-CO236)*100*100</f>
        <v>11.946827831552376</v>
      </c>
      <c r="CU237" s="568"/>
      <c r="CV237" s="568"/>
      <c r="CW237" s="568"/>
      <c r="CX237" s="568"/>
      <c r="CY237" s="567"/>
      <c r="CZ237" s="568"/>
      <c r="DA237" s="568"/>
      <c r="DB237" s="568"/>
      <c r="DC237" s="568"/>
      <c r="DD237" s="567"/>
      <c r="DE237" s="568"/>
      <c r="DF237" s="568"/>
      <c r="DG237" s="568"/>
      <c r="DH237" s="568"/>
      <c r="DI237" s="567"/>
    </row>
    <row r="238" spans="1:113" ht="12" hidden="1" customHeight="1" outlineLevel="1">
      <c r="A238" s="219"/>
      <c r="B238" s="597"/>
      <c r="C238" s="79"/>
      <c r="D238" s="6"/>
      <c r="E238" s="79"/>
      <c r="F238" s="6"/>
      <c r="G238" s="79"/>
      <c r="H238" s="6"/>
      <c r="I238" s="79"/>
      <c r="J238" s="6"/>
      <c r="K238" s="79"/>
      <c r="L238" s="6"/>
      <c r="M238" s="79"/>
      <c r="N238" s="6"/>
      <c r="O238" s="79"/>
      <c r="P238" s="6"/>
      <c r="Q238" s="79"/>
      <c r="R238" s="6"/>
      <c r="S238" s="6"/>
      <c r="T238" s="6"/>
      <c r="U238" s="6"/>
      <c r="V238" s="79"/>
      <c r="W238" s="6"/>
      <c r="X238" s="6"/>
      <c r="Y238" s="6"/>
      <c r="Z238" s="6"/>
      <c r="AA238" s="79"/>
      <c r="AB238" s="79"/>
      <c r="AC238" s="6"/>
      <c r="AD238" s="6"/>
      <c r="AE238" s="6"/>
      <c r="AF238" s="6"/>
      <c r="AG238" s="79"/>
      <c r="AH238" s="6"/>
      <c r="AI238" s="6"/>
      <c r="AJ238" s="6"/>
      <c r="AK238" s="6"/>
      <c r="AL238" s="79"/>
      <c r="AM238" s="6"/>
      <c r="AN238" s="6"/>
      <c r="AO238" s="6"/>
      <c r="AP238" s="6"/>
      <c r="AQ238" s="79"/>
      <c r="AR238" s="6"/>
      <c r="AS238" s="6"/>
      <c r="AT238" s="6"/>
      <c r="AU238" s="6"/>
      <c r="AV238" s="79"/>
      <c r="AW238" s="6"/>
      <c r="AX238" s="6"/>
      <c r="AY238" s="6"/>
      <c r="AZ238" s="6"/>
      <c r="BA238" s="79"/>
      <c r="BB238" s="6"/>
      <c r="BC238" s="6"/>
      <c r="BD238" s="6"/>
      <c r="BE238" s="6"/>
      <c r="BF238" s="79"/>
      <c r="BG238" s="6"/>
      <c r="BH238" s="6"/>
      <c r="BI238" s="6"/>
      <c r="BJ238" s="6"/>
      <c r="BK238" s="79"/>
      <c r="BL238" s="6"/>
      <c r="BM238" s="6"/>
      <c r="BN238" s="6"/>
      <c r="BO238" s="6"/>
      <c r="BP238" s="79"/>
      <c r="BQ238" s="6"/>
      <c r="BR238" s="6"/>
      <c r="BS238" s="6"/>
      <c r="BT238" s="6"/>
      <c r="BU238" s="79"/>
      <c r="BV238" s="6"/>
      <c r="BW238" s="6"/>
      <c r="BX238" s="6"/>
      <c r="BY238" s="6"/>
      <c r="BZ238" s="79"/>
      <c r="CA238" s="6"/>
      <c r="CB238" s="6"/>
      <c r="CC238" s="6"/>
      <c r="CD238" s="6"/>
      <c r="CE238" s="79"/>
      <c r="CF238" s="6"/>
      <c r="CG238" s="6"/>
      <c r="CH238" s="6"/>
      <c r="CI238" s="6"/>
      <c r="CJ238" s="79"/>
      <c r="CK238" s="6"/>
      <c r="CL238" s="6"/>
      <c r="CM238" s="6"/>
      <c r="CN238" s="6"/>
      <c r="CO238" s="79"/>
      <c r="CP238" s="6"/>
      <c r="CS238" s="6"/>
      <c r="CT238" s="79"/>
      <c r="CU238" s="591"/>
      <c r="CV238" s="591"/>
      <c r="CW238" s="591"/>
      <c r="CX238" s="591"/>
      <c r="CY238" s="590"/>
      <c r="CZ238" s="591"/>
      <c r="DA238" s="591"/>
      <c r="DB238" s="6"/>
      <c r="DC238" s="6"/>
      <c r="DD238" s="79"/>
      <c r="DE238" s="591"/>
      <c r="DF238" s="591"/>
      <c r="DG238" s="6"/>
      <c r="DH238" s="6"/>
      <c r="DI238" s="79"/>
    </row>
    <row r="239" spans="1:113" ht="12" hidden="1" customHeight="1" outlineLevel="1">
      <c r="A239" s="219"/>
      <c r="B239" s="17" t="s">
        <v>381</v>
      </c>
      <c r="C239" s="79"/>
      <c r="D239" s="6"/>
      <c r="E239" s="79"/>
      <c r="F239" s="6"/>
      <c r="G239" s="79"/>
      <c r="H239" s="6"/>
      <c r="I239" s="79"/>
      <c r="J239" s="6"/>
      <c r="K239" s="79"/>
      <c r="L239" s="6"/>
      <c r="M239" s="79"/>
      <c r="N239" s="6"/>
      <c r="O239" s="79"/>
      <c r="P239" s="6"/>
      <c r="Q239" s="79"/>
      <c r="R239" s="6"/>
      <c r="S239" s="6"/>
      <c r="T239" s="6"/>
      <c r="U239" s="6"/>
      <c r="V239" s="79"/>
      <c r="W239" s="6"/>
      <c r="X239" s="6"/>
      <c r="Y239" s="6"/>
      <c r="Z239" s="6"/>
      <c r="AA239" s="79"/>
      <c r="AB239" s="79"/>
      <c r="AC239" s="6"/>
      <c r="AD239" s="6"/>
      <c r="AE239" s="6"/>
      <c r="AF239" s="6"/>
      <c r="AG239" s="79"/>
      <c r="AH239" s="6"/>
      <c r="AI239" s="6"/>
      <c r="AJ239" s="6"/>
      <c r="AK239" s="6"/>
      <c r="AL239" s="79"/>
      <c r="AM239" s="6"/>
      <c r="AN239" s="6"/>
      <c r="AO239" s="6"/>
      <c r="AP239" s="6"/>
      <c r="AQ239" s="79"/>
      <c r="AR239" s="6"/>
      <c r="AS239" s="6"/>
      <c r="AT239" s="6"/>
      <c r="AU239" s="6"/>
      <c r="AV239" s="79"/>
      <c r="AW239" s="6"/>
      <c r="AX239" s="6"/>
      <c r="AY239" s="6"/>
      <c r="AZ239" s="6"/>
      <c r="BA239" s="79"/>
      <c r="BB239" s="6"/>
      <c r="BC239" s="6"/>
      <c r="BD239" s="6"/>
      <c r="BE239" s="6"/>
      <c r="BF239" s="79"/>
      <c r="BG239" s="6"/>
      <c r="BH239" s="6"/>
      <c r="BI239" s="6"/>
      <c r="BJ239" s="6"/>
      <c r="BK239" s="79"/>
      <c r="BL239" s="6"/>
      <c r="BM239" s="6"/>
      <c r="BN239" s="6"/>
      <c r="BO239" s="6"/>
      <c r="BP239" s="79"/>
      <c r="BQ239" s="6"/>
      <c r="BR239" s="6"/>
      <c r="BS239" s="6"/>
      <c r="BT239" s="6"/>
      <c r="BU239" s="79"/>
      <c r="BV239" s="6"/>
      <c r="BW239" s="6"/>
      <c r="BX239" s="6"/>
      <c r="BY239" s="6"/>
      <c r="BZ239" s="79"/>
      <c r="CA239" s="6"/>
      <c r="CB239" s="6"/>
      <c r="CC239" s="6"/>
      <c r="CD239" s="6"/>
      <c r="CE239" s="36">
        <v>-5</v>
      </c>
      <c r="CF239" s="43"/>
      <c r="CG239" s="43"/>
      <c r="CH239" s="43"/>
      <c r="CI239" s="43"/>
      <c r="CJ239" s="36">
        <v>-9</v>
      </c>
      <c r="CK239" s="43">
        <v>2</v>
      </c>
      <c r="CL239" s="43">
        <v>-1</v>
      </c>
      <c r="CM239" s="43">
        <v>-2</v>
      </c>
      <c r="CN239" s="43">
        <f>CO239-CM239-CL239-CK239</f>
        <v>-1</v>
      </c>
      <c r="CO239" s="36">
        <v>-2</v>
      </c>
      <c r="CP239" s="43">
        <v>0</v>
      </c>
      <c r="CQ239" s="43">
        <v>-1</v>
      </c>
      <c r="CR239" s="43">
        <v>0</v>
      </c>
      <c r="CS239" s="43">
        <f>CT239-CR239-CQ239-CP239</f>
        <v>-13</v>
      </c>
      <c r="CT239" s="36">
        <v>-14</v>
      </c>
      <c r="CU239" s="43"/>
      <c r="CV239" s="43"/>
      <c r="CW239" s="43"/>
      <c r="CX239" s="43"/>
      <c r="CY239" s="36"/>
      <c r="CZ239" s="43"/>
      <c r="DA239" s="43"/>
      <c r="DB239" s="43"/>
      <c r="DC239" s="43"/>
      <c r="DD239" s="36"/>
      <c r="DE239" s="43"/>
      <c r="DF239" s="43"/>
      <c r="DG239" s="43"/>
      <c r="DH239" s="43"/>
      <c r="DI239" s="36"/>
    </row>
    <row r="240" spans="1:113" ht="12" hidden="1" customHeight="1" outlineLevel="1">
      <c r="A240" s="219"/>
      <c r="B240" s="17"/>
      <c r="C240" s="79"/>
      <c r="D240" s="6"/>
      <c r="E240" s="79"/>
      <c r="F240" s="6"/>
      <c r="G240" s="79"/>
      <c r="H240" s="6"/>
      <c r="I240" s="79"/>
      <c r="J240" s="6"/>
      <c r="K240" s="79"/>
      <c r="L240" s="6"/>
      <c r="M240" s="79"/>
      <c r="N240" s="6"/>
      <c r="O240" s="79"/>
      <c r="P240" s="6"/>
      <c r="Q240" s="79"/>
      <c r="R240" s="6"/>
      <c r="S240" s="6"/>
      <c r="T240" s="6"/>
      <c r="U240" s="6"/>
      <c r="V240" s="79"/>
      <c r="W240" s="6"/>
      <c r="X240" s="6"/>
      <c r="Y240" s="6"/>
      <c r="Z240" s="6"/>
      <c r="AA240" s="79"/>
      <c r="AB240" s="79"/>
      <c r="AC240" s="6"/>
      <c r="AD240" s="6"/>
      <c r="AE240" s="6"/>
      <c r="AF240" s="6"/>
      <c r="AG240" s="79"/>
      <c r="AH240" s="6"/>
      <c r="AI240" s="6"/>
      <c r="AJ240" s="6"/>
      <c r="AK240" s="6"/>
      <c r="AL240" s="79"/>
      <c r="AM240" s="6"/>
      <c r="AN240" s="6"/>
      <c r="AO240" s="6"/>
      <c r="AP240" s="6"/>
      <c r="AQ240" s="79"/>
      <c r="AR240" s="6"/>
      <c r="AS240" s="6"/>
      <c r="AT240" s="6"/>
      <c r="AU240" s="6"/>
      <c r="AV240" s="79"/>
      <c r="AW240" s="6"/>
      <c r="AX240" s="6"/>
      <c r="AY240" s="6"/>
      <c r="AZ240" s="6"/>
      <c r="BA240" s="79"/>
      <c r="BB240" s="6"/>
      <c r="BC240" s="6"/>
      <c r="BD240" s="6"/>
      <c r="BE240" s="6"/>
      <c r="BF240" s="79"/>
      <c r="BG240" s="6"/>
      <c r="BH240" s="6"/>
      <c r="BI240" s="6"/>
      <c r="BJ240" s="6"/>
      <c r="BK240" s="79"/>
      <c r="BL240" s="6"/>
      <c r="BM240" s="6"/>
      <c r="BN240" s="6"/>
      <c r="BO240" s="6"/>
      <c r="BP240" s="79"/>
      <c r="BQ240" s="6"/>
      <c r="BR240" s="6"/>
      <c r="BS240" s="6"/>
      <c r="BT240" s="6"/>
      <c r="BU240" s="79"/>
      <c r="BV240" s="6"/>
      <c r="BW240" s="6"/>
      <c r="BX240" s="6"/>
      <c r="BY240" s="6"/>
      <c r="BZ240" s="79"/>
      <c r="CA240" s="6"/>
      <c r="CB240" s="6"/>
      <c r="CC240" s="6"/>
      <c r="CD240" s="6"/>
      <c r="CE240" s="79"/>
      <c r="CF240" s="6"/>
      <c r="CG240" s="6"/>
      <c r="CH240" s="6"/>
      <c r="CI240" s="6"/>
      <c r="CJ240" s="79"/>
      <c r="CK240" s="6"/>
      <c r="CL240" s="6"/>
      <c r="CM240" s="6"/>
      <c r="CN240" s="6"/>
      <c r="CO240" s="79"/>
      <c r="CP240" s="6"/>
      <c r="CQ240" s="6"/>
      <c r="CR240" s="6"/>
      <c r="CS240" s="6"/>
      <c r="CT240" s="79"/>
      <c r="CU240" s="6"/>
      <c r="CV240" s="6"/>
      <c r="CW240" s="6"/>
      <c r="CX240" s="6"/>
      <c r="CY240" s="79"/>
      <c r="CZ240" s="6"/>
      <c r="DA240" s="6"/>
      <c r="DB240" s="6"/>
      <c r="DC240" s="6"/>
      <c r="DD240" s="79"/>
      <c r="DE240" s="6"/>
      <c r="DF240" s="6"/>
      <c r="DG240" s="6"/>
      <c r="DH240" s="6"/>
      <c r="DI240" s="79"/>
    </row>
    <row r="241" spans="1:113" s="7" customFormat="1" ht="12" customHeight="1" collapsed="1">
      <c r="A241" s="239" t="str">
        <f t="shared" si="709"/>
        <v xml:space="preserve"> </v>
      </c>
      <c r="B241" s="20" t="s">
        <v>169</v>
      </c>
      <c r="C241" s="36"/>
      <c r="D241" s="43"/>
      <c r="E241" s="36"/>
      <c r="F241" s="43"/>
      <c r="G241" s="36"/>
      <c r="H241" s="43"/>
      <c r="I241" s="36"/>
      <c r="J241" s="43"/>
      <c r="K241" s="36"/>
      <c r="L241" s="43"/>
      <c r="M241" s="36"/>
      <c r="N241" s="43"/>
      <c r="O241" s="36"/>
      <c r="P241" s="43"/>
      <c r="Q241" s="36"/>
      <c r="R241" s="43">
        <v>443</v>
      </c>
      <c r="S241" s="43">
        <v>356</v>
      </c>
      <c r="T241" s="43">
        <v>419</v>
      </c>
      <c r="U241" s="43">
        <v>518</v>
      </c>
      <c r="V241" s="36">
        <f>SUM(R241:U241)</f>
        <v>1736</v>
      </c>
      <c r="W241" s="43">
        <v>534</v>
      </c>
      <c r="X241" s="43">
        <v>418</v>
      </c>
      <c r="Y241" s="43">
        <v>496</v>
      </c>
      <c r="Z241" s="43">
        <v>559</v>
      </c>
      <c r="AA241" s="36">
        <f>SUM(W241:Z241)</f>
        <v>2007</v>
      </c>
      <c r="AB241" s="36"/>
      <c r="AC241" s="43">
        <v>645</v>
      </c>
      <c r="AD241" s="43">
        <v>565</v>
      </c>
      <c r="AE241" s="369">
        <v>653</v>
      </c>
      <c r="AF241" s="369">
        <v>778</v>
      </c>
      <c r="AG241" s="36">
        <f>SUM(AC241:AF241)</f>
        <v>2641</v>
      </c>
      <c r="AH241" s="43">
        <v>813</v>
      </c>
      <c r="AI241" s="43">
        <v>649</v>
      </c>
      <c r="AJ241" s="43">
        <v>729</v>
      </c>
      <c r="AK241" s="43">
        <v>888</v>
      </c>
      <c r="AL241" s="36">
        <f>SUM(AH241:AK241)</f>
        <v>3079</v>
      </c>
      <c r="AM241" s="43">
        <v>970</v>
      </c>
      <c r="AN241" s="43">
        <v>785</v>
      </c>
      <c r="AO241" s="43">
        <v>830</v>
      </c>
      <c r="AP241" s="43">
        <v>1060</v>
      </c>
      <c r="AQ241" s="36">
        <f>SUM(AM241:AP241)</f>
        <v>3645</v>
      </c>
      <c r="AR241" s="43">
        <v>1042</v>
      </c>
      <c r="AS241" s="43">
        <v>882</v>
      </c>
      <c r="AT241" s="43">
        <v>903</v>
      </c>
      <c r="AU241" s="43">
        <v>936</v>
      </c>
      <c r="AV241" s="36">
        <f>SUM(AR241:AU241)</f>
        <v>3763</v>
      </c>
      <c r="AW241" s="43">
        <v>1004</v>
      </c>
      <c r="AX241" s="43">
        <v>912</v>
      </c>
      <c r="AY241" s="43">
        <v>980</v>
      </c>
      <c r="AZ241" s="43">
        <v>979</v>
      </c>
      <c r="BA241" s="36">
        <f>SUM(AW241:AZ241)</f>
        <v>3875</v>
      </c>
      <c r="BB241" s="43">
        <v>1002</v>
      </c>
      <c r="BC241" s="43">
        <v>783</v>
      </c>
      <c r="BD241" s="43">
        <v>840</v>
      </c>
      <c r="BE241" s="43">
        <v>975</v>
      </c>
      <c r="BF241" s="36">
        <f>SUM(BB241:BE241)</f>
        <v>3600</v>
      </c>
      <c r="BG241" s="43">
        <v>1077</v>
      </c>
      <c r="BH241" s="43">
        <v>884</v>
      </c>
      <c r="BI241" s="43">
        <v>916</v>
      </c>
      <c r="BJ241" s="43">
        <v>1048</v>
      </c>
      <c r="BK241" s="36">
        <f>SUM(BG241:BJ241)</f>
        <v>3925</v>
      </c>
      <c r="BL241" s="43">
        <v>1100</v>
      </c>
      <c r="BM241" s="43">
        <v>875</v>
      </c>
      <c r="BN241" s="43">
        <v>937</v>
      </c>
      <c r="BO241" s="43">
        <v>-13</v>
      </c>
      <c r="BP241" s="36">
        <f>SUM(BL241:BO241)</f>
        <v>2899</v>
      </c>
      <c r="BQ241" s="43">
        <v>1302</v>
      </c>
      <c r="BR241" s="43">
        <v>1023</v>
      </c>
      <c r="BS241" s="43">
        <v>970</v>
      </c>
      <c r="BT241" s="43">
        <f>5089-BS241-BR241-BQ241</f>
        <v>1794</v>
      </c>
      <c r="BU241" s="36">
        <f>SUM(BQ241:BT241)</f>
        <v>5089</v>
      </c>
      <c r="BV241" s="43">
        <v>1434</v>
      </c>
      <c r="BW241" s="43">
        <v>1235</v>
      </c>
      <c r="BX241" s="43">
        <v>967</v>
      </c>
      <c r="BY241" s="43">
        <v>1478</v>
      </c>
      <c r="BZ241" s="36">
        <f>SUM(BV241:BY241)</f>
        <v>5114</v>
      </c>
      <c r="CA241" s="43">
        <v>1377</v>
      </c>
      <c r="CB241" s="43">
        <v>1497</v>
      </c>
      <c r="CC241" s="43">
        <v>1190</v>
      </c>
      <c r="CD241" s="43">
        <v>1390</v>
      </c>
      <c r="CE241" s="36">
        <f>SUM(CA241:CD241)</f>
        <v>5454</v>
      </c>
      <c r="CF241" s="43">
        <v>1434</v>
      </c>
      <c r="CG241" s="43">
        <v>1526</v>
      </c>
      <c r="CH241" s="43">
        <v>1400</v>
      </c>
      <c r="CI241" s="43">
        <v>1462</v>
      </c>
      <c r="CJ241" s="36">
        <f>SUM(CF241:CI241)</f>
        <v>5822</v>
      </c>
      <c r="CK241" s="43">
        <v>1216</v>
      </c>
      <c r="CL241" s="43">
        <v>1371</v>
      </c>
      <c r="CM241" s="369">
        <v>1103</v>
      </c>
      <c r="CN241" s="43">
        <v>1045</v>
      </c>
      <c r="CO241" s="36">
        <f>SUM(CK241:CN241)</f>
        <v>4735</v>
      </c>
      <c r="CP241" s="43">
        <v>1134</v>
      </c>
      <c r="CQ241" s="43">
        <v>1261</v>
      </c>
      <c r="CR241" s="43">
        <v>981</v>
      </c>
      <c r="CS241" s="43">
        <v>2000</v>
      </c>
      <c r="CT241" s="36">
        <f>SUM(CP241:CS241)</f>
        <v>5376</v>
      </c>
      <c r="CU241" s="43">
        <v>1170</v>
      </c>
      <c r="CV241" s="43">
        <f>(CQ241/CQ182+CV244/100/100)*CV182</f>
        <v>1181.2083968388604</v>
      </c>
      <c r="CW241" s="43">
        <f>(CR241/CR182+CW244/100/100)*CW182</f>
        <v>1032.6907707027453</v>
      </c>
      <c r="CX241" s="43">
        <f>(CS241/CS182+CX244/100/100)*CX182</f>
        <v>1517.0296329715227</v>
      </c>
      <c r="CY241" s="36">
        <f>SUM(CU241:CX241)</f>
        <v>4900.9288005131284</v>
      </c>
      <c r="CZ241" s="43">
        <f>(CU241/CU182+CZ244/100/100)*CZ182</f>
        <v>1173.335514799634</v>
      </c>
      <c r="DA241" s="43">
        <f>(CV241/CV182+DA244/100/100)*DA182</f>
        <v>1203.7650525688339</v>
      </c>
      <c r="DB241" s="43">
        <f>(CW241/CW182+DB244/100/100)*DB182</f>
        <v>1075.3248591824945</v>
      </c>
      <c r="DC241" s="43">
        <f>(CX241/CX182+DC244/100/100)*DC182</f>
        <v>1542.4439216557942</v>
      </c>
      <c r="DD241" s="36">
        <f>SUM(CZ241:DC241)</f>
        <v>4994.8693482067565</v>
      </c>
      <c r="DE241" s="43">
        <f>(CZ241/CZ182+DE244/100/100)*DE182</f>
        <v>1233.0281374246338</v>
      </c>
      <c r="DF241" s="43">
        <f>(DA241/DA182+DF244/100/100)*DF182</f>
        <v>1264.2291666800838</v>
      </c>
      <c r="DG241" s="43">
        <f>(DB241/DB182+DG244/100/100)*DG182</f>
        <v>1133.7194484574945</v>
      </c>
      <c r="DH241" s="43">
        <f>(DC241/DC182+DH244/100/100)*DH182</f>
        <v>1597.3105959007942</v>
      </c>
      <c r="DI241" s="36">
        <f>SUM(DE241:DH241)</f>
        <v>5228.2873484630063</v>
      </c>
    </row>
    <row r="242" spans="1:113" ht="12" customHeight="1">
      <c r="A242" s="219" t="str">
        <f t="shared" si="709"/>
        <v xml:space="preserve"> </v>
      </c>
      <c r="B242" s="491" t="s">
        <v>171</v>
      </c>
      <c r="C242" s="492"/>
      <c r="D242" s="522"/>
      <c r="E242" s="492"/>
      <c r="F242" s="522"/>
      <c r="G242" s="492"/>
      <c r="H242" s="522"/>
      <c r="I242" s="492"/>
      <c r="J242" s="522"/>
      <c r="K242" s="492"/>
      <c r="L242" s="522"/>
      <c r="M242" s="492"/>
      <c r="N242" s="522"/>
      <c r="O242" s="492"/>
      <c r="P242" s="522"/>
      <c r="Q242" s="492"/>
      <c r="R242" s="378" t="s">
        <v>126</v>
      </c>
      <c r="S242" s="522" t="s">
        <v>126</v>
      </c>
      <c r="T242" s="522" t="s">
        <v>126</v>
      </c>
      <c r="U242" s="522" t="s">
        <v>126</v>
      </c>
      <c r="V242" s="492" t="s">
        <v>126</v>
      </c>
      <c r="W242" s="52">
        <f>+W241/R241-1</f>
        <v>0.20541760722347635</v>
      </c>
      <c r="X242" s="52">
        <f>+X241/S241-1</f>
        <v>0.17415730337078661</v>
      </c>
      <c r="Y242" s="52">
        <f>+Y241/T241-1</f>
        <v>0.18377088305489253</v>
      </c>
      <c r="Z242" s="52">
        <f>+Z241/U241-1</f>
        <v>7.9150579150579103E-2</v>
      </c>
      <c r="AA242" s="112">
        <f>+AA241/V241-1</f>
        <v>0.15610599078341014</v>
      </c>
      <c r="AB242" s="112"/>
      <c r="AC242" s="52">
        <f>+AC241/W241-1</f>
        <v>0.2078651685393258</v>
      </c>
      <c r="AD242" s="52">
        <f>+AD241/X241-1</f>
        <v>0.35167464114832536</v>
      </c>
      <c r="AE242" s="52">
        <f>+AE241/Y241-1</f>
        <v>0.31653225806451624</v>
      </c>
      <c r="AF242" s="52">
        <f>+AF241/Z241-1</f>
        <v>0.39177101967799643</v>
      </c>
      <c r="AG242" s="112">
        <f>+AG241/AA241-1</f>
        <v>0.3158943697060288</v>
      </c>
      <c r="AH242" s="52">
        <f t="shared" ref="AH242:BP242" si="717">+AH241/AC241-1</f>
        <v>0.26046511627906987</v>
      </c>
      <c r="AI242" s="52">
        <f t="shared" si="717"/>
        <v>0.14867256637168147</v>
      </c>
      <c r="AJ242" s="52">
        <f t="shared" si="717"/>
        <v>0.11638591117917296</v>
      </c>
      <c r="AK242" s="52">
        <f t="shared" si="717"/>
        <v>0.1413881748071979</v>
      </c>
      <c r="AL242" s="112">
        <f t="shared" si="717"/>
        <v>0.16584627035213928</v>
      </c>
      <c r="AM242" s="52">
        <f t="shared" si="717"/>
        <v>0.19311193111931124</v>
      </c>
      <c r="AN242" s="52">
        <f t="shared" si="717"/>
        <v>0.20955315870570113</v>
      </c>
      <c r="AO242" s="52">
        <f t="shared" si="717"/>
        <v>0.13854595336076825</v>
      </c>
      <c r="AP242" s="52">
        <f t="shared" si="717"/>
        <v>0.19369369369369371</v>
      </c>
      <c r="AQ242" s="112">
        <f t="shared" si="717"/>
        <v>0.18382591750568356</v>
      </c>
      <c r="AR242" s="52">
        <f t="shared" si="717"/>
        <v>7.4226804123711299E-2</v>
      </c>
      <c r="AS242" s="52">
        <f t="shared" si="717"/>
        <v>0.12356687898089169</v>
      </c>
      <c r="AT242" s="52">
        <f t="shared" si="717"/>
        <v>8.7951807228915602E-2</v>
      </c>
      <c r="AU242" s="52">
        <f t="shared" si="717"/>
        <v>-0.11698113207547167</v>
      </c>
      <c r="AV242" s="112">
        <f t="shared" si="717"/>
        <v>3.2373113854595292E-2</v>
      </c>
      <c r="AW242" s="52">
        <f t="shared" si="717"/>
        <v>-3.6468330134357019E-2</v>
      </c>
      <c r="AX242" s="52">
        <f t="shared" si="717"/>
        <v>3.4013605442176909E-2</v>
      </c>
      <c r="AY242" s="52">
        <f t="shared" si="717"/>
        <v>8.5271317829457294E-2</v>
      </c>
      <c r="AZ242" s="52">
        <f t="shared" si="717"/>
        <v>4.5940170940170999E-2</v>
      </c>
      <c r="BA242" s="112">
        <f t="shared" si="717"/>
        <v>2.9763486579856391E-2</v>
      </c>
      <c r="BB242" s="52">
        <f t="shared" si="717"/>
        <v>-1.9920318725099584E-3</v>
      </c>
      <c r="BC242" s="52">
        <f t="shared" si="717"/>
        <v>-0.14144736842105265</v>
      </c>
      <c r="BD242" s="52">
        <f t="shared" si="717"/>
        <v>-0.1428571428571429</v>
      </c>
      <c r="BE242" s="52">
        <f t="shared" si="717"/>
        <v>-4.0858018386108474E-3</v>
      </c>
      <c r="BF242" s="112">
        <f t="shared" si="717"/>
        <v>-7.096774193548383E-2</v>
      </c>
      <c r="BG242" s="52">
        <f t="shared" si="717"/>
        <v>7.4850299401197695E-2</v>
      </c>
      <c r="BH242" s="52">
        <f t="shared" si="717"/>
        <v>0.12899106002554284</v>
      </c>
      <c r="BI242" s="52">
        <f t="shared" si="717"/>
        <v>9.0476190476190377E-2</v>
      </c>
      <c r="BJ242" s="52">
        <f t="shared" si="717"/>
        <v>7.4871794871794961E-2</v>
      </c>
      <c r="BK242" s="112">
        <f t="shared" si="717"/>
        <v>9.0277777777777679E-2</v>
      </c>
      <c r="BL242" s="52">
        <f t="shared" si="717"/>
        <v>2.1355617455895981E-2</v>
      </c>
      <c r="BM242" s="52">
        <f t="shared" si="717"/>
        <v>-1.0180995475113086E-2</v>
      </c>
      <c r="BN242" s="52">
        <f t="shared" si="717"/>
        <v>2.2925764192139653E-2</v>
      </c>
      <c r="BO242" s="52">
        <f t="shared" si="717"/>
        <v>-1.0124045801526718</v>
      </c>
      <c r="BP242" s="112">
        <f t="shared" si="717"/>
        <v>-0.26140127388535028</v>
      </c>
      <c r="BQ242" s="52">
        <f t="shared" ref="BQ242:CC242" si="718">+BQ241/BL241-1</f>
        <v>0.1836363636363636</v>
      </c>
      <c r="BR242" s="52">
        <f t="shared" si="718"/>
        <v>0.16914285714285704</v>
      </c>
      <c r="BS242" s="52">
        <f t="shared" si="718"/>
        <v>3.5218783351120608E-2</v>
      </c>
      <c r="BT242" s="111">
        <f t="shared" si="718"/>
        <v>-139</v>
      </c>
      <c r="BU242" s="112">
        <f t="shared" si="718"/>
        <v>0.75543290789927564</v>
      </c>
      <c r="BV242" s="52">
        <f t="shared" si="718"/>
        <v>0.10138248847926268</v>
      </c>
      <c r="BW242" s="52">
        <f t="shared" si="718"/>
        <v>0.20723362658846534</v>
      </c>
      <c r="BX242" s="52">
        <f t="shared" si="718"/>
        <v>-3.0927835051546282E-3</v>
      </c>
      <c r="BY242" s="52">
        <f t="shared" si="718"/>
        <v>-0.17614269788182835</v>
      </c>
      <c r="BZ242" s="112">
        <f t="shared" si="718"/>
        <v>4.9125564943997002E-3</v>
      </c>
      <c r="CA242" s="52">
        <f t="shared" si="718"/>
        <v>-3.9748953974895418E-2</v>
      </c>
      <c r="CB242" s="52">
        <f t="shared" si="718"/>
        <v>0.21214574898785421</v>
      </c>
      <c r="CC242" s="52">
        <f t="shared" si="718"/>
        <v>0.23061013443640133</v>
      </c>
      <c r="CD242" s="52">
        <f t="shared" ref="CD242" si="719">+CD241/BY241-1</f>
        <v>-5.953991880920162E-2</v>
      </c>
      <c r="CE242" s="112">
        <f t="shared" ref="CE242" si="720">+CE241/BZ241-1</f>
        <v>6.648416112631983E-2</v>
      </c>
      <c r="CF242" s="52">
        <f t="shared" ref="CF242" si="721">+CF241/CA241-1</f>
        <v>4.1394335511982572E-2</v>
      </c>
      <c r="CG242" s="52">
        <f t="shared" ref="CG242:CH242" si="722">+CG241/CB241-1</f>
        <v>1.9372077488309936E-2</v>
      </c>
      <c r="CH242" s="52">
        <f t="shared" si="722"/>
        <v>0.17647058823529416</v>
      </c>
      <c r="CI242" s="52">
        <f t="shared" ref="CI242" si="723">+CI241/CD241-1</f>
        <v>5.179856115107917E-2</v>
      </c>
      <c r="CJ242" s="112">
        <f t="shared" ref="CJ242:CL242" si="724">+CJ241/CE241-1</f>
        <v>6.74734140080675E-2</v>
      </c>
      <c r="CK242" s="52">
        <f t="shared" si="724"/>
        <v>-0.15202231520223153</v>
      </c>
      <c r="CL242" s="52">
        <f t="shared" si="724"/>
        <v>-0.10157273918741805</v>
      </c>
      <c r="CM242" s="52">
        <f t="shared" ref="CM242:CN242" si="725">+CM241/CH241-1</f>
        <v>-0.21214285714285719</v>
      </c>
      <c r="CN242" s="52">
        <f t="shared" si="725"/>
        <v>-0.28522571819425446</v>
      </c>
      <c r="CO242" s="112">
        <f t="shared" ref="CO242:CR242" si="726">+CO241/CJ241-1</f>
        <v>-0.18670559945036069</v>
      </c>
      <c r="CP242" s="52">
        <f t="shared" si="726"/>
        <v>-6.7434210526315819E-2</v>
      </c>
      <c r="CQ242" s="52">
        <f t="shared" si="726"/>
        <v>-8.0233406272793628E-2</v>
      </c>
      <c r="CR242" s="52">
        <f t="shared" si="726"/>
        <v>-0.11060743427017228</v>
      </c>
      <c r="CS242" s="52">
        <f t="shared" ref="CS242" si="727">+CS241/CN241-1</f>
        <v>0.9138755980861244</v>
      </c>
      <c r="CT242" s="112">
        <f t="shared" ref="CT242:CU242" si="728">+CT241/CO241-1</f>
        <v>0.13537486800422394</v>
      </c>
      <c r="CU242" s="52">
        <f t="shared" si="728"/>
        <v>3.1746031746031855E-2</v>
      </c>
      <c r="CV242" s="52">
        <f t="shared" ref="CV242" si="729">+CV241/CQ241-1</f>
        <v>-6.3276449770927501E-2</v>
      </c>
      <c r="CW242" s="52">
        <f t="shared" ref="CW242" si="730">+CW241/CR241-1</f>
        <v>5.2691917128180776E-2</v>
      </c>
      <c r="CX242" s="52">
        <f t="shared" ref="CX242" si="731">+CX241/CS241-1</f>
        <v>-0.24148518351423864</v>
      </c>
      <c r="CY242" s="112">
        <f t="shared" ref="CY242" si="732">+CY241/CT241-1</f>
        <v>-8.8368898714075828E-2</v>
      </c>
      <c r="CZ242" s="52">
        <f t="shared" ref="CZ242" si="733">+CZ241/CU241-1</f>
        <v>2.8508673501144166E-3</v>
      </c>
      <c r="DA242" s="52">
        <f t="shared" ref="DA242" si="734">+DA241/CV241-1</f>
        <v>1.9096254132919599E-2</v>
      </c>
      <c r="DB242" s="52">
        <f t="shared" ref="DB242" si="735">+DB241/CW241-1</f>
        <v>4.1284467421681903E-2</v>
      </c>
      <c r="DC242" s="52">
        <f t="shared" ref="DC242" si="736">+DC241/CX241-1</f>
        <v>1.6752664636148662E-2</v>
      </c>
      <c r="DD242" s="112">
        <f t="shared" ref="DD242" si="737">+DD241/CY241-1</f>
        <v>1.9167907047291211E-2</v>
      </c>
      <c r="DE242" s="52">
        <f t="shared" ref="DE242" si="738">+DE241/CZ241-1</f>
        <v>5.0874299696956893E-2</v>
      </c>
      <c r="DF242" s="52">
        <f t="shared" ref="DF242" si="739">+DF241/DA241-1</f>
        <v>5.0229165552048149E-2</v>
      </c>
      <c r="DG242" s="52">
        <f t="shared" ref="DG242" si="740">+DG241/DB241-1</f>
        <v>5.4304137746237879E-2</v>
      </c>
      <c r="DH242" s="52">
        <f t="shared" ref="DH242" si="741">+DH241/DC241-1</f>
        <v>3.557126030624258E-2</v>
      </c>
      <c r="DI242" s="112">
        <f t="shared" ref="DI242" si="742">+DI241/DD241-1</f>
        <v>4.6731552716198888E-2</v>
      </c>
    </row>
    <row r="243" spans="1:113" s="3" customFormat="1" ht="12" customHeight="1">
      <c r="A243" s="490" t="str">
        <f t="shared" si="709"/>
        <v xml:space="preserve"> </v>
      </c>
      <c r="B243" s="491" t="s">
        <v>170</v>
      </c>
      <c r="C243" s="550"/>
      <c r="D243" s="549"/>
      <c r="E243" s="550"/>
      <c r="F243" s="549"/>
      <c r="G243" s="550"/>
      <c r="H243" s="549"/>
      <c r="I243" s="550"/>
      <c r="J243" s="549"/>
      <c r="K243" s="550"/>
      <c r="L243" s="549"/>
      <c r="M243" s="550"/>
      <c r="N243" s="549"/>
      <c r="O243" s="550"/>
      <c r="P243" s="549"/>
      <c r="Q243" s="550"/>
      <c r="R243" s="111">
        <f t="shared" ref="R243:AA243" si="743">+R241/R182</f>
        <v>0.23279033105622701</v>
      </c>
      <c r="S243" s="111">
        <f t="shared" si="743"/>
        <v>0.20928865373309818</v>
      </c>
      <c r="T243" s="111">
        <f t="shared" si="743"/>
        <v>0.22821350762527234</v>
      </c>
      <c r="U243" s="111">
        <f t="shared" si="743"/>
        <v>0.24216923796166434</v>
      </c>
      <c r="V243" s="229">
        <f t="shared" si="743"/>
        <v>0.22905396490302152</v>
      </c>
      <c r="W243" s="111">
        <f t="shared" si="743"/>
        <v>0.24272727272727274</v>
      </c>
      <c r="X243" s="111">
        <f t="shared" si="743"/>
        <v>0.20232333010648595</v>
      </c>
      <c r="Y243" s="111">
        <f t="shared" si="743"/>
        <v>0.23080502559329921</v>
      </c>
      <c r="Z243" s="111">
        <f t="shared" si="743"/>
        <v>0.23061056105610561</v>
      </c>
      <c r="AA243" s="229">
        <f t="shared" si="743"/>
        <v>0.22706188482860051</v>
      </c>
      <c r="AB243" s="229"/>
      <c r="AC243" s="111">
        <f t="shared" ref="AC243:BH243" si="744">+AC241/AC182</f>
        <v>0.22505233775296582</v>
      </c>
      <c r="AD243" s="111">
        <f t="shared" si="744"/>
        <v>0.22035881435257409</v>
      </c>
      <c r="AE243" s="111">
        <f t="shared" si="744"/>
        <v>0.23858238947753013</v>
      </c>
      <c r="AF243" s="111">
        <f t="shared" si="744"/>
        <v>0.26011367435640254</v>
      </c>
      <c r="AG243" s="229">
        <f t="shared" si="744"/>
        <v>0.23669116329091236</v>
      </c>
      <c r="AH243" s="111">
        <f t="shared" si="744"/>
        <v>0.25933014354066986</v>
      </c>
      <c r="AI243" s="111">
        <f t="shared" si="744"/>
        <v>0.23170296322741879</v>
      </c>
      <c r="AJ243" s="111">
        <f t="shared" si="744"/>
        <v>0.23753665689149561</v>
      </c>
      <c r="AK243" s="111">
        <f t="shared" si="744"/>
        <v>0.26958105646630237</v>
      </c>
      <c r="AL243" s="229">
        <f t="shared" si="744"/>
        <v>0.25034555654931295</v>
      </c>
      <c r="AM243" s="111">
        <f t="shared" si="744"/>
        <v>0.27611727867919156</v>
      </c>
      <c r="AN243" s="111">
        <f t="shared" si="744"/>
        <v>0.24220919469299598</v>
      </c>
      <c r="AO243" s="111">
        <f t="shared" si="744"/>
        <v>0.25507068223724649</v>
      </c>
      <c r="AP243" s="111">
        <f t="shared" si="744"/>
        <v>0.28403001071811362</v>
      </c>
      <c r="AQ243" s="229">
        <f t="shared" si="744"/>
        <v>0.26528384279475981</v>
      </c>
      <c r="AR243" s="111">
        <f t="shared" si="744"/>
        <v>0.27428270597525667</v>
      </c>
      <c r="AS243" s="111">
        <f t="shared" si="744"/>
        <v>0.24866084014660275</v>
      </c>
      <c r="AT243" s="111">
        <f t="shared" si="744"/>
        <v>0.24518055932663591</v>
      </c>
      <c r="AU243" s="111">
        <f t="shared" si="744"/>
        <v>0.25060240963855424</v>
      </c>
      <c r="AV243" s="229">
        <f t="shared" si="744"/>
        <v>0.25487672717420751</v>
      </c>
      <c r="AW243" s="111">
        <f t="shared" si="744"/>
        <v>0.24906970974944181</v>
      </c>
      <c r="AX243" s="111">
        <f t="shared" si="744"/>
        <v>0.24986301369863015</v>
      </c>
      <c r="AY243" s="111">
        <f t="shared" si="744"/>
        <v>0.25912215758857748</v>
      </c>
      <c r="AZ243" s="111">
        <f t="shared" si="744"/>
        <v>0.26085798028244073</v>
      </c>
      <c r="BA243" s="229">
        <f t="shared" si="744"/>
        <v>0.25466614090431128</v>
      </c>
      <c r="BB243" s="111">
        <f t="shared" si="744"/>
        <v>0.25535168195718655</v>
      </c>
      <c r="BC243" s="111">
        <f t="shared" si="744"/>
        <v>0.22467718794835007</v>
      </c>
      <c r="BD243" s="111">
        <f t="shared" si="744"/>
        <v>0.23522822738728646</v>
      </c>
      <c r="BE243" s="111">
        <f t="shared" si="744"/>
        <v>0.25161290322580643</v>
      </c>
      <c r="BF243" s="229">
        <f t="shared" si="744"/>
        <v>0.24234264557388085</v>
      </c>
      <c r="BG243" s="111">
        <f t="shared" si="744"/>
        <v>0.25983112183353441</v>
      </c>
      <c r="BH243" s="111">
        <f t="shared" si="744"/>
        <v>0.23373876255949233</v>
      </c>
      <c r="BI243" s="111">
        <f t="shared" ref="BI243:CN243" si="745">+BI241/BI182</f>
        <v>0.24041994750656168</v>
      </c>
      <c r="BJ243" s="111">
        <f t="shared" si="745"/>
        <v>0.25162064825930375</v>
      </c>
      <c r="BK243" s="229">
        <f t="shared" si="745"/>
        <v>0.2468242988303358</v>
      </c>
      <c r="BL243" s="111">
        <f t="shared" si="745"/>
        <v>0.25623107384113675</v>
      </c>
      <c r="BM243" s="111">
        <f t="shared" si="745"/>
        <v>0.2197388247112004</v>
      </c>
      <c r="BN243" s="111">
        <f t="shared" si="745"/>
        <v>0.23548630309122895</v>
      </c>
      <c r="BO243" s="111">
        <f t="shared" si="745"/>
        <v>-5.8295964125560538E-3</v>
      </c>
      <c r="BP243" s="229">
        <f t="shared" si="745"/>
        <v>0.20015189174261253</v>
      </c>
      <c r="BQ243" s="111">
        <f t="shared" si="745"/>
        <v>0.30816568047337278</v>
      </c>
      <c r="BR243" s="111">
        <f t="shared" si="745"/>
        <v>0.25536694957563655</v>
      </c>
      <c r="BS243" s="111">
        <f t="shared" si="745"/>
        <v>0.27216610549943882</v>
      </c>
      <c r="BT243" s="111">
        <f t="shared" si="745"/>
        <v>0.33320950965824664</v>
      </c>
      <c r="BU243" s="229">
        <f t="shared" si="745"/>
        <v>0.29623377379358518</v>
      </c>
      <c r="BV243" s="111">
        <f t="shared" si="745"/>
        <v>0.29391268702602991</v>
      </c>
      <c r="BW243" s="111">
        <f t="shared" si="745"/>
        <v>0.27585436676345765</v>
      </c>
      <c r="BX243" s="111">
        <f t="shared" si="745"/>
        <v>0.24909840288511076</v>
      </c>
      <c r="BY243" s="111">
        <f t="shared" si="745"/>
        <v>0.28895405669599217</v>
      </c>
      <c r="BZ243" s="229">
        <f t="shared" si="745"/>
        <v>0.27864654279954232</v>
      </c>
      <c r="CA243" s="52">
        <f t="shared" si="745"/>
        <v>0.2499092558983666</v>
      </c>
      <c r="CB243" s="52">
        <f t="shared" si="745"/>
        <v>0.25677530017152661</v>
      </c>
      <c r="CC243" s="52">
        <f t="shared" si="745"/>
        <v>0.24221453287197231</v>
      </c>
      <c r="CD243" s="52">
        <f t="shared" si="745"/>
        <v>0.25957049486461253</v>
      </c>
      <c r="CE243" s="112">
        <f t="shared" si="745"/>
        <v>0.25240651610514625</v>
      </c>
      <c r="CF243" s="52">
        <f t="shared" si="745"/>
        <v>0.26442928268486077</v>
      </c>
      <c r="CG243" s="52">
        <f t="shared" si="745"/>
        <v>0.27128888888888891</v>
      </c>
      <c r="CH243" s="52">
        <f t="shared" si="745"/>
        <v>0.27613412228796846</v>
      </c>
      <c r="CI243" s="52">
        <f t="shared" si="745"/>
        <v>0.27699886320575978</v>
      </c>
      <c r="CJ243" s="112">
        <f t="shared" si="745"/>
        <v>0.27210693587586465</v>
      </c>
      <c r="CK243" s="52">
        <f t="shared" si="745"/>
        <v>0.25196850393700787</v>
      </c>
      <c r="CL243" s="52">
        <f t="shared" si="745"/>
        <v>0.26472291948252558</v>
      </c>
      <c r="CM243" s="52">
        <f t="shared" si="745"/>
        <v>0.22676809210526316</v>
      </c>
      <c r="CN243" s="52">
        <f t="shared" si="745"/>
        <v>0.22219859664044228</v>
      </c>
      <c r="CO243" s="112">
        <f t="shared" ref="CO243:DI243" si="746">+CO241/CO182</f>
        <v>0.24192724300020438</v>
      </c>
      <c r="CP243" s="52">
        <f t="shared" si="746"/>
        <v>0.22589641434262947</v>
      </c>
      <c r="CQ243" s="52">
        <f t="shared" si="746"/>
        <v>0.22385939996449494</v>
      </c>
      <c r="CR243" s="52">
        <f t="shared" si="746"/>
        <v>0.1951850378034222</v>
      </c>
      <c r="CS243" s="52">
        <f t="shared" si="746"/>
        <v>0.41390728476821192</v>
      </c>
      <c r="CT243" s="112">
        <f t="shared" si="746"/>
        <v>0.26210326166447273</v>
      </c>
      <c r="CU243" s="52">
        <f t="shared" si="746"/>
        <v>0.22820362785254536</v>
      </c>
      <c r="CV243" s="52">
        <f t="shared" si="746"/>
        <v>0.23385939996449495</v>
      </c>
      <c r="CW243" s="52">
        <f t="shared" si="746"/>
        <v>0.21518503780342219</v>
      </c>
      <c r="CX243" s="52">
        <f t="shared" si="746"/>
        <v>0.33640728476821191</v>
      </c>
      <c r="CY243" s="112">
        <f t="shared" si="746"/>
        <v>0.2515035480280623</v>
      </c>
      <c r="CZ243" s="52">
        <f t="shared" si="746"/>
        <v>0.24570362785254532</v>
      </c>
      <c r="DA243" s="52">
        <f t="shared" si="746"/>
        <v>0.24885939996449499</v>
      </c>
      <c r="DB243" s="52">
        <f t="shared" si="746"/>
        <v>0.2301850378034222</v>
      </c>
      <c r="DC243" s="52">
        <f t="shared" si="746"/>
        <v>0.35140728476821192</v>
      </c>
      <c r="DD243" s="112">
        <f t="shared" si="746"/>
        <v>0.26748522729198854</v>
      </c>
      <c r="DE243" s="52">
        <f t="shared" si="746"/>
        <v>0.2582036278525453</v>
      </c>
      <c r="DF243" s="52">
        <f t="shared" si="746"/>
        <v>0.26135939996449498</v>
      </c>
      <c r="DG243" s="52">
        <f t="shared" si="746"/>
        <v>0.24268503780342221</v>
      </c>
      <c r="DH243" s="52">
        <f t="shared" si="746"/>
        <v>0.36390728476821194</v>
      </c>
      <c r="DI243" s="112">
        <f t="shared" si="746"/>
        <v>0.27998522729198855</v>
      </c>
    </row>
    <row r="244" spans="1:113" s="3" customFormat="1" ht="12" customHeight="1">
      <c r="A244" s="490" t="str">
        <f t="shared" si="709"/>
        <v xml:space="preserve"> </v>
      </c>
      <c r="B244" s="491" t="s">
        <v>174</v>
      </c>
      <c r="C244" s="571"/>
      <c r="D244" s="572"/>
      <c r="E244" s="571"/>
      <c r="F244" s="572"/>
      <c r="G244" s="571"/>
      <c r="H244" s="572"/>
      <c r="I244" s="571"/>
      <c r="J244" s="572"/>
      <c r="K244" s="571"/>
      <c r="L244" s="572"/>
      <c r="M244" s="571"/>
      <c r="N244" s="572"/>
      <c r="O244" s="571"/>
      <c r="P244" s="572"/>
      <c r="Q244" s="571"/>
      <c r="R244" s="573" t="s">
        <v>126</v>
      </c>
      <c r="S244" s="572" t="s">
        <v>126</v>
      </c>
      <c r="T244" s="572" t="s">
        <v>126</v>
      </c>
      <c r="U244" s="572" t="s">
        <v>126</v>
      </c>
      <c r="V244" s="571" t="s">
        <v>126</v>
      </c>
      <c r="W244" s="572">
        <f>+(W243-R243)*100*100</f>
        <v>99.36941671045723</v>
      </c>
      <c r="X244" s="572">
        <f>+(X243-S243)*100*100</f>
        <v>-69.653236266122292</v>
      </c>
      <c r="Y244" s="572">
        <f>+(Y243-T243)*100*100</f>
        <v>25.915179680268686</v>
      </c>
      <c r="Z244" s="572">
        <f>+(Z243-U243)*100*100</f>
        <v>-115.5867690555873</v>
      </c>
      <c r="AA244" s="571">
        <f>+(AA243-V243)*100*100</f>
        <v>-19.920800744210045</v>
      </c>
      <c r="AB244" s="571"/>
      <c r="AC244" s="572">
        <f>+(AC243-W243)*100*100</f>
        <v>-176.74934974306916</v>
      </c>
      <c r="AD244" s="572">
        <f>+(AD243-X243)*100*100</f>
        <v>180.3548424608814</v>
      </c>
      <c r="AE244" s="572">
        <f>+(AE243-Y243)*100*100</f>
        <v>77.773638842309197</v>
      </c>
      <c r="AF244" s="572">
        <f>+(AF243-Z243)*100*100</f>
        <v>295.03113300296928</v>
      </c>
      <c r="AG244" s="571">
        <f>+(AG243-AA243)*100*100</f>
        <v>96.292784623118465</v>
      </c>
      <c r="AH244" s="572">
        <f t="shared" ref="AH244:CC244" si="747">+(AH243-AC243)*100*100</f>
        <v>342.77805787704034</v>
      </c>
      <c r="AI244" s="572">
        <f t="shared" si="747"/>
        <v>113.44148874844694</v>
      </c>
      <c r="AJ244" s="572">
        <f t="shared" si="747"/>
        <v>-10.4573258603452</v>
      </c>
      <c r="AK244" s="572">
        <f t="shared" si="747"/>
        <v>94.67382109899836</v>
      </c>
      <c r="AL244" s="571">
        <f t="shared" si="747"/>
        <v>136.54393258400592</v>
      </c>
      <c r="AM244" s="572">
        <f t="shared" si="747"/>
        <v>167.87135138521703</v>
      </c>
      <c r="AN244" s="572">
        <f t="shared" si="747"/>
        <v>105.06231465577191</v>
      </c>
      <c r="AO244" s="572">
        <f t="shared" si="747"/>
        <v>175.34025345750882</v>
      </c>
      <c r="AP244" s="572">
        <f t="shared" si="747"/>
        <v>144.48954251811253</v>
      </c>
      <c r="AQ244" s="571">
        <f t="shared" si="747"/>
        <v>149.38286245446852</v>
      </c>
      <c r="AR244" s="572">
        <f t="shared" si="747"/>
        <v>-18.34572703934889</v>
      </c>
      <c r="AS244" s="572">
        <f t="shared" si="747"/>
        <v>64.516454536067698</v>
      </c>
      <c r="AT244" s="572">
        <f t="shared" si="747"/>
        <v>-98.901229106105887</v>
      </c>
      <c r="AU244" s="572">
        <f t="shared" si="747"/>
        <v>-334.27601079559383</v>
      </c>
      <c r="AV244" s="571">
        <f t="shared" si="747"/>
        <v>-104.07115620552298</v>
      </c>
      <c r="AW244" s="572">
        <f t="shared" si="747"/>
        <v>-252.12996225814854</v>
      </c>
      <c r="AX244" s="572">
        <f t="shared" si="747"/>
        <v>12.021735520273968</v>
      </c>
      <c r="AY244" s="572">
        <f t="shared" si="747"/>
        <v>139.41598261941579</v>
      </c>
      <c r="AZ244" s="572">
        <f t="shared" si="747"/>
        <v>102.55570643886492</v>
      </c>
      <c r="BA244" s="571">
        <f t="shared" si="747"/>
        <v>-2.1058626989622908</v>
      </c>
      <c r="BB244" s="572">
        <f t="shared" si="747"/>
        <v>62.819722077447352</v>
      </c>
      <c r="BC244" s="572">
        <f t="shared" si="747"/>
        <v>-251.85825750280083</v>
      </c>
      <c r="BD244" s="572">
        <f t="shared" si="747"/>
        <v>-238.93930201291022</v>
      </c>
      <c r="BE244" s="572">
        <f t="shared" si="747"/>
        <v>-92.450770566342982</v>
      </c>
      <c r="BF244" s="598">
        <f>+(BF243-BA243)*100*100</f>
        <v>-123.23495330430423</v>
      </c>
      <c r="BG244" s="572">
        <f t="shared" si="747"/>
        <v>44.794398763478569</v>
      </c>
      <c r="BH244" s="572">
        <f t="shared" si="747"/>
        <v>90.615746111422652</v>
      </c>
      <c r="BI244" s="572">
        <f t="shared" si="747"/>
        <v>51.917201192752117</v>
      </c>
      <c r="BJ244" s="572">
        <f t="shared" si="747"/>
        <v>7.7450334973194757E-2</v>
      </c>
      <c r="BK244" s="598">
        <f>+(BK243-BF243)*100*100</f>
        <v>44.816532564549426</v>
      </c>
      <c r="BL244" s="599">
        <f t="shared" si="747"/>
        <v>-36.000479923976592</v>
      </c>
      <c r="BM244" s="599">
        <f t="shared" si="747"/>
        <v>-139.99937848291927</v>
      </c>
      <c r="BN244" s="599">
        <f t="shared" si="747"/>
        <v>-49.336444153327278</v>
      </c>
      <c r="BO244" s="599">
        <f t="shared" si="747"/>
        <v>-2574.5024467185976</v>
      </c>
      <c r="BP244" s="598">
        <f>+(BP243-BK243)*100*100</f>
        <v>-466.72407087723275</v>
      </c>
      <c r="BQ244" s="599">
        <f t="shared" si="747"/>
        <v>519.34606632236046</v>
      </c>
      <c r="BR244" s="599">
        <f t="shared" si="747"/>
        <v>356.28124864436143</v>
      </c>
      <c r="BS244" s="599">
        <f t="shared" si="747"/>
        <v>366.79802408209866</v>
      </c>
      <c r="BT244" s="599">
        <f t="shared" si="747"/>
        <v>3390.391060708027</v>
      </c>
      <c r="BU244" s="598">
        <f>+(BU243-BP243)*100*100</f>
        <v>960.81882050972661</v>
      </c>
      <c r="BV244" s="599">
        <f t="shared" si="747"/>
        <v>-142.52993447342877</v>
      </c>
      <c r="BW244" s="599">
        <f t="shared" si="747"/>
        <v>204.874171878211</v>
      </c>
      <c r="BX244" s="599">
        <f t="shared" si="747"/>
        <v>-230.67702614328053</v>
      </c>
      <c r="BY244" s="599">
        <f t="shared" si="747"/>
        <v>-442.55452962254475</v>
      </c>
      <c r="BZ244" s="598">
        <f>+(BZ243-BU243)*100*100</f>
        <v>-175.87230994042858</v>
      </c>
      <c r="CA244" s="599">
        <f t="shared" si="747"/>
        <v>-440.0343112766331</v>
      </c>
      <c r="CB244" s="599">
        <f t="shared" si="747"/>
        <v>-190.79066591931038</v>
      </c>
      <c r="CC244" s="599">
        <f t="shared" si="747"/>
        <v>-68.838700131384485</v>
      </c>
      <c r="CD244" s="599">
        <f t="shared" ref="CD244" si="748">+(CD243-BY243)*100*100</f>
        <v>-293.83561831379632</v>
      </c>
      <c r="CE244" s="598">
        <f>+(CE243-BZ243)*100*100</f>
        <v>-262.40026694396067</v>
      </c>
      <c r="CF244" s="599">
        <f t="shared" ref="CF244:CK244" si="749">+(CF243-CA243)*100*100</f>
        <v>145.20026786494168</v>
      </c>
      <c r="CG244" s="599">
        <f t="shared" si="749"/>
        <v>145.13588717362302</v>
      </c>
      <c r="CH244" s="599">
        <f t="shared" si="749"/>
        <v>339.19589415996154</v>
      </c>
      <c r="CI244" s="599">
        <f t="shared" si="749"/>
        <v>174.28368341147248</v>
      </c>
      <c r="CJ244" s="598">
        <f>+(CJ243-CE243)*100*100</f>
        <v>197.00419770718403</v>
      </c>
      <c r="CK244" s="599">
        <f t="shared" si="749"/>
        <v>-124.60778747852896</v>
      </c>
      <c r="CL244" s="599">
        <f>+(CL243-CG243)*100*100</f>
        <v>-65.659694063633367</v>
      </c>
      <c r="CM244" s="599">
        <f>+(CM243-CH243)*100*100</f>
        <v>-493.66030182705299</v>
      </c>
      <c r="CN244" s="599">
        <f t="shared" ref="CN244" si="750">+(CN243-CI243)*100*100</f>
        <v>-548.00266565317509</v>
      </c>
      <c r="CO244" s="598">
        <f>+(CO243-CJ243)*100*100</f>
        <v>-301.79692875660271</v>
      </c>
      <c r="CP244" s="599">
        <f t="shared" ref="CP244" si="751">+(CP243-CK243)*100*100</f>
        <v>-260.720895943784</v>
      </c>
      <c r="CQ244" s="599">
        <f>+(CQ243-CL243)*100*100</f>
        <v>-408.63519518030637</v>
      </c>
      <c r="CR244" s="599">
        <f>+(CR243-CM243)*100*100</f>
        <v>-315.83054301840968</v>
      </c>
      <c r="CS244" s="599">
        <f t="shared" ref="CS244" si="752">+(CS243-CN243)*100*100</f>
        <v>1917.0868812776966</v>
      </c>
      <c r="CT244" s="598">
        <f>+(CT243-CO243)*100*100</f>
        <v>201.76018664268352</v>
      </c>
      <c r="CU244" s="599">
        <f t="shared" ref="CU244" si="753">+(CU243-CP243)*100*100</f>
        <v>23.072135099158896</v>
      </c>
      <c r="CV244" s="600">
        <v>100</v>
      </c>
      <c r="CW244" s="600">
        <v>200</v>
      </c>
      <c r="CX244" s="600">
        <f>225-900-100</f>
        <v>-775</v>
      </c>
      <c r="CY244" s="598">
        <f>+(CY243-CT243)*100*100</f>
        <v>-105.99713636410435</v>
      </c>
      <c r="CZ244" s="600">
        <v>175</v>
      </c>
      <c r="DA244" s="600">
        <v>150</v>
      </c>
      <c r="DB244" s="600">
        <v>150</v>
      </c>
      <c r="DC244" s="600">
        <v>150</v>
      </c>
      <c r="DD244" s="598">
        <f>+(DD243-CY243)*100*100</f>
        <v>159.81679263926242</v>
      </c>
      <c r="DE244" s="600">
        <v>125</v>
      </c>
      <c r="DF244" s="600">
        <v>125</v>
      </c>
      <c r="DG244" s="600">
        <v>125</v>
      </c>
      <c r="DH244" s="600">
        <v>125</v>
      </c>
      <c r="DI244" s="598">
        <f>+(DI243-DD243)*100*100</f>
        <v>125.00000000000011</v>
      </c>
    </row>
    <row r="245" spans="1:113" ht="12" customHeight="1">
      <c r="A245" s="219"/>
      <c r="B245" s="17"/>
      <c r="C245" s="79"/>
      <c r="D245" s="6"/>
      <c r="E245" s="79"/>
      <c r="F245" s="6"/>
      <c r="G245" s="79"/>
      <c r="H245" s="6"/>
      <c r="I245" s="79"/>
      <c r="J245" s="6"/>
      <c r="K245" s="79"/>
      <c r="L245" s="6"/>
      <c r="M245" s="79"/>
      <c r="N245" s="6"/>
      <c r="O245" s="79"/>
      <c r="P245" s="6"/>
      <c r="Q245" s="79"/>
      <c r="R245" s="6"/>
      <c r="S245" s="6"/>
      <c r="T245" s="6"/>
      <c r="U245" s="6"/>
      <c r="V245" s="79"/>
      <c r="W245" s="6"/>
      <c r="X245" s="6"/>
      <c r="Y245" s="6"/>
      <c r="Z245" s="6"/>
      <c r="AA245" s="79"/>
      <c r="AB245" s="79"/>
      <c r="AC245" s="6"/>
      <c r="AD245" s="6"/>
      <c r="AE245" s="6"/>
      <c r="AF245" s="6"/>
      <c r="AG245" s="79"/>
      <c r="AH245" s="6"/>
      <c r="AI245" s="6"/>
      <c r="AJ245" s="6"/>
      <c r="AK245" s="6"/>
      <c r="AL245" s="79"/>
      <c r="AM245" s="6"/>
      <c r="AN245" s="6"/>
      <c r="AO245" s="6"/>
      <c r="AP245" s="6"/>
      <c r="AQ245" s="79"/>
      <c r="AR245" s="6"/>
      <c r="AS245" s="6"/>
      <c r="AT245" s="6"/>
      <c r="AU245" s="6"/>
      <c r="AV245" s="79"/>
      <c r="AW245" s="6"/>
      <c r="AX245" s="6"/>
      <c r="AY245" s="6"/>
      <c r="AZ245" s="6"/>
      <c r="BA245" s="79"/>
      <c r="BB245" s="6"/>
      <c r="BC245" s="6"/>
      <c r="BD245" s="6"/>
      <c r="BE245" s="6"/>
      <c r="BF245" s="79"/>
      <c r="BG245" s="6"/>
      <c r="BH245" s="6"/>
      <c r="BI245" s="6"/>
      <c r="BJ245" s="6"/>
      <c r="BK245" s="79"/>
      <c r="BL245" s="6"/>
      <c r="BM245" s="6"/>
      <c r="BN245" s="6"/>
      <c r="BO245" s="6"/>
      <c r="BP245" s="79"/>
      <c r="BQ245" s="6"/>
      <c r="BR245" s="6"/>
      <c r="BS245" s="6"/>
      <c r="BT245" s="6"/>
      <c r="BU245" s="79"/>
      <c r="BV245" s="6"/>
      <c r="BW245" s="6"/>
      <c r="BX245" s="6"/>
      <c r="BY245" s="6"/>
      <c r="BZ245" s="79"/>
      <c r="CA245" s="6"/>
      <c r="CB245" s="6"/>
      <c r="CC245" s="6"/>
      <c r="CD245" s="6"/>
      <c r="CE245" s="79"/>
      <c r="CF245" s="6"/>
      <c r="CG245" s="6"/>
      <c r="CH245" s="6"/>
      <c r="CI245" s="6"/>
      <c r="CJ245" s="79"/>
      <c r="CK245" s="6"/>
      <c r="CL245" s="6"/>
      <c r="CM245" s="6"/>
      <c r="CN245" s="6"/>
      <c r="CO245" s="79"/>
      <c r="CP245" s="6"/>
      <c r="CQ245" s="6"/>
      <c r="CR245" s="6"/>
      <c r="CS245" s="6"/>
      <c r="CT245" s="79"/>
      <c r="CU245" s="6"/>
      <c r="CV245" s="6"/>
      <c r="CW245" s="6"/>
      <c r="CX245" s="6"/>
      <c r="CY245" s="79"/>
      <c r="CZ245" s="6"/>
      <c r="DA245" s="6"/>
      <c r="DB245" s="6"/>
      <c r="DC245" s="6"/>
      <c r="DD245" s="79"/>
      <c r="DE245" s="6"/>
      <c r="DF245" s="6"/>
      <c r="DG245" s="6"/>
      <c r="DH245" s="6"/>
      <c r="DI245" s="79"/>
    </row>
    <row r="246" spans="1:113" ht="12" customHeight="1">
      <c r="A246" s="219"/>
      <c r="B246" s="17" t="s">
        <v>409</v>
      </c>
      <c r="C246" s="79"/>
      <c r="D246" s="6"/>
      <c r="E246" s="79"/>
      <c r="F246" s="6"/>
      <c r="G246" s="79"/>
      <c r="H246" s="6"/>
      <c r="I246" s="79"/>
      <c r="J246" s="6"/>
      <c r="K246" s="79"/>
      <c r="L246" s="6"/>
      <c r="M246" s="79"/>
      <c r="N246" s="6"/>
      <c r="O246" s="79"/>
      <c r="P246" s="6"/>
      <c r="Q246" s="79"/>
      <c r="R246" s="6"/>
      <c r="S246" s="6"/>
      <c r="T246" s="6"/>
      <c r="U246" s="6"/>
      <c r="V246" s="79"/>
      <c r="W246" s="6"/>
      <c r="X246" s="6"/>
      <c r="Y246" s="6"/>
      <c r="Z246" s="6"/>
      <c r="AA246" s="79"/>
      <c r="AB246" s="79"/>
      <c r="AC246" s="6"/>
      <c r="AD246" s="6"/>
      <c r="AE246" s="6"/>
      <c r="AF246" s="6"/>
      <c r="AG246" s="79"/>
      <c r="AH246" s="6"/>
      <c r="AI246" s="6"/>
      <c r="AJ246" s="6"/>
      <c r="AK246" s="6"/>
      <c r="AL246" s="79"/>
      <c r="AM246" s="6"/>
      <c r="AN246" s="6"/>
      <c r="AO246" s="6"/>
      <c r="AP246" s="6"/>
      <c r="AQ246" s="79"/>
      <c r="AR246" s="6"/>
      <c r="AS246" s="6"/>
      <c r="AT246" s="6"/>
      <c r="AU246" s="6"/>
      <c r="AV246" s="79"/>
      <c r="AW246" s="6"/>
      <c r="AX246" s="6"/>
      <c r="AY246" s="6"/>
      <c r="AZ246" s="6"/>
      <c r="BA246" s="79"/>
      <c r="BB246" s="6"/>
      <c r="BC246" s="6"/>
      <c r="BD246" s="6"/>
      <c r="BE246" s="6"/>
      <c r="BF246" s="79"/>
      <c r="BG246" s="6"/>
      <c r="BH246" s="6"/>
      <c r="BI246" s="6"/>
      <c r="BJ246" s="6"/>
      <c r="BK246" s="79"/>
      <c r="BL246" s="6"/>
      <c r="BM246" s="6"/>
      <c r="BN246" s="6"/>
      <c r="BO246" s="6"/>
      <c r="BP246" s="79"/>
      <c r="BQ246" s="6"/>
      <c r="BR246" s="6"/>
      <c r="BS246" s="6"/>
      <c r="BT246" s="6"/>
      <c r="BU246" s="79"/>
      <c r="BV246" s="6"/>
      <c r="BW246" s="6"/>
      <c r="BX246" s="6"/>
      <c r="BY246" s="6"/>
      <c r="BZ246" s="79"/>
      <c r="CA246" s="6"/>
      <c r="CB246" s="6"/>
      <c r="CC246" s="6"/>
      <c r="CD246" s="6"/>
      <c r="CE246" s="36">
        <v>128</v>
      </c>
      <c r="CF246" s="43"/>
      <c r="CG246" s="43"/>
      <c r="CH246" s="43"/>
      <c r="CI246" s="43"/>
      <c r="CJ246" s="36">
        <v>152</v>
      </c>
      <c r="CK246" s="43">
        <v>36</v>
      </c>
      <c r="CL246" s="43">
        <v>34</v>
      </c>
      <c r="CM246" s="43">
        <v>49</v>
      </c>
      <c r="CN246" s="43">
        <f>CO246-CK246-CL246-CM246</f>
        <v>38</v>
      </c>
      <c r="CO246" s="36">
        <v>157</v>
      </c>
      <c r="CP246" s="43">
        <v>38</v>
      </c>
      <c r="CQ246" s="43">
        <v>33</v>
      </c>
      <c r="CR246" s="43">
        <v>37</v>
      </c>
      <c r="CS246" s="43">
        <f>CT246-CP246-CQ246-CR246</f>
        <v>37</v>
      </c>
      <c r="CT246" s="36">
        <v>145</v>
      </c>
      <c r="CU246" s="43"/>
      <c r="CV246" s="43"/>
      <c r="CW246" s="43"/>
      <c r="CX246" s="43"/>
      <c r="CY246" s="36"/>
      <c r="CZ246" s="43"/>
      <c r="DA246" s="43"/>
      <c r="DB246" s="43"/>
      <c r="DC246" s="43"/>
      <c r="DD246" s="36"/>
      <c r="DE246" s="43"/>
      <c r="DF246" s="43"/>
      <c r="DG246" s="43"/>
      <c r="DH246" s="43"/>
      <c r="DI246" s="36"/>
    </row>
    <row r="247" spans="1:113" ht="12" customHeight="1">
      <c r="A247" s="219"/>
      <c r="B247" s="17" t="s">
        <v>410</v>
      </c>
      <c r="C247" s="79"/>
      <c r="D247" s="6"/>
      <c r="E247" s="79"/>
      <c r="F247" s="6"/>
      <c r="G247" s="79"/>
      <c r="H247" s="6"/>
      <c r="I247" s="79"/>
      <c r="J247" s="6"/>
      <c r="K247" s="79"/>
      <c r="L247" s="6"/>
      <c r="M247" s="79"/>
      <c r="N247" s="6"/>
      <c r="O247" s="79"/>
      <c r="P247" s="6"/>
      <c r="Q247" s="79"/>
      <c r="R247" s="6"/>
      <c r="S247" s="6"/>
      <c r="T247" s="6"/>
      <c r="U247" s="6"/>
      <c r="V247" s="79"/>
      <c r="W247" s="6"/>
      <c r="X247" s="6"/>
      <c r="Y247" s="6"/>
      <c r="Z247" s="6"/>
      <c r="AA247" s="79"/>
      <c r="AB247" s="79"/>
      <c r="AC247" s="6"/>
      <c r="AD247" s="6"/>
      <c r="AE247" s="6"/>
      <c r="AF247" s="6"/>
      <c r="AG247" s="79"/>
      <c r="AH247" s="6"/>
      <c r="AI247" s="6"/>
      <c r="AJ247" s="6"/>
      <c r="AK247" s="6"/>
      <c r="AL247" s="79"/>
      <c r="AM247" s="6"/>
      <c r="AN247" s="6"/>
      <c r="AO247" s="6"/>
      <c r="AP247" s="6"/>
      <c r="AQ247" s="79"/>
      <c r="AR247" s="6"/>
      <c r="AS247" s="6"/>
      <c r="AT247" s="6"/>
      <c r="AU247" s="6"/>
      <c r="AV247" s="79"/>
      <c r="AW247" s="6"/>
      <c r="AX247" s="6"/>
      <c r="AY247" s="6"/>
      <c r="AZ247" s="6"/>
      <c r="BA247" s="79"/>
      <c r="BB247" s="6"/>
      <c r="BC247" s="6"/>
      <c r="BD247" s="6"/>
      <c r="BE247" s="6"/>
      <c r="BF247" s="79"/>
      <c r="BG247" s="6"/>
      <c r="BH247" s="6"/>
      <c r="BI247" s="6"/>
      <c r="BJ247" s="6"/>
      <c r="BK247" s="79"/>
      <c r="BL247" s="6"/>
      <c r="BM247" s="6"/>
      <c r="BN247" s="6"/>
      <c r="BO247" s="6"/>
      <c r="BP247" s="79"/>
      <c r="BQ247" s="6"/>
      <c r="BR247" s="6"/>
      <c r="BS247" s="6"/>
      <c r="BT247" s="6"/>
      <c r="BU247" s="79"/>
      <c r="BV247" s="6"/>
      <c r="BW247" s="6"/>
      <c r="BX247" s="6"/>
      <c r="BY247" s="6"/>
      <c r="BZ247" s="79"/>
      <c r="CA247" s="6"/>
      <c r="CB247" s="6"/>
      <c r="CC247" s="6"/>
      <c r="CD247" s="6"/>
      <c r="CE247" s="36">
        <v>3806</v>
      </c>
      <c r="CF247" s="43"/>
      <c r="CG247" s="43"/>
      <c r="CH247" s="43"/>
      <c r="CI247" s="43"/>
      <c r="CJ247" s="36">
        <v>3134</v>
      </c>
      <c r="CK247" s="39" t="s">
        <v>126</v>
      </c>
      <c r="CL247" s="39" t="s">
        <v>126</v>
      </c>
      <c r="CM247" s="39" t="s">
        <v>126</v>
      </c>
      <c r="CN247" s="39" t="s">
        <v>126</v>
      </c>
      <c r="CO247" s="36">
        <v>3198</v>
      </c>
      <c r="CP247" s="43">
        <v>3524</v>
      </c>
      <c r="CQ247" s="43">
        <v>3261</v>
      </c>
      <c r="CR247" s="43">
        <v>3166</v>
      </c>
      <c r="CS247" s="39" t="s">
        <v>126</v>
      </c>
      <c r="CT247" s="36">
        <v>3320</v>
      </c>
      <c r="CU247" s="43"/>
      <c r="CV247" s="43"/>
      <c r="CW247" s="43"/>
      <c r="CX247" s="43"/>
      <c r="CY247" s="36"/>
      <c r="CZ247" s="43"/>
      <c r="DA247" s="43"/>
      <c r="DB247" s="43"/>
      <c r="DC247" s="43"/>
      <c r="DD247" s="36"/>
      <c r="DE247" s="43"/>
      <c r="DF247" s="43"/>
      <c r="DG247" s="43"/>
      <c r="DH247" s="43"/>
      <c r="DI247" s="36"/>
    </row>
    <row r="248" spans="1:113" ht="12" customHeight="1">
      <c r="A248" s="219"/>
      <c r="B248" s="491" t="s">
        <v>348</v>
      </c>
      <c r="C248" s="79"/>
      <c r="D248" s="6"/>
      <c r="E248" s="79"/>
      <c r="F248" s="6"/>
      <c r="G248" s="79"/>
      <c r="H248" s="6"/>
      <c r="I248" s="79"/>
      <c r="J248" s="6"/>
      <c r="K248" s="79"/>
      <c r="L248" s="6"/>
      <c r="M248" s="79"/>
      <c r="N248" s="6"/>
      <c r="O248" s="79"/>
      <c r="P248" s="6"/>
      <c r="Q248" s="79"/>
      <c r="R248" s="6"/>
      <c r="S248" s="6"/>
      <c r="T248" s="6"/>
      <c r="U248" s="6"/>
      <c r="V248" s="79"/>
      <c r="W248" s="6"/>
      <c r="X248" s="6"/>
      <c r="Y248" s="6"/>
      <c r="Z248" s="6"/>
      <c r="AA248" s="79"/>
      <c r="AB248" s="79"/>
      <c r="AC248" s="6"/>
      <c r="AD248" s="6"/>
      <c r="AE248" s="6"/>
      <c r="AF248" s="6"/>
      <c r="AG248" s="79"/>
      <c r="AH248" s="6"/>
      <c r="AI248" s="6"/>
      <c r="AJ248" s="6"/>
      <c r="AK248" s="6"/>
      <c r="AL248" s="79"/>
      <c r="AM248" s="6"/>
      <c r="AN248" s="6"/>
      <c r="AO248" s="6"/>
      <c r="AP248" s="6"/>
      <c r="AQ248" s="79"/>
      <c r="AR248" s="6"/>
      <c r="AS248" s="6"/>
      <c r="AT248" s="6"/>
      <c r="AU248" s="6"/>
      <c r="AV248" s="79"/>
      <c r="AW248" s="6"/>
      <c r="AX248" s="6"/>
      <c r="AY248" s="6"/>
      <c r="AZ248" s="6"/>
      <c r="BA248" s="79"/>
      <c r="BB248" s="6"/>
      <c r="BC248" s="6"/>
      <c r="BD248" s="6"/>
      <c r="BE248" s="6"/>
      <c r="BF248" s="79"/>
      <c r="BG248" s="6"/>
      <c r="BH248" s="6"/>
      <c r="BI248" s="6"/>
      <c r="BJ248" s="6"/>
      <c r="BK248" s="79"/>
      <c r="BL248" s="6"/>
      <c r="BM248" s="6"/>
      <c r="BN248" s="6"/>
      <c r="BO248" s="6"/>
      <c r="BP248" s="79"/>
      <c r="BQ248" s="6"/>
      <c r="BR248" s="6"/>
      <c r="BS248" s="6"/>
      <c r="BT248" s="6"/>
      <c r="BU248" s="79"/>
      <c r="BV248" s="6"/>
      <c r="BW248" s="6"/>
      <c r="BX248" s="6"/>
      <c r="BY248" s="6"/>
      <c r="BZ248" s="79"/>
      <c r="CA248" s="6"/>
      <c r="CB248" s="6"/>
      <c r="CC248" s="6"/>
      <c r="CD248" s="6"/>
      <c r="CE248" s="232" t="s">
        <v>126</v>
      </c>
      <c r="CF248" s="27"/>
      <c r="CG248" s="27"/>
      <c r="CH248" s="27"/>
      <c r="CI248" s="27"/>
      <c r="CJ248" s="112">
        <f>CJ247/CE247-1</f>
        <v>-0.17656332107199157</v>
      </c>
      <c r="CK248" s="39" t="s">
        <v>126</v>
      </c>
      <c r="CL248" s="39" t="s">
        <v>126</v>
      </c>
      <c r="CM248" s="39" t="s">
        <v>126</v>
      </c>
      <c r="CN248" s="39" t="s">
        <v>126</v>
      </c>
      <c r="CO248" s="112">
        <f>CO247/CJ247-1</f>
        <v>2.04211869814932E-2</v>
      </c>
      <c r="CP248" s="213" t="s">
        <v>126</v>
      </c>
      <c r="CQ248" s="213" t="s">
        <v>126</v>
      </c>
      <c r="CR248" s="213" t="s">
        <v>126</v>
      </c>
      <c r="CS248" s="39" t="s">
        <v>126</v>
      </c>
      <c r="CT248" s="112">
        <f>CT247/CO247-1</f>
        <v>3.8148843026891699E-2</v>
      </c>
      <c r="CU248" s="213"/>
      <c r="CV248" s="27"/>
      <c r="CW248" s="27"/>
      <c r="CX248" s="27"/>
      <c r="CY248" s="112"/>
      <c r="CZ248" s="27"/>
      <c r="DA248" s="27"/>
      <c r="DB248" s="27"/>
      <c r="DC248" s="27"/>
      <c r="DD248" s="112"/>
      <c r="DE248" s="27"/>
      <c r="DF248" s="27"/>
      <c r="DG248" s="27"/>
      <c r="DH248" s="27"/>
      <c r="DI248" s="112"/>
    </row>
    <row r="249" spans="1:113" ht="12" customHeight="1">
      <c r="A249" s="219"/>
      <c r="B249" s="17"/>
      <c r="C249" s="79"/>
      <c r="D249" s="6"/>
      <c r="E249" s="79"/>
      <c r="F249" s="6"/>
      <c r="G249" s="79"/>
      <c r="H249" s="6"/>
      <c r="I249" s="79"/>
      <c r="J249" s="6"/>
      <c r="K249" s="79"/>
      <c r="L249" s="6"/>
      <c r="M249" s="79"/>
      <c r="N249" s="6"/>
      <c r="O249" s="79"/>
      <c r="P249" s="6"/>
      <c r="Q249" s="79"/>
      <c r="R249" s="6"/>
      <c r="S249" s="6"/>
      <c r="T249" s="6"/>
      <c r="U249" s="6"/>
      <c r="V249" s="79"/>
      <c r="W249" s="6"/>
      <c r="X249" s="6"/>
      <c r="Y249" s="6"/>
      <c r="Z249" s="6"/>
      <c r="AA249" s="79"/>
      <c r="AB249" s="79"/>
      <c r="AC249" s="6"/>
      <c r="AD249" s="6"/>
      <c r="AE249" s="6"/>
      <c r="AF249" s="6"/>
      <c r="AG249" s="79"/>
      <c r="AH249" s="6"/>
      <c r="AI249" s="6"/>
      <c r="AJ249" s="6"/>
      <c r="AK249" s="6"/>
      <c r="AL249" s="79"/>
      <c r="AM249" s="6"/>
      <c r="AN249" s="6"/>
      <c r="AO249" s="6"/>
      <c r="AP249" s="6"/>
      <c r="AQ249" s="79"/>
      <c r="AR249" s="6"/>
      <c r="AS249" s="6"/>
      <c r="AT249" s="6"/>
      <c r="AU249" s="6"/>
      <c r="AV249" s="79"/>
      <c r="AW249" s="6"/>
      <c r="AX249" s="6"/>
      <c r="AY249" s="6"/>
      <c r="AZ249" s="6"/>
      <c r="BA249" s="79"/>
      <c r="BB249" s="6"/>
      <c r="BC249" s="6"/>
      <c r="BD249" s="6"/>
      <c r="BE249" s="6"/>
      <c r="BF249" s="79"/>
      <c r="BG249" s="6"/>
      <c r="BH249" s="6"/>
      <c r="BI249" s="6"/>
      <c r="BJ249" s="6"/>
      <c r="BK249" s="79"/>
      <c r="BL249" s="6"/>
      <c r="BM249" s="6"/>
      <c r="BN249" s="6"/>
      <c r="BO249" s="6"/>
      <c r="BP249" s="79"/>
      <c r="BQ249" s="6"/>
      <c r="BR249" s="6"/>
      <c r="BS249" s="6"/>
      <c r="BT249" s="6"/>
      <c r="BU249" s="79"/>
      <c r="BV249" s="6"/>
      <c r="BW249" s="6"/>
      <c r="BX249" s="6"/>
      <c r="BY249" s="6"/>
      <c r="BZ249" s="79"/>
      <c r="CA249" s="6"/>
      <c r="CB249" s="6"/>
      <c r="CC249" s="6"/>
      <c r="CD249" s="6"/>
      <c r="CE249" s="79"/>
      <c r="CF249" s="6"/>
      <c r="CG249" s="6"/>
      <c r="CH249" s="6"/>
      <c r="CI249" s="6"/>
      <c r="CJ249" s="79"/>
      <c r="CK249" s="6"/>
      <c r="CL249" s="6"/>
      <c r="CM249" s="6"/>
      <c r="CN249" s="6"/>
      <c r="CO249" s="79"/>
      <c r="CP249" s="6"/>
      <c r="CQ249" s="6"/>
      <c r="CR249" s="6"/>
      <c r="CS249" s="6"/>
      <c r="CT249" s="79"/>
      <c r="CU249" s="6"/>
      <c r="CV249" s="6"/>
      <c r="CW249" s="6"/>
      <c r="CX249" s="6"/>
      <c r="CY249" s="79"/>
      <c r="CZ249" s="6"/>
      <c r="DA249" s="6"/>
      <c r="DB249" s="6"/>
      <c r="DC249" s="6"/>
      <c r="DD249" s="79"/>
      <c r="DE249" s="6"/>
      <c r="DF249" s="6"/>
      <c r="DG249" s="6"/>
      <c r="DH249" s="6"/>
      <c r="DI249" s="79"/>
    </row>
    <row r="250" spans="1:113" ht="12" customHeight="1">
      <c r="A250" s="5" t="str">
        <f t="shared" si="709"/>
        <v xml:space="preserve"> </v>
      </c>
      <c r="B250" s="61" t="s">
        <v>175</v>
      </c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37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90"/>
      <c r="AP250" s="90"/>
      <c r="AQ250" s="89"/>
      <c r="AR250" s="89"/>
      <c r="AS250" s="89"/>
      <c r="AT250" s="90"/>
      <c r="AU250" s="90"/>
      <c r="AV250" s="90"/>
      <c r="AW250" s="89"/>
      <c r="AX250" s="89"/>
      <c r="AY250" s="90"/>
      <c r="AZ250" s="90"/>
      <c r="BA250" s="90"/>
      <c r="BB250" s="89"/>
      <c r="BC250" s="89"/>
      <c r="BD250" s="90"/>
      <c r="BE250" s="90"/>
      <c r="BF250" s="90"/>
      <c r="BG250" s="108"/>
      <c r="BH250" s="108"/>
      <c r="BI250" s="108"/>
      <c r="BJ250" s="108"/>
      <c r="BK250" s="90"/>
      <c r="BL250" s="108"/>
      <c r="BM250" s="47"/>
      <c r="BN250" s="108"/>
      <c r="BO250" s="108"/>
      <c r="BP250" s="90"/>
      <c r="BQ250" s="89"/>
      <c r="BR250" s="89"/>
      <c r="BS250" s="89"/>
      <c r="BT250" s="89"/>
      <c r="BU250" s="90"/>
      <c r="BV250" s="89"/>
      <c r="BW250" s="47"/>
      <c r="BX250" s="208"/>
      <c r="BY250" s="90"/>
      <c r="BZ250" s="90"/>
      <c r="CA250" s="234"/>
      <c r="CB250" s="234"/>
      <c r="CC250" s="234"/>
      <c r="CD250" s="234"/>
      <c r="CE250" s="90"/>
      <c r="CF250" s="89"/>
      <c r="CG250" s="47"/>
      <c r="CH250" s="208"/>
      <c r="CI250" s="90"/>
      <c r="CJ250" s="90"/>
      <c r="CK250" s="89"/>
      <c r="CL250" s="47"/>
      <c r="CM250" s="208"/>
      <c r="CN250" s="90"/>
      <c r="CO250" s="90"/>
      <c r="CP250" s="89"/>
      <c r="CQ250" s="47"/>
      <c r="CR250" s="208"/>
      <c r="CS250" s="90"/>
      <c r="CT250" s="90"/>
      <c r="CU250" s="89"/>
      <c r="CV250" s="47"/>
      <c r="CW250" s="208"/>
      <c r="CX250" s="89"/>
      <c r="CY250" s="47"/>
      <c r="CZ250" s="89"/>
      <c r="DA250" s="47"/>
      <c r="DB250" s="89"/>
      <c r="DC250" s="47"/>
      <c r="DD250" s="89"/>
      <c r="DE250" s="47"/>
      <c r="DF250" s="47"/>
      <c r="DG250" s="208"/>
      <c r="DH250" s="90"/>
      <c r="DI250" s="182"/>
    </row>
    <row r="251" spans="1:113" s="7" customFormat="1" ht="12" customHeight="1">
      <c r="A251" s="239" t="str">
        <f t="shared" si="709"/>
        <v xml:space="preserve"> </v>
      </c>
      <c r="B251" s="20" t="s">
        <v>176</v>
      </c>
      <c r="C251" s="36"/>
      <c r="D251" s="43"/>
      <c r="E251" s="36"/>
      <c r="F251" s="43"/>
      <c r="G251" s="36"/>
      <c r="H251" s="43"/>
      <c r="I251" s="36"/>
      <c r="J251" s="43"/>
      <c r="K251" s="36"/>
      <c r="L251" s="43"/>
      <c r="M251" s="36"/>
      <c r="N251" s="43"/>
      <c r="O251" s="36"/>
      <c r="P251" s="43"/>
      <c r="Q251" s="36"/>
      <c r="R251" s="43">
        <v>1335</v>
      </c>
      <c r="S251" s="43">
        <v>1077</v>
      </c>
      <c r="T251" s="43">
        <v>1175</v>
      </c>
      <c r="U251" s="43">
        <v>1311</v>
      </c>
      <c r="V251" s="36">
        <f>SUM(R251:U251)</f>
        <v>4898</v>
      </c>
      <c r="W251" s="43">
        <v>1562</v>
      </c>
      <c r="X251" s="43">
        <v>1176</v>
      </c>
      <c r="Y251" s="43">
        <v>1237</v>
      </c>
      <c r="Z251" s="43">
        <v>1369</v>
      </c>
      <c r="AA251" s="36">
        <f>SUM(W251:Z251)</f>
        <v>5344</v>
      </c>
      <c r="AB251" s="36"/>
      <c r="AC251" s="43">
        <v>1503</v>
      </c>
      <c r="AD251" s="43">
        <v>1160</v>
      </c>
      <c r="AE251" s="43">
        <v>1360</v>
      </c>
      <c r="AF251" s="43">
        <v>1399</v>
      </c>
      <c r="AG251" s="36">
        <f>SUM(AC251:AF251)</f>
        <v>5422</v>
      </c>
      <c r="AH251" s="43">
        <v>1667</v>
      </c>
      <c r="AI251" s="43">
        <v>1369</v>
      </c>
      <c r="AJ251" s="43">
        <v>1648</v>
      </c>
      <c r="AK251" s="43">
        <v>1682</v>
      </c>
      <c r="AL251" s="36">
        <f>SUM(AH251:AK251)</f>
        <v>6366</v>
      </c>
      <c r="AM251" s="43">
        <v>2106</v>
      </c>
      <c r="AN251" s="43">
        <f>1312+346</f>
        <v>1658</v>
      </c>
      <c r="AO251" s="43">
        <f>1416+319</f>
        <v>1735</v>
      </c>
      <c r="AP251" s="43">
        <v>1627</v>
      </c>
      <c r="AQ251" s="36">
        <f>SUM(AM251:AP251)</f>
        <v>7126</v>
      </c>
      <c r="AR251" s="43">
        <v>2104</v>
      </c>
      <c r="AS251" s="43">
        <v>1707</v>
      </c>
      <c r="AT251" s="43">
        <v>1853</v>
      </c>
      <c r="AU251" s="43">
        <v>1904</v>
      </c>
      <c r="AV251" s="36">
        <f>SUM(AR251:AU251)</f>
        <v>7568</v>
      </c>
      <c r="AW251" s="43">
        <v>2262</v>
      </c>
      <c r="AX251" s="43">
        <v>1792</v>
      </c>
      <c r="AY251" s="43">
        <v>1925</v>
      </c>
      <c r="AZ251" s="43">
        <v>1991</v>
      </c>
      <c r="BA251" s="36">
        <f>SUM(AW251:AZ251)</f>
        <v>7970</v>
      </c>
      <c r="BB251" s="43">
        <v>2344</v>
      </c>
      <c r="BC251" s="43">
        <v>2133</v>
      </c>
      <c r="BD251" s="43">
        <v>2299</v>
      </c>
      <c r="BE251" s="43">
        <v>2466</v>
      </c>
      <c r="BF251" s="36">
        <f>SUM(BB251:BE251)</f>
        <v>9242</v>
      </c>
      <c r="BG251" s="43">
        <v>2607</v>
      </c>
      <c r="BH251" s="43">
        <v>2313</v>
      </c>
      <c r="BI251" s="43">
        <v>2435</v>
      </c>
      <c r="BJ251" s="43">
        <v>2457</v>
      </c>
      <c r="BK251" s="36">
        <f>SUM(BG251:BJ251)</f>
        <v>9812</v>
      </c>
      <c r="BL251" s="43">
        <v>2773</v>
      </c>
      <c r="BM251" s="43">
        <v>2537</v>
      </c>
      <c r="BN251" s="43">
        <v>2709</v>
      </c>
      <c r="BO251" s="43">
        <v>1328</v>
      </c>
      <c r="BP251" s="36">
        <f>SUM(BL251:BO251)</f>
        <v>9347</v>
      </c>
      <c r="BQ251" s="43">
        <v>2910</v>
      </c>
      <c r="BR251" s="43">
        <v>2958</v>
      </c>
      <c r="BS251" s="43">
        <v>2609</v>
      </c>
      <c r="BT251" s="43">
        <v>2979</v>
      </c>
      <c r="BU251" s="36">
        <f>SUM(BQ251:BT251)</f>
        <v>11456</v>
      </c>
      <c r="BV251" s="43">
        <v>3307</v>
      </c>
      <c r="BW251" s="43">
        <v>3142</v>
      </c>
      <c r="BX251" s="43">
        <v>2779</v>
      </c>
      <c r="BY251" s="43">
        <v>3251</v>
      </c>
      <c r="BZ251" s="36">
        <f>SUM(BV251:BY251)</f>
        <v>12479</v>
      </c>
      <c r="CA251" s="43">
        <v>3333</v>
      </c>
      <c r="CB251" s="43">
        <v>3489</v>
      </c>
      <c r="CC251" s="43">
        <v>3246</v>
      </c>
      <c r="CD251" s="43">
        <v>3350</v>
      </c>
      <c r="CE251" s="36">
        <f>SUM(CA251:CD251)</f>
        <v>13418</v>
      </c>
      <c r="CF251" s="43">
        <v>3610</v>
      </c>
      <c r="CG251" s="43">
        <v>3567</v>
      </c>
      <c r="CH251" s="43">
        <v>3138</v>
      </c>
      <c r="CI251" s="369">
        <v>3292</v>
      </c>
      <c r="CJ251" s="36">
        <f>SUM(CF251:CI251)</f>
        <v>13607</v>
      </c>
      <c r="CK251" s="43">
        <v>3143</v>
      </c>
      <c r="CL251" s="43">
        <v>3303</v>
      </c>
      <c r="CM251" s="43">
        <v>2811</v>
      </c>
      <c r="CN251" s="43">
        <v>3000</v>
      </c>
      <c r="CO251" s="36">
        <f>SUM(CK251:CN251)</f>
        <v>12257</v>
      </c>
      <c r="CP251" s="43">
        <v>3331</v>
      </c>
      <c r="CQ251" s="43">
        <v>3392</v>
      </c>
      <c r="CR251" s="43">
        <v>2874</v>
      </c>
      <c r="CS251" s="43">
        <v>2975</v>
      </c>
      <c r="CT251" s="36">
        <f>SUM(CP251:CS251)</f>
        <v>12572</v>
      </c>
      <c r="CU251" s="369">
        <v>3176</v>
      </c>
      <c r="CV251" s="43">
        <f>CQ251*(1+CV253)*(1+CV254)</f>
        <v>2888.6763600000004</v>
      </c>
      <c r="CW251" s="43">
        <f>CR251*(1+CW253)*(1+CW254)</f>
        <v>2687.4199200000003</v>
      </c>
      <c r="CX251" s="43">
        <f>CS251*(1+CX253)*(1+CX254)</f>
        <v>2732.7585599999998</v>
      </c>
      <c r="CY251" s="36">
        <f>SUM(CU251:CX251)</f>
        <v>11484.854840000002</v>
      </c>
      <c r="CZ251" s="43">
        <f>CU251*(1+CZ253)*(1+CZ254)</f>
        <v>2958.4672</v>
      </c>
      <c r="DA251" s="43">
        <f>CV251*(1+DA253)*(1+DA254)</f>
        <v>2795.5104216000004</v>
      </c>
      <c r="DB251" s="43">
        <f>CW251*(1+DB253)*(1+DB254)</f>
        <v>2616.9429404000007</v>
      </c>
      <c r="DC251" s="43">
        <f>CX251*(1+DC253)*(1+DC254)</f>
        <v>2661.4652759999994</v>
      </c>
      <c r="DD251" s="36">
        <f>SUM(CZ251:DC251)</f>
        <v>11032.385838</v>
      </c>
      <c r="DE251" s="43">
        <f>CZ251*(1+DE253)*(1+DE254)</f>
        <v>2958.4672</v>
      </c>
      <c r="DF251" s="43">
        <f>DA251*(1+DF253)*(1+DF254)</f>
        <v>2795.5104216000004</v>
      </c>
      <c r="DG251" s="43">
        <f>DB251*(1+DG253)*(1+DG254)</f>
        <v>2643.1123698040005</v>
      </c>
      <c r="DH251" s="43">
        <f>DC251*(1+DH253)*(1+DH254)</f>
        <v>2688.0799287600003</v>
      </c>
      <c r="DI251" s="36">
        <f>SUM(DE251:DH251)</f>
        <v>11085.169920164002</v>
      </c>
    </row>
    <row r="252" spans="1:113" s="3" customFormat="1" ht="12" customHeight="1">
      <c r="A252" s="219" t="str">
        <f t="shared" si="709"/>
        <v xml:space="preserve"> </v>
      </c>
      <c r="B252" s="491" t="s">
        <v>171</v>
      </c>
      <c r="C252" s="492"/>
      <c r="D252" s="522"/>
      <c r="E252" s="492"/>
      <c r="F252" s="522"/>
      <c r="G252" s="492"/>
      <c r="H252" s="522"/>
      <c r="I252" s="492"/>
      <c r="J252" s="522"/>
      <c r="K252" s="492"/>
      <c r="L252" s="522"/>
      <c r="M252" s="492"/>
      <c r="N252" s="522"/>
      <c r="O252" s="492"/>
      <c r="P252" s="522"/>
      <c r="Q252" s="492"/>
      <c r="R252" s="378" t="s">
        <v>126</v>
      </c>
      <c r="S252" s="522" t="s">
        <v>126</v>
      </c>
      <c r="T252" s="522" t="s">
        <v>126</v>
      </c>
      <c r="U252" s="522" t="s">
        <v>126</v>
      </c>
      <c r="V252" s="492" t="s">
        <v>126</v>
      </c>
      <c r="W252" s="52">
        <f>+W251/R251-1</f>
        <v>0.1700374531835207</v>
      </c>
      <c r="X252" s="52">
        <f>+X251/S251-1</f>
        <v>9.1922005571030585E-2</v>
      </c>
      <c r="Y252" s="52">
        <f>+Y251/T251-1</f>
        <v>5.2765957446808454E-2</v>
      </c>
      <c r="Z252" s="52">
        <f>+Z251/U251-1</f>
        <v>4.4241037376048897E-2</v>
      </c>
      <c r="AA252" s="112">
        <f>+AA251/V251-1</f>
        <v>9.1057574520212237E-2</v>
      </c>
      <c r="AB252" s="112"/>
      <c r="AC252" s="52">
        <f>+AC251/W251-1</f>
        <v>-3.7772087067861726E-2</v>
      </c>
      <c r="AD252" s="52">
        <f>+AD251/X251-1</f>
        <v>-1.3605442176870763E-2</v>
      </c>
      <c r="AE252" s="52">
        <f>+AE251/Y251-1</f>
        <v>9.9434114793855999E-2</v>
      </c>
      <c r="AF252" s="52">
        <f>+AF251/Z251-1</f>
        <v>2.1913805697589384E-2</v>
      </c>
      <c r="AG252" s="112">
        <f>+AG251/AA251-1</f>
        <v>1.4595808383233599E-2</v>
      </c>
      <c r="AH252" s="52">
        <f t="shared" ref="AH252:BB252" si="754">+AH251/AC251-1</f>
        <v>0.10911510312707917</v>
      </c>
      <c r="AI252" s="52">
        <f t="shared" si="754"/>
        <v>0.18017241379310356</v>
      </c>
      <c r="AJ252" s="52">
        <f t="shared" si="754"/>
        <v>0.21176470588235285</v>
      </c>
      <c r="AK252" s="52">
        <f t="shared" si="754"/>
        <v>0.20228734810578985</v>
      </c>
      <c r="AL252" s="112">
        <f t="shared" si="754"/>
        <v>0.17410549612689041</v>
      </c>
      <c r="AM252" s="52">
        <f t="shared" si="754"/>
        <v>0.26334733053389314</v>
      </c>
      <c r="AN252" s="52">
        <f t="shared" si="754"/>
        <v>0.21110299488677864</v>
      </c>
      <c r="AO252" s="52">
        <f t="shared" si="754"/>
        <v>5.2791262135922334E-2</v>
      </c>
      <c r="AP252" s="52">
        <f t="shared" si="754"/>
        <v>-3.2699167657550543E-2</v>
      </c>
      <c r="AQ252" s="112">
        <f t="shared" si="754"/>
        <v>0.11938422871504861</v>
      </c>
      <c r="AR252" s="52">
        <f t="shared" si="754"/>
        <v>-9.496676163343043E-4</v>
      </c>
      <c r="AS252" s="52">
        <f t="shared" si="754"/>
        <v>2.9553679131483657E-2</v>
      </c>
      <c r="AT252" s="52">
        <f t="shared" si="754"/>
        <v>6.8011527377521697E-2</v>
      </c>
      <c r="AU252" s="52">
        <f t="shared" si="754"/>
        <v>0.17025199754148734</v>
      </c>
      <c r="AV252" s="112">
        <f t="shared" si="754"/>
        <v>6.2026382262138746E-2</v>
      </c>
      <c r="AW252" s="52">
        <f t="shared" si="754"/>
        <v>7.5095057034220591E-2</v>
      </c>
      <c r="AX252" s="52">
        <f t="shared" si="754"/>
        <v>4.9794961921499681E-2</v>
      </c>
      <c r="AY252" s="52">
        <f t="shared" si="754"/>
        <v>3.8855909336211525E-2</v>
      </c>
      <c r="AZ252" s="52">
        <f t="shared" si="754"/>
        <v>4.5693277310924429E-2</v>
      </c>
      <c r="BA252" s="112">
        <f t="shared" si="754"/>
        <v>5.3118393234672379E-2</v>
      </c>
      <c r="BB252" s="52">
        <f t="shared" si="754"/>
        <v>3.6251105216622559E-2</v>
      </c>
      <c r="BC252" s="52">
        <f t="shared" ref="BC252:BP252" si="755">+BC251/AX251-1</f>
        <v>0.1902901785714286</v>
      </c>
      <c r="BD252" s="52">
        <f t="shared" si="755"/>
        <v>0.19428571428571439</v>
      </c>
      <c r="BE252" s="52">
        <f t="shared" si="755"/>
        <v>0.23857358111501759</v>
      </c>
      <c r="BF252" s="112">
        <f t="shared" si="755"/>
        <v>0.15959849435382689</v>
      </c>
      <c r="BG252" s="52">
        <f t="shared" si="755"/>
        <v>0.1122013651877134</v>
      </c>
      <c r="BH252" s="52">
        <f t="shared" si="755"/>
        <v>8.4388185654008518E-2</v>
      </c>
      <c r="BI252" s="52">
        <f t="shared" si="755"/>
        <v>5.9156154849934861E-2</v>
      </c>
      <c r="BJ252" s="52">
        <f t="shared" si="755"/>
        <v>-3.6496350364964014E-3</v>
      </c>
      <c r="BK252" s="112">
        <f t="shared" si="755"/>
        <v>6.1674962129409261E-2</v>
      </c>
      <c r="BL252" s="52">
        <f t="shared" si="755"/>
        <v>6.3674721902569953E-2</v>
      </c>
      <c r="BM252" s="52">
        <f t="shared" si="755"/>
        <v>9.6843925637700057E-2</v>
      </c>
      <c r="BN252" s="52">
        <f t="shared" si="755"/>
        <v>0.11252566735112945</v>
      </c>
      <c r="BO252" s="52">
        <f t="shared" si="755"/>
        <v>-0.4595034595034595</v>
      </c>
      <c r="BP252" s="112">
        <f t="shared" si="755"/>
        <v>-4.7390949857317621E-2</v>
      </c>
      <c r="BQ252" s="52">
        <f t="shared" ref="BQ252:BZ252" si="756">+BQ251/BL251-1</f>
        <v>4.9404976559682678E-2</v>
      </c>
      <c r="BR252" s="52">
        <f t="shared" si="756"/>
        <v>0.16594402837997646</v>
      </c>
      <c r="BS252" s="52">
        <f t="shared" si="756"/>
        <v>-3.691399040236254E-2</v>
      </c>
      <c r="BT252" s="52">
        <f t="shared" si="756"/>
        <v>1.2432228915662651</v>
      </c>
      <c r="BU252" s="112">
        <f t="shared" si="756"/>
        <v>0.22563389322777372</v>
      </c>
      <c r="BV252" s="52">
        <f t="shared" si="756"/>
        <v>0.13642611683848793</v>
      </c>
      <c r="BW252" s="52">
        <f t="shared" si="756"/>
        <v>6.2204192021636295E-2</v>
      </c>
      <c r="BX252" s="52">
        <f t="shared" si="756"/>
        <v>6.5159064775776265E-2</v>
      </c>
      <c r="BY252" s="52">
        <f t="shared" si="756"/>
        <v>9.1305807317891841E-2</v>
      </c>
      <c r="BZ252" s="112">
        <f t="shared" si="756"/>
        <v>8.9298184357541999E-2</v>
      </c>
      <c r="CA252" s="52">
        <f t="shared" ref="CA252" si="757">+CA251/BV251-1</f>
        <v>7.8621106743272939E-3</v>
      </c>
      <c r="CB252" s="52">
        <f t="shared" ref="CB252:CD252" si="758">+CB251/BW251-1</f>
        <v>0.11043921069382567</v>
      </c>
      <c r="CC252" s="52">
        <f t="shared" si="758"/>
        <v>0.16804605973371722</v>
      </c>
      <c r="CD252" s="52">
        <f t="shared" si="758"/>
        <v>3.0452168563518844E-2</v>
      </c>
      <c r="CE252" s="112">
        <f t="shared" ref="CE252" si="759">+CE251/BZ251-1</f>
        <v>7.524641397547871E-2</v>
      </c>
      <c r="CF252" s="52">
        <f t="shared" ref="CF252" si="760">+CF251/CA251-1</f>
        <v>8.3108310831083054E-2</v>
      </c>
      <c r="CG252" s="52">
        <f t="shared" ref="CG252:CH252" si="761">+CG251/CB251-1</f>
        <v>2.2355975924333693E-2</v>
      </c>
      <c r="CH252" s="52">
        <f t="shared" si="761"/>
        <v>-3.3271719038816983E-2</v>
      </c>
      <c r="CI252" s="114">
        <f t="shared" ref="CI252" si="762">+CI251/CD251-1</f>
        <v>-1.7313432835820874E-2</v>
      </c>
      <c r="CJ252" s="112">
        <f t="shared" ref="CJ252:CL252" si="763">+CJ251/CE251-1</f>
        <v>1.4085556714860559E-2</v>
      </c>
      <c r="CK252" s="52">
        <f t="shared" si="763"/>
        <v>-0.12936288088642656</v>
      </c>
      <c r="CL252" s="52">
        <f t="shared" si="763"/>
        <v>-7.4011774600504676E-2</v>
      </c>
      <c r="CM252" s="52">
        <f t="shared" ref="CM252" si="764">+CM251/CH251-1</f>
        <v>-0.10420650095602291</v>
      </c>
      <c r="CN252" s="52">
        <f t="shared" ref="CN252" si="765">+CN251/CI251-1</f>
        <v>-8.8699878493317175E-2</v>
      </c>
      <c r="CO252" s="112">
        <f t="shared" ref="CO252" si="766">+CO251/CJ251-1</f>
        <v>-9.9213640038215645E-2</v>
      </c>
      <c r="CP252" s="52">
        <f t="shared" ref="CP252" si="767">+CP251/CK251-1</f>
        <v>5.9815462933503039E-2</v>
      </c>
      <c r="CQ252" s="52">
        <f t="shared" ref="CQ252" si="768">+CQ251/CL251-1</f>
        <v>2.6945201332122304E-2</v>
      </c>
      <c r="CR252" s="52">
        <f t="shared" ref="CR252" si="769">+CR251/CM251-1</f>
        <v>2.2411953041622246E-2</v>
      </c>
      <c r="CS252" s="52">
        <f t="shared" ref="CS252" si="770">+CS251/CN251-1</f>
        <v>-8.3333333333333037E-3</v>
      </c>
      <c r="CT252" s="112">
        <f t="shared" ref="CT252" si="771">+CT251/CO251-1</f>
        <v>2.5699600228440866E-2</v>
      </c>
      <c r="CU252" s="114">
        <f t="shared" ref="CU252" si="772">+CU251/CP251-1</f>
        <v>-4.6532572800960681E-2</v>
      </c>
      <c r="CV252" s="52">
        <f t="shared" ref="CV252" si="773">+CV251/CQ251-1</f>
        <v>-0.1483855070754716</v>
      </c>
      <c r="CW252" s="52">
        <f t="shared" ref="CW252" si="774">+CW251/CR251-1</f>
        <v>-6.4919999999999867E-2</v>
      </c>
      <c r="CX252" s="52">
        <f t="shared" ref="CX252" si="775">+CX251/CS251-1</f>
        <v>-8.1425694117647107E-2</v>
      </c>
      <c r="CY252" s="112">
        <f t="shared" ref="CY252" si="776">+CY251/CT251-1</f>
        <v>-8.6473525294304632E-2</v>
      </c>
      <c r="CZ252" s="52">
        <f t="shared" ref="CZ252" si="777">+CZ251/CU251-1</f>
        <v>-6.8492695214105725E-2</v>
      </c>
      <c r="DA252" s="52">
        <f t="shared" ref="DA252" si="778">+DA251/CV251-1</f>
        <v>-3.2252120621778513E-2</v>
      </c>
      <c r="DB252" s="52">
        <f t="shared" ref="DB252" si="779">+DB251/CW251-1</f>
        <v>-2.6224773834377046E-2</v>
      </c>
      <c r="DC252" s="52">
        <f t="shared" ref="DC252" si="780">+DC251/CX251-1</f>
        <v>-2.6088394724486874E-2</v>
      </c>
      <c r="DD252" s="112">
        <f t="shared" ref="DD252" si="781">+DD251/CY251-1</f>
        <v>-3.9397015313081818E-2</v>
      </c>
      <c r="DE252" s="52">
        <f t="shared" ref="DE252" si="782">+DE251/CZ251-1</f>
        <v>0</v>
      </c>
      <c r="DF252" s="52">
        <f t="shared" ref="DF252" si="783">+DF251/DA251-1</f>
        <v>0</v>
      </c>
      <c r="DG252" s="52">
        <f t="shared" ref="DG252" si="784">+DG251/DB251-1</f>
        <v>1.0000000000000009E-2</v>
      </c>
      <c r="DH252" s="52">
        <f t="shared" ref="DH252" si="785">+DH251/DC251-1</f>
        <v>1.0000000000000231E-2</v>
      </c>
      <c r="DI252" s="112">
        <f t="shared" ref="DI252" si="786">+DI251/DD251-1</f>
        <v>4.7844666547278702E-3</v>
      </c>
    </row>
    <row r="253" spans="1:113" s="529" customFormat="1" ht="12" customHeight="1">
      <c r="A253" s="219" t="str">
        <f t="shared" si="709"/>
        <v xml:space="preserve"> </v>
      </c>
      <c r="B253" s="526" t="s">
        <v>172</v>
      </c>
      <c r="C253" s="112"/>
      <c r="D253" s="52"/>
      <c r="E253" s="112"/>
      <c r="F253" s="52"/>
      <c r="G253" s="112"/>
      <c r="H253" s="52"/>
      <c r="I253" s="112"/>
      <c r="J253" s="52"/>
      <c r="K253" s="112"/>
      <c r="L253" s="52"/>
      <c r="M253" s="112"/>
      <c r="N253" s="52"/>
      <c r="O253" s="112"/>
      <c r="P253" s="52"/>
      <c r="Q253" s="112"/>
      <c r="R253" s="217" t="s">
        <v>126</v>
      </c>
      <c r="S253" s="52" t="s">
        <v>126</v>
      </c>
      <c r="T253" s="52" t="s">
        <v>126</v>
      </c>
      <c r="U253" s="52" t="s">
        <v>126</v>
      </c>
      <c r="V253" s="112" t="s">
        <v>126</v>
      </c>
      <c r="W253" s="217" t="s">
        <v>126</v>
      </c>
      <c r="X253" s="52" t="s">
        <v>126</v>
      </c>
      <c r="Y253" s="52" t="s">
        <v>126</v>
      </c>
      <c r="Z253" s="52" t="s">
        <v>126</v>
      </c>
      <c r="AA253" s="112" t="s">
        <v>126</v>
      </c>
      <c r="AB253" s="112"/>
      <c r="AC253" s="217" t="s">
        <v>126</v>
      </c>
      <c r="AD253" s="52" t="s">
        <v>126</v>
      </c>
      <c r="AE253" s="52" t="s">
        <v>126</v>
      </c>
      <c r="AF253" s="52" t="s">
        <v>126</v>
      </c>
      <c r="AG253" s="112" t="s">
        <v>126</v>
      </c>
      <c r="AH253" s="217" t="s">
        <v>126</v>
      </c>
      <c r="AI253" s="52" t="s">
        <v>126</v>
      </c>
      <c r="AJ253" s="52" t="s">
        <v>126</v>
      </c>
      <c r="AK253" s="52" t="s">
        <v>126</v>
      </c>
      <c r="AL253" s="112" t="s">
        <v>126</v>
      </c>
      <c r="AM253" s="217" t="s">
        <v>126</v>
      </c>
      <c r="AN253" s="52" t="s">
        <v>126</v>
      </c>
      <c r="AO253" s="52" t="s">
        <v>126</v>
      </c>
      <c r="AP253" s="52" t="s">
        <v>126</v>
      </c>
      <c r="AQ253" s="112" t="s">
        <v>126</v>
      </c>
      <c r="AR253" s="217" t="s">
        <v>126</v>
      </c>
      <c r="AS253" s="52" t="s">
        <v>126</v>
      </c>
      <c r="AT253" s="52" t="s">
        <v>126</v>
      </c>
      <c r="AU253" s="52" t="s">
        <v>126</v>
      </c>
      <c r="AV253" s="112" t="s">
        <v>126</v>
      </c>
      <c r="AW253" s="52">
        <v>0.11</v>
      </c>
      <c r="AX253" s="52">
        <v>0.1</v>
      </c>
      <c r="AY253" s="52">
        <v>0.09</v>
      </c>
      <c r="AZ253" s="52">
        <v>0.11</v>
      </c>
      <c r="BA253" s="112">
        <v>0.1</v>
      </c>
      <c r="BB253" s="52">
        <v>0.05</v>
      </c>
      <c r="BC253" s="52">
        <v>0.14000000000000001</v>
      </c>
      <c r="BD253" s="114">
        <v>0.09</v>
      </c>
      <c r="BE253" s="114">
        <v>0.1</v>
      </c>
      <c r="BF253" s="113">
        <f>SUMPRODUCT(BB253:BE253,AW251:AZ251)/BA251</f>
        <v>9.2387703889585948E-2</v>
      </c>
      <c r="BG253" s="114">
        <v>0.09</v>
      </c>
      <c r="BH253" s="114">
        <v>0.14000000000000001</v>
      </c>
      <c r="BI253" s="114">
        <v>0.12</v>
      </c>
      <c r="BJ253" s="114">
        <v>0.09</v>
      </c>
      <c r="BK253" s="113">
        <f>SUMPRODUCT(BG253:BJ253,BB251:BE251)/BF251</f>
        <v>0.10900238043713482</v>
      </c>
      <c r="BL253" s="114">
        <v>0.12</v>
      </c>
      <c r="BM253" s="114">
        <v>0.14000000000000001</v>
      </c>
      <c r="BN253" s="114">
        <v>0.13</v>
      </c>
      <c r="BO253" s="114">
        <v>-0.44</v>
      </c>
      <c r="BP253" s="113">
        <f>SUMPRODUCT(BL253:BO253,BG251:BJ251)/BK251</f>
        <v>-1.3032001630656329E-2</v>
      </c>
      <c r="BQ253" s="114">
        <v>0.05</v>
      </c>
      <c r="BR253" s="114">
        <v>0.12</v>
      </c>
      <c r="BS253" s="114">
        <v>-0.09</v>
      </c>
      <c r="BT253" s="114">
        <v>1.07</v>
      </c>
      <c r="BU253" s="113">
        <f>SUMPRODUCT(BQ253:BT253,BL251:BO251)/BP251</f>
        <v>0.17334331871188616</v>
      </c>
      <c r="BV253" s="114">
        <v>0.08</v>
      </c>
      <c r="BW253" s="114">
        <v>0.06</v>
      </c>
      <c r="BX253" s="114">
        <v>0.13</v>
      </c>
      <c r="BY253" s="114">
        <v>0.2</v>
      </c>
      <c r="BZ253" s="113">
        <f>SUMPRODUCT(BV253:BY253,BQ251:BT251)/BU251</f>
        <v>0.11742754888268156</v>
      </c>
      <c r="CA253" s="114">
        <v>0.17</v>
      </c>
      <c r="CB253" s="114">
        <v>0.33</v>
      </c>
      <c r="CC253" s="114">
        <v>0.26</v>
      </c>
      <c r="CD253" s="114">
        <v>7.0000000000000007E-2</v>
      </c>
      <c r="CE253" s="113">
        <f>SUMPRODUCT(CA253:CD253,BV251:BY251)/BZ251</f>
        <v>0.2042759836525363</v>
      </c>
      <c r="CF253" s="114">
        <v>0.06</v>
      </c>
      <c r="CG253" s="114">
        <v>-0.03</v>
      </c>
      <c r="CH253" s="114">
        <v>-0.04</v>
      </c>
      <c r="CI253" s="114">
        <v>0.01</v>
      </c>
      <c r="CJ253" s="113">
        <f>SUMPRODUCT(CF253:CI253,CA251:CD251)/CE251</f>
        <v>-7.6762557758236347E-5</v>
      </c>
      <c r="CK253" s="114">
        <v>-0.12</v>
      </c>
      <c r="CL253" s="114">
        <v>-0.1</v>
      </c>
      <c r="CM253" s="114">
        <v>-0.06</v>
      </c>
      <c r="CN253" s="114">
        <v>-0.1</v>
      </c>
      <c r="CO253" s="113">
        <f>SUMPRODUCT(CK253:CN253,CF251:CI251)/CJ251</f>
        <v>-9.6081428676416558E-2</v>
      </c>
      <c r="CP253" s="114">
        <v>0.01</v>
      </c>
      <c r="CQ253" s="114">
        <v>-0.01</v>
      </c>
      <c r="CR253" s="114">
        <v>-7.0000000000000007E-2</v>
      </c>
      <c r="CS253" s="114">
        <v>-0.06</v>
      </c>
      <c r="CT253" s="113">
        <f>SUMPRODUCT(CP253:CS253,CK251:CN251)/CO251</f>
        <v>-3.0869707106143427E-2</v>
      </c>
      <c r="CU253" s="114">
        <v>-0.05</v>
      </c>
      <c r="CV253" s="114">
        <f>SUM(CQ256*(1+CV258),CQ263*(1+CV265),CQ270*(1+CV272))/SUM(CQ256,CQ263,CQ270)-1</f>
        <v>-0.12833726415094326</v>
      </c>
      <c r="CW253" s="114">
        <f>SUM(CR256*(1+CW258),CR263*(1+CW265),CR270*(1+CW272))/SUM(CR256,CR263,CR270)-1</f>
        <v>-2.9999999999999916E-2</v>
      </c>
      <c r="CX253" s="114">
        <f>SUM(CS256*(1+CX258),CS263*(1+CX265),CS270*(1+CX272))/SUM(CS256,CS263,CS270)-1</f>
        <v>-5.4964705882352916E-2</v>
      </c>
      <c r="CY253" s="113">
        <f>SUMPRODUCT(CU253:CX253,CP251:CS251)/CT251</f>
        <v>-6.7738625517021894E-2</v>
      </c>
      <c r="CZ253" s="114">
        <f>SUM(CU256*(1+CZ258),CU263*(1+CZ265),CU270*(1+CZ272))/SUM(CU256,CU263,CU270)-1</f>
        <v>-5.4307304785894184E-2</v>
      </c>
      <c r="DA253" s="114">
        <f>SUM(CV256*(1+DA258),CV263*(1+DA265),CV270*(1+DA272))/SUM(CV256,CV263,CV270)-1</f>
        <v>-3.2252120621778513E-2</v>
      </c>
      <c r="DB253" s="114">
        <f>SUM(CW256*(1+DB258),CW263*(1+DB265),CW270*(1+DB272))/SUM(CW256,CW263,CW270)-1</f>
        <v>-2.6224773834377046E-2</v>
      </c>
      <c r="DC253" s="114">
        <f>SUM(CX256*(1+DC258),CX263*(1+DC265),CX270*(1+DC272))/SUM(CX256,CX263,CX270)-1</f>
        <v>-2.6088394724486874E-2</v>
      </c>
      <c r="DD253" s="113">
        <f>SUMPRODUCT(CZ253:DC253,CU251:CX251)/CY251</f>
        <v>-3.5474214317540297E-2</v>
      </c>
      <c r="DE253" s="114">
        <f>SUM(CZ256*(1+DE258),CZ263*(1+DE265),CZ270*(1+DE272))/SUM(CZ256,CZ263,CZ270)-1</f>
        <v>0</v>
      </c>
      <c r="DF253" s="114">
        <f>SUM(DA256*(1+DF258),DA263*(1+DF265),DA270*(1+DF272))/SUM(DA256,DA263,DA270)-1</f>
        <v>0</v>
      </c>
      <c r="DG253" s="114">
        <f>SUM(DB256*(1+DG258),DB263*(1+DG265),DB270*(1+DG272))/SUM(DB256,DB263,DB270)-1</f>
        <v>1.0000000000000009E-2</v>
      </c>
      <c r="DH253" s="114">
        <f>SUM(DC256*(1+DH258),DC263*(1+DH265),DC270*(1+DH272))/SUM(DC256,DC263,DC270)-1</f>
        <v>1.0000000000000231E-2</v>
      </c>
      <c r="DI253" s="113">
        <f>SUMPRODUCT(DE253:DH253,CZ251:DC251)/DD251</f>
        <v>4.7844666547276569E-3</v>
      </c>
    </row>
    <row r="254" spans="1:113" s="3" customFormat="1" ht="12" customHeight="1">
      <c r="A254" s="219" t="str">
        <f t="shared" si="709"/>
        <v xml:space="preserve"> </v>
      </c>
      <c r="B254" s="491" t="s">
        <v>141</v>
      </c>
      <c r="C254" s="492"/>
      <c r="D254" s="522"/>
      <c r="E254" s="492"/>
      <c r="F254" s="522"/>
      <c r="G254" s="492"/>
      <c r="H254" s="522"/>
      <c r="I254" s="492"/>
      <c r="J254" s="522"/>
      <c r="K254" s="492"/>
      <c r="L254" s="522"/>
      <c r="M254" s="492"/>
      <c r="N254" s="522"/>
      <c r="O254" s="492"/>
      <c r="P254" s="522"/>
      <c r="Q254" s="492"/>
      <c r="R254" s="378" t="s">
        <v>126</v>
      </c>
      <c r="S254" s="522" t="s">
        <v>126</v>
      </c>
      <c r="T254" s="522" t="s">
        <v>126</v>
      </c>
      <c r="U254" s="522" t="s">
        <v>126</v>
      </c>
      <c r="V254" s="492" t="s">
        <v>126</v>
      </c>
      <c r="W254" s="378" t="s">
        <v>126</v>
      </c>
      <c r="X254" s="522" t="s">
        <v>126</v>
      </c>
      <c r="Y254" s="522" t="s">
        <v>126</v>
      </c>
      <c r="Z254" s="522" t="s">
        <v>126</v>
      </c>
      <c r="AA254" s="492" t="s">
        <v>126</v>
      </c>
      <c r="AB254" s="492"/>
      <c r="AC254" s="378" t="s">
        <v>126</v>
      </c>
      <c r="AD254" s="522" t="s">
        <v>126</v>
      </c>
      <c r="AE254" s="522" t="s">
        <v>126</v>
      </c>
      <c r="AF254" s="522" t="s">
        <v>126</v>
      </c>
      <c r="AG254" s="492" t="s">
        <v>126</v>
      </c>
      <c r="AH254" s="378" t="s">
        <v>126</v>
      </c>
      <c r="AI254" s="522" t="s">
        <v>126</v>
      </c>
      <c r="AJ254" s="522" t="s">
        <v>126</v>
      </c>
      <c r="AK254" s="522" t="s">
        <v>126</v>
      </c>
      <c r="AL254" s="492" t="s">
        <v>126</v>
      </c>
      <c r="AM254" s="378" t="s">
        <v>126</v>
      </c>
      <c r="AN254" s="522" t="s">
        <v>126</v>
      </c>
      <c r="AO254" s="522" t="s">
        <v>126</v>
      </c>
      <c r="AP254" s="522" t="s">
        <v>126</v>
      </c>
      <c r="AQ254" s="492" t="s">
        <v>126</v>
      </c>
      <c r="AR254" s="378" t="s">
        <v>126</v>
      </c>
      <c r="AS254" s="522" t="s">
        <v>126</v>
      </c>
      <c r="AT254" s="522" t="s">
        <v>126</v>
      </c>
      <c r="AU254" s="522" t="s">
        <v>126</v>
      </c>
      <c r="AV254" s="492" t="s">
        <v>126</v>
      </c>
      <c r="AW254" s="52">
        <f t="shared" ref="AW254:CK254" si="787">(1+AW252)/(1+AW253)-1</f>
        <v>-3.1445894563765342E-2</v>
      </c>
      <c r="AX254" s="52">
        <f t="shared" si="787"/>
        <v>-4.5640943707727644E-2</v>
      </c>
      <c r="AY254" s="52">
        <f t="shared" si="787"/>
        <v>-4.6921184095218837E-2</v>
      </c>
      <c r="AZ254" s="52">
        <f t="shared" si="787"/>
        <v>-5.7933984404572647E-2</v>
      </c>
      <c r="BA254" s="112">
        <f t="shared" si="787"/>
        <v>-4.2619642513934242E-2</v>
      </c>
      <c r="BB254" s="52">
        <f t="shared" si="787"/>
        <v>-1.3094185507978584E-2</v>
      </c>
      <c r="BC254" s="52">
        <f t="shared" si="787"/>
        <v>4.4114191729323293E-2</v>
      </c>
      <c r="BD254" s="52">
        <f t="shared" si="787"/>
        <v>9.5674967234600228E-2</v>
      </c>
      <c r="BE254" s="52">
        <f t="shared" si="787"/>
        <v>0.12597598283183409</v>
      </c>
      <c r="BF254" s="113">
        <f>SUMPRODUCT(BB254:BE254,AW251:AZ251)/BA251</f>
        <v>6.0781189172482673E-2</v>
      </c>
      <c r="BG254" s="52">
        <f t="shared" si="787"/>
        <v>2.0368224942856283E-2</v>
      </c>
      <c r="BH254" s="52">
        <f t="shared" si="787"/>
        <v>-4.8782293285957512E-2</v>
      </c>
      <c r="BI254" s="52">
        <f t="shared" si="787"/>
        <v>-5.4324861741129715E-2</v>
      </c>
      <c r="BJ254" s="52">
        <f t="shared" si="787"/>
        <v>-8.5917096363758216E-2</v>
      </c>
      <c r="BK254" s="113">
        <f>SUMPRODUCT(BG254:BJ254,BB251:BE251)/BF251</f>
        <v>-4.253126261510249E-2</v>
      </c>
      <c r="BL254" s="52">
        <f t="shared" si="787"/>
        <v>-5.0290426872705463E-2</v>
      </c>
      <c r="BM254" s="52">
        <f t="shared" si="787"/>
        <v>-3.7856205580964919E-2</v>
      </c>
      <c r="BN254" s="52">
        <f t="shared" si="787"/>
        <v>-1.5464011193690674E-2</v>
      </c>
      <c r="BO254" s="52">
        <f t="shared" si="787"/>
        <v>-3.4827606256177757E-2</v>
      </c>
      <c r="BP254" s="112">
        <f>SUMPRODUCT(BL254:BO254,BG251:BJ251)/BK251</f>
        <v>-3.4844561984710622E-2</v>
      </c>
      <c r="BQ254" s="52">
        <f t="shared" si="787"/>
        <v>-5.6668899077849666E-4</v>
      </c>
      <c r="BR254" s="52">
        <f t="shared" si="787"/>
        <v>4.1021453910693229E-2</v>
      </c>
      <c r="BS254" s="52">
        <f t="shared" si="787"/>
        <v>5.8336274283118161E-2</v>
      </c>
      <c r="BT254" s="52">
        <f t="shared" si="787"/>
        <v>8.3682556312205225E-2</v>
      </c>
      <c r="BU254" s="112">
        <f>SUMPRODUCT(BQ254:BT254,BL251:BO251)/BP251</f>
        <v>3.9762854586025E-2</v>
      </c>
      <c r="BV254" s="52">
        <f t="shared" si="787"/>
        <v>5.2246404480081443E-2</v>
      </c>
      <c r="BW254" s="52">
        <f t="shared" si="787"/>
        <v>2.07942643550596E-3</v>
      </c>
      <c r="BX254" s="52">
        <f t="shared" si="787"/>
        <v>-5.7381358605507637E-2</v>
      </c>
      <c r="BY254" s="52">
        <f t="shared" si="787"/>
        <v>-9.0578493901756763E-2</v>
      </c>
      <c r="BZ254" s="112">
        <f>SUMPRODUCT(BV254:BY254,BQ251:BT251)/BU251</f>
        <v>-2.2813662491431488E-2</v>
      </c>
      <c r="CA254" s="52">
        <f t="shared" si="787"/>
        <v>-0.13857939258604501</v>
      </c>
      <c r="CB254" s="52">
        <f t="shared" si="787"/>
        <v>-0.16508330023020634</v>
      </c>
      <c r="CC254" s="52">
        <f t="shared" si="787"/>
        <v>-7.2979317671652999E-2</v>
      </c>
      <c r="CD254" s="52">
        <f t="shared" si="787"/>
        <v>-3.6960590127552484E-2</v>
      </c>
      <c r="CE254" s="112">
        <f>SUMPRODUCT(CA254:CD254,BV251:BY251)/BZ251</f>
        <v>-0.10417038087343185</v>
      </c>
      <c r="CF254" s="52">
        <f t="shared" si="787"/>
        <v>2.1800293236870827E-2</v>
      </c>
      <c r="CG254" s="52">
        <f t="shared" si="787"/>
        <v>5.3975232911684268E-2</v>
      </c>
      <c r="CH254" s="52">
        <f t="shared" si="787"/>
        <v>7.0086260012323098E-3</v>
      </c>
      <c r="CI254" s="114">
        <f t="shared" si="787"/>
        <v>-2.704300280774341E-2</v>
      </c>
      <c r="CJ254" s="112">
        <f>SUMPRODUCT(CF254:CI254,CA251:CD251)/CE251</f>
        <v>1.4393792337264609E-2</v>
      </c>
      <c r="CK254" s="114">
        <f t="shared" si="787"/>
        <v>-1.0639637370939314E-2</v>
      </c>
      <c r="CL254" s="52">
        <f>(1+CL252)/(1+CL253)-1</f>
        <v>2.8875805999439175E-2</v>
      </c>
      <c r="CM254" s="52">
        <f>(1+CM252)/(1+CM253)-1</f>
        <v>-4.7028192506407329E-2</v>
      </c>
      <c r="CN254" s="52">
        <f>(1+CN252)/(1+CN253)-1</f>
        <v>1.2555690562980892E-2</v>
      </c>
      <c r="CO254" s="112">
        <f>SUMPRODUCT(CK254:CN254,CF251:CI251)/CJ251</f>
        <v>-3.0609411083166371E-3</v>
      </c>
      <c r="CP254" s="114">
        <f t="shared" ref="CP254" si="788">(1+CP252)/(1+CP253)-1</f>
        <v>4.9322240528220762E-2</v>
      </c>
      <c r="CQ254" s="52">
        <f>(1+CQ252)/(1+CQ253)-1</f>
        <v>3.7318385183962022E-2</v>
      </c>
      <c r="CR254" s="52">
        <f>(1+CR252)/(1+CR253)-1</f>
        <v>9.9367691442604711E-2</v>
      </c>
      <c r="CS254" s="52">
        <f>(1+CS252)/(1+CS253)-1</f>
        <v>5.4964539007092306E-2</v>
      </c>
      <c r="CT254" s="112">
        <f>SUMPRODUCT(CP254:CS254,CK251:CN251)/CO251</f>
        <v>5.8945796353860096E-2</v>
      </c>
      <c r="CU254" s="114">
        <v>-1.4999999999999999E-2</v>
      </c>
      <c r="CV254" s="53">
        <v>-2.3E-2</v>
      </c>
      <c r="CW254" s="53">
        <v>-3.5999999999999997E-2</v>
      </c>
      <c r="CX254" s="53">
        <v>-2.8000000000000001E-2</v>
      </c>
      <c r="CY254" s="112">
        <f>SUMPRODUCT(CU254:CX254,CP251:CS251)/CT251</f>
        <v>-2.5035396118358255E-2</v>
      </c>
      <c r="CZ254" s="53">
        <v>-1.4999999999999999E-2</v>
      </c>
      <c r="DA254" s="53">
        <v>0</v>
      </c>
      <c r="DB254" s="53">
        <v>0</v>
      </c>
      <c r="DC254" s="53">
        <v>0</v>
      </c>
      <c r="DD254" s="112">
        <f>SUMPRODUCT(CZ254:DC254,CU251:CX251)/CY251</f>
        <v>-4.148071583288726E-3</v>
      </c>
      <c r="DE254" s="53">
        <v>0</v>
      </c>
      <c r="DF254" s="53">
        <v>0</v>
      </c>
      <c r="DG254" s="53">
        <v>0</v>
      </c>
      <c r="DH254" s="53">
        <v>0</v>
      </c>
      <c r="DI254" s="112">
        <f>SUMPRODUCT(DE254:DH254,CZ251:DC251)/DD251</f>
        <v>0</v>
      </c>
    </row>
    <row r="255" spans="1:113" ht="12" customHeight="1">
      <c r="A255" s="219"/>
      <c r="B255" s="17"/>
      <c r="C255" s="79"/>
      <c r="D255" s="6"/>
      <c r="E255" s="79"/>
      <c r="F255" s="6"/>
      <c r="G255" s="79"/>
      <c r="H255" s="6"/>
      <c r="I255" s="79"/>
      <c r="J255" s="6"/>
      <c r="K255" s="79"/>
      <c r="L255" s="6"/>
      <c r="M255" s="79"/>
      <c r="N255" s="6"/>
      <c r="O255" s="79"/>
      <c r="P255" s="6"/>
      <c r="Q255" s="79"/>
      <c r="R255" s="6"/>
      <c r="S255" s="6"/>
      <c r="T255" s="6"/>
      <c r="U255" s="6"/>
      <c r="V255" s="79"/>
      <c r="W255" s="6"/>
      <c r="X255" s="6"/>
      <c r="Y255" s="6"/>
      <c r="Z255" s="6"/>
      <c r="AA255" s="79"/>
      <c r="AB255" s="79"/>
      <c r="AC255" s="6"/>
      <c r="AD255" s="6"/>
      <c r="AE255" s="6"/>
      <c r="AF255" s="6"/>
      <c r="AG255" s="79"/>
      <c r="AH255" s="6"/>
      <c r="AI255" s="6"/>
      <c r="AJ255" s="6"/>
      <c r="AK255" s="6"/>
      <c r="AL255" s="79"/>
      <c r="AM255" s="6"/>
      <c r="AN255" s="6"/>
      <c r="AO255" s="6"/>
      <c r="AP255" s="6"/>
      <c r="AQ255" s="79"/>
      <c r="AR255" s="6"/>
      <c r="AS255" s="6"/>
      <c r="AT255" s="6"/>
      <c r="AU255" s="6"/>
      <c r="AV255" s="79"/>
      <c r="AW255" s="6"/>
      <c r="AX255" s="6"/>
      <c r="AY255" s="6"/>
      <c r="AZ255" s="376"/>
      <c r="BA255" s="79"/>
      <c r="BB255" s="376"/>
      <c r="BC255" s="376"/>
      <c r="BD255" s="376"/>
      <c r="BE255" s="188"/>
      <c r="BF255" s="79"/>
      <c r="BG255" s="188"/>
      <c r="BH255" s="188"/>
      <c r="BI255" s="188"/>
      <c r="BJ255" s="188"/>
      <c r="BK255" s="79"/>
      <c r="BL255" s="188"/>
      <c r="BM255" s="188"/>
      <c r="BN255" s="231"/>
      <c r="BO255" s="231"/>
      <c r="BP255" s="580"/>
      <c r="BQ255" s="231"/>
      <c r="BR255" s="231"/>
      <c r="BS255" s="231"/>
      <c r="BT255" s="188"/>
      <c r="BU255" s="580"/>
      <c r="BV255" s="6"/>
      <c r="BW255" s="6"/>
      <c r="BX255" s="6"/>
      <c r="BY255" s="6"/>
      <c r="BZ255" s="79"/>
      <c r="CA255" s="6"/>
      <c r="CB255" s="6"/>
      <c r="CC255" s="6"/>
      <c r="CD255" s="6"/>
      <c r="CE255" s="79"/>
      <c r="CF255" s="6"/>
      <c r="CG255" s="6"/>
      <c r="CH255" s="49"/>
      <c r="CI255" s="24"/>
      <c r="CJ255" s="79"/>
      <c r="CK255" s="188"/>
      <c r="CL255" s="188"/>
      <c r="CM255" s="188"/>
      <c r="CN255" s="188"/>
      <c r="CO255" s="79"/>
      <c r="CP255" s="188"/>
      <c r="CQ255" s="188"/>
      <c r="CR255" s="188"/>
      <c r="CS255" s="188"/>
      <c r="CT255" s="79"/>
      <c r="CU255" s="233"/>
      <c r="CV255" s="188"/>
      <c r="CW255" s="188"/>
      <c r="CX255" s="188"/>
      <c r="CY255" s="79"/>
      <c r="CZ255" s="188"/>
      <c r="DA255" s="188"/>
      <c r="DB255" s="188"/>
      <c r="DC255" s="188"/>
      <c r="DD255" s="79"/>
      <c r="DE255" s="188"/>
      <c r="DF255" s="188"/>
      <c r="DG255" s="188"/>
      <c r="DH255" s="188"/>
      <c r="DI255" s="79"/>
    </row>
    <row r="256" spans="1:113" s="7" customFormat="1" ht="12" hidden="1" customHeight="1" outlineLevel="1">
      <c r="A256" s="239" t="str">
        <f t="shared" si="709"/>
        <v xml:space="preserve"> </v>
      </c>
      <c r="B256" s="20" t="s">
        <v>95</v>
      </c>
      <c r="C256" s="36"/>
      <c r="D256" s="43"/>
      <c r="E256" s="36"/>
      <c r="F256" s="43"/>
      <c r="G256" s="36"/>
      <c r="H256" s="43"/>
      <c r="I256" s="36"/>
      <c r="J256" s="43"/>
      <c r="K256" s="36"/>
      <c r="L256" s="43"/>
      <c r="M256" s="36"/>
      <c r="N256" s="43"/>
      <c r="O256" s="36"/>
      <c r="P256" s="43"/>
      <c r="Q256" s="36"/>
      <c r="R256" s="43">
        <f>632+149</f>
        <v>781</v>
      </c>
      <c r="S256" s="43">
        <v>623</v>
      </c>
      <c r="T256" s="43">
        <v>712</v>
      </c>
      <c r="U256" s="43">
        <v>834</v>
      </c>
      <c r="V256" s="36">
        <f>SUM(R256:U256)</f>
        <v>2950</v>
      </c>
      <c r="W256" s="43">
        <v>911</v>
      </c>
      <c r="X256" s="43">
        <v>673</v>
      </c>
      <c r="Y256" s="43">
        <v>767</v>
      </c>
      <c r="Z256" s="43">
        <v>846</v>
      </c>
      <c r="AA256" s="36">
        <f>SUM(W256:Z256)</f>
        <v>3197</v>
      </c>
      <c r="AB256" s="36"/>
      <c r="AC256" s="43">
        <v>884</v>
      </c>
      <c r="AD256" s="43">
        <v>671</v>
      </c>
      <c r="AE256" s="43">
        <v>863</v>
      </c>
      <c r="AF256" s="43">
        <v>911</v>
      </c>
      <c r="AG256" s="36">
        <f>SUM(AC256:AF256)</f>
        <v>3329</v>
      </c>
      <c r="AH256" s="43">
        <v>1022</v>
      </c>
      <c r="AI256" s="43">
        <v>839</v>
      </c>
      <c r="AJ256" s="43">
        <v>1098</v>
      </c>
      <c r="AK256" s="43">
        <v>1103</v>
      </c>
      <c r="AL256" s="36">
        <f>SUM(AH256:AK256)</f>
        <v>4062</v>
      </c>
      <c r="AM256" s="43">
        <v>1350</v>
      </c>
      <c r="AN256" s="43">
        <v>1043</v>
      </c>
      <c r="AO256" s="43">
        <f>986+187</f>
        <v>1173</v>
      </c>
      <c r="AP256" s="43">
        <v>1137</v>
      </c>
      <c r="AQ256" s="36">
        <f>SUM(AM256:AP256)</f>
        <v>4703</v>
      </c>
      <c r="AR256" s="43">
        <v>1409</v>
      </c>
      <c r="AS256" s="43">
        <v>1086</v>
      </c>
      <c r="AT256" s="43">
        <v>1257</v>
      </c>
      <c r="AU256" s="43">
        <v>1291</v>
      </c>
      <c r="AV256" s="36">
        <f>SUM(AR256:AU256)</f>
        <v>5043</v>
      </c>
      <c r="AW256" s="43">
        <v>1457</v>
      </c>
      <c r="AX256" s="43">
        <v>1116</v>
      </c>
      <c r="AY256" s="43">
        <v>1271</v>
      </c>
      <c r="AZ256" s="43">
        <v>1348</v>
      </c>
      <c r="BA256" s="36">
        <f>SUM(AW256:AZ256)</f>
        <v>5192</v>
      </c>
      <c r="BB256" s="43">
        <v>1471</v>
      </c>
      <c r="BC256" s="43">
        <v>1290</v>
      </c>
      <c r="BD256" s="43">
        <v>1489</v>
      </c>
      <c r="BE256" s="43">
        <v>1625</v>
      </c>
      <c r="BF256" s="36">
        <f>SUM(BB256:BE256)</f>
        <v>5875</v>
      </c>
      <c r="BG256" s="43">
        <v>1642</v>
      </c>
      <c r="BH256" s="43">
        <v>1419</v>
      </c>
      <c r="BI256" s="43">
        <v>1589</v>
      </c>
      <c r="BJ256" s="43">
        <v>1643</v>
      </c>
      <c r="BK256" s="36">
        <f>SUM(BG256:BJ256)</f>
        <v>6293</v>
      </c>
      <c r="BL256" s="43">
        <v>1758</v>
      </c>
      <c r="BM256" s="43">
        <v>1536</v>
      </c>
      <c r="BN256" s="43">
        <v>1711</v>
      </c>
      <c r="BO256" s="43">
        <v>887</v>
      </c>
      <c r="BP256" s="36">
        <f>SUM(BL256:BO256)</f>
        <v>5892</v>
      </c>
      <c r="BQ256" s="43">
        <v>1802</v>
      </c>
      <c r="BR256" s="43">
        <v>1731</v>
      </c>
      <c r="BS256" s="43">
        <v>1606</v>
      </c>
      <c r="BT256" s="43">
        <v>1831</v>
      </c>
      <c r="BU256" s="36">
        <f>SUM(BQ256:BT256)</f>
        <v>6970</v>
      </c>
      <c r="BV256" s="43">
        <v>1983</v>
      </c>
      <c r="BW256" s="43">
        <v>1806</v>
      </c>
      <c r="BX256" s="43">
        <v>1569</v>
      </c>
      <c r="BY256" s="43">
        <v>2030</v>
      </c>
      <c r="BZ256" s="36">
        <f>SUM(BV256:BY256)</f>
        <v>7388</v>
      </c>
      <c r="CA256" s="43">
        <v>2012</v>
      </c>
      <c r="CB256" s="43">
        <v>2063</v>
      </c>
      <c r="CC256" s="43">
        <v>2011</v>
      </c>
      <c r="CD256" s="43">
        <v>2174</v>
      </c>
      <c r="CE256" s="36">
        <f>SUM(CA256:CD256)</f>
        <v>8260</v>
      </c>
      <c r="CF256" s="43">
        <v>2260</v>
      </c>
      <c r="CG256" s="43">
        <v>2186</v>
      </c>
      <c r="CH256" s="43">
        <v>1960</v>
      </c>
      <c r="CI256" s="369">
        <v>2067</v>
      </c>
      <c r="CJ256" s="36">
        <f>SUM(CF256:CI256)</f>
        <v>8473</v>
      </c>
      <c r="CK256" s="43">
        <v>1952</v>
      </c>
      <c r="CL256" s="43">
        <v>1982</v>
      </c>
      <c r="CM256" s="43">
        <v>1742</v>
      </c>
      <c r="CN256" s="43">
        <v>1893</v>
      </c>
      <c r="CO256" s="36">
        <f>SUM(CK256:CN256)</f>
        <v>7569</v>
      </c>
      <c r="CP256" s="43">
        <v>2021</v>
      </c>
      <c r="CQ256" s="43">
        <v>2012</v>
      </c>
      <c r="CR256" s="43">
        <v>1789</v>
      </c>
      <c r="CS256" s="43">
        <v>1821</v>
      </c>
      <c r="CT256" s="36">
        <f>SUM(CP256:CS256)</f>
        <v>7643</v>
      </c>
      <c r="CU256" s="369">
        <v>1798</v>
      </c>
      <c r="CV256" s="43">
        <f>CQ256*(1+CV258)*(1+CV261)</f>
        <v>1690.5226399999999</v>
      </c>
      <c r="CW256" s="43">
        <f>CR256*(1+CW258)*(1+CW261)</f>
        <v>1672.8581199999999</v>
      </c>
      <c r="CX256" s="43">
        <f>CS256*(1+CX258)*(1+CX261)</f>
        <v>1663.8112799999999</v>
      </c>
      <c r="CY256" s="36">
        <f>SUM(CU256:CX256)</f>
        <v>6825.1920399999999</v>
      </c>
      <c r="CZ256" s="43">
        <f>CU256*(1+CZ258)*(1+CZ261)</f>
        <v>1664.7682</v>
      </c>
      <c r="DA256" s="43">
        <f>CV256*(1+DA258)*(1+DA261)</f>
        <v>1622.9017343999999</v>
      </c>
      <c r="DB256" s="43">
        <f>CW256*(1+DB258)*(1+DB261)</f>
        <v>1622.6723763999998</v>
      </c>
      <c r="DC256" s="43">
        <f>CX256*(1+DC258)*(1+DC261)</f>
        <v>1613.8969415999998</v>
      </c>
      <c r="DD256" s="36">
        <f>SUM(CZ256:DC256)</f>
        <v>6524.2392523999997</v>
      </c>
      <c r="DE256" s="43">
        <f>CZ256*(1+DE258)*(1+DE261)</f>
        <v>1664.7682</v>
      </c>
      <c r="DF256" s="43">
        <f>DA256*(1+DF258)*(1+DF261)</f>
        <v>1622.9017343999999</v>
      </c>
      <c r="DG256" s="43">
        <f>DB256*(1+DG258)*(1+DG261)</f>
        <v>1638.8991001639999</v>
      </c>
      <c r="DH256" s="43">
        <f>DC256*(1+DH258)*(1+DH261)</f>
        <v>1630.0359110159998</v>
      </c>
      <c r="DI256" s="36">
        <f>SUM(DE256:DH256)</f>
        <v>6556.6049455799994</v>
      </c>
    </row>
    <row r="257" spans="1:113" ht="12" hidden="1" customHeight="1" outlineLevel="1">
      <c r="A257" s="219" t="str">
        <f t="shared" si="709"/>
        <v xml:space="preserve"> </v>
      </c>
      <c r="B257" s="491" t="s">
        <v>171</v>
      </c>
      <c r="C257" s="492"/>
      <c r="D257" s="522"/>
      <c r="E257" s="492"/>
      <c r="F257" s="522"/>
      <c r="G257" s="492"/>
      <c r="H257" s="522"/>
      <c r="I257" s="492"/>
      <c r="J257" s="522"/>
      <c r="K257" s="492"/>
      <c r="L257" s="522"/>
      <c r="M257" s="492"/>
      <c r="N257" s="522"/>
      <c r="O257" s="492"/>
      <c r="P257" s="522"/>
      <c r="Q257" s="492"/>
      <c r="R257" s="378" t="s">
        <v>126</v>
      </c>
      <c r="S257" s="522" t="s">
        <v>126</v>
      </c>
      <c r="T257" s="522" t="s">
        <v>126</v>
      </c>
      <c r="U257" s="522" t="s">
        <v>126</v>
      </c>
      <c r="V257" s="492" t="s">
        <v>126</v>
      </c>
      <c r="W257" s="52">
        <f>+W256/R256-1</f>
        <v>0.16645326504481428</v>
      </c>
      <c r="X257" s="52">
        <f>+X256/S256-1</f>
        <v>8.0256821829855607E-2</v>
      </c>
      <c r="Y257" s="52">
        <f>+Y256/T256-1</f>
        <v>7.7247191011236005E-2</v>
      </c>
      <c r="Z257" s="52">
        <f>+Z256/U256-1</f>
        <v>1.4388489208633004E-2</v>
      </c>
      <c r="AA257" s="112">
        <f>+AA256/V256-1</f>
        <v>8.3728813559321935E-2</v>
      </c>
      <c r="AB257" s="112"/>
      <c r="AC257" s="52">
        <f>+AC256/W256-1</f>
        <v>-2.9637760702524663E-2</v>
      </c>
      <c r="AD257" s="52">
        <f>+AD256/X256-1</f>
        <v>-2.9717682020802272E-3</v>
      </c>
      <c r="AE257" s="52">
        <f>+AE256/Y256-1</f>
        <v>0.12516297262059983</v>
      </c>
      <c r="AF257" s="52">
        <f>+AF256/Z256-1</f>
        <v>7.6832151300236351E-2</v>
      </c>
      <c r="AG257" s="112">
        <f>+AG256/AA256-1</f>
        <v>4.1288708163903731E-2</v>
      </c>
      <c r="AH257" s="52">
        <f t="shared" ref="AH257:AU257" si="789">+AH256/AC256-1</f>
        <v>0.15610859728506776</v>
      </c>
      <c r="AI257" s="52">
        <f t="shared" si="789"/>
        <v>0.25037257824143078</v>
      </c>
      <c r="AJ257" s="52">
        <f t="shared" si="789"/>
        <v>0.27230590961761303</v>
      </c>
      <c r="AK257" s="52">
        <f t="shared" si="789"/>
        <v>0.21075740944017562</v>
      </c>
      <c r="AL257" s="112">
        <f t="shared" si="789"/>
        <v>0.22018624211474913</v>
      </c>
      <c r="AM257" s="52">
        <f t="shared" si="789"/>
        <v>0.32093933463796476</v>
      </c>
      <c r="AN257" s="52">
        <f t="shared" si="789"/>
        <v>0.24314660309892733</v>
      </c>
      <c r="AO257" s="52">
        <f t="shared" si="789"/>
        <v>6.8306010928961713E-2</v>
      </c>
      <c r="AP257" s="52">
        <f t="shared" si="789"/>
        <v>3.0825022665457835E-2</v>
      </c>
      <c r="AQ257" s="112">
        <f t="shared" si="789"/>
        <v>0.15780403741999005</v>
      </c>
      <c r="AR257" s="52">
        <f t="shared" si="789"/>
        <v>4.37037037037038E-2</v>
      </c>
      <c r="AS257" s="52">
        <f t="shared" si="789"/>
        <v>4.122722914669219E-2</v>
      </c>
      <c r="AT257" s="52">
        <f t="shared" si="789"/>
        <v>7.1611253196930846E-2</v>
      </c>
      <c r="AU257" s="52">
        <f t="shared" si="789"/>
        <v>0.13544415127528575</v>
      </c>
      <c r="AV257" s="112">
        <f t="shared" ref="AV257:BG257" si="790">+AV256/AQ256-1</f>
        <v>7.2294280246651077E-2</v>
      </c>
      <c r="AW257" s="52">
        <f t="shared" si="790"/>
        <v>3.4066713981547148E-2</v>
      </c>
      <c r="AX257" s="52">
        <f t="shared" si="790"/>
        <v>2.7624309392265234E-2</v>
      </c>
      <c r="AY257" s="52">
        <f t="shared" si="790"/>
        <v>1.1137629276054106E-2</v>
      </c>
      <c r="AZ257" s="52">
        <f t="shared" si="790"/>
        <v>4.415182029434539E-2</v>
      </c>
      <c r="BA257" s="112">
        <f t="shared" si="790"/>
        <v>2.9545905215149659E-2</v>
      </c>
      <c r="BB257" s="52">
        <f t="shared" si="790"/>
        <v>9.608785175017065E-3</v>
      </c>
      <c r="BC257" s="52">
        <f t="shared" si="790"/>
        <v>0.15591397849462374</v>
      </c>
      <c r="BD257" s="52">
        <f t="shared" si="790"/>
        <v>0.17151848937844227</v>
      </c>
      <c r="BE257" s="52">
        <f t="shared" si="790"/>
        <v>0.20548961424332335</v>
      </c>
      <c r="BF257" s="112">
        <f t="shared" ref="BF257:BP257" si="791">+BF256/BA256-1</f>
        <v>0.1315485362095532</v>
      </c>
      <c r="BG257" s="52">
        <f t="shared" si="790"/>
        <v>0.11624745071380005</v>
      </c>
      <c r="BH257" s="52">
        <f t="shared" si="791"/>
        <v>0.10000000000000009</v>
      </c>
      <c r="BI257" s="52">
        <f t="shared" si="791"/>
        <v>6.7159167226326311E-2</v>
      </c>
      <c r="BJ257" s="52">
        <f t="shared" si="791"/>
        <v>1.1076923076922984E-2</v>
      </c>
      <c r="BK257" s="112">
        <f t="shared" si="791"/>
        <v>7.1148936170212673E-2</v>
      </c>
      <c r="BL257" s="52">
        <f t="shared" si="791"/>
        <v>7.0645554202192429E-2</v>
      </c>
      <c r="BM257" s="52">
        <f t="shared" si="791"/>
        <v>8.2452431289640638E-2</v>
      </c>
      <c r="BN257" s="52">
        <f t="shared" si="791"/>
        <v>7.6777847702957924E-2</v>
      </c>
      <c r="BO257" s="52">
        <f t="shared" si="791"/>
        <v>-0.46013390139987831</v>
      </c>
      <c r="BP257" s="112">
        <f t="shared" si="791"/>
        <v>-6.3721595423486432E-2</v>
      </c>
      <c r="BQ257" s="52">
        <f t="shared" ref="BQ257:BZ257" si="792">+BQ256/BL256-1</f>
        <v>2.5028441410694047E-2</v>
      </c>
      <c r="BR257" s="52">
        <f t="shared" si="792"/>
        <v>0.126953125</v>
      </c>
      <c r="BS257" s="52">
        <f t="shared" si="792"/>
        <v>-6.1367621274108664E-2</v>
      </c>
      <c r="BT257" s="52">
        <f t="shared" si="792"/>
        <v>1.0642615558060879</v>
      </c>
      <c r="BU257" s="112">
        <f t="shared" si="792"/>
        <v>0.18295994568907004</v>
      </c>
      <c r="BV257" s="52">
        <f t="shared" si="792"/>
        <v>0.10044395116537186</v>
      </c>
      <c r="BW257" s="52">
        <f t="shared" si="792"/>
        <v>4.3327556325823302E-2</v>
      </c>
      <c r="BX257" s="52">
        <f t="shared" si="792"/>
        <v>-2.3038605230386033E-2</v>
      </c>
      <c r="BY257" s="52">
        <f t="shared" si="792"/>
        <v>0.10868377935554352</v>
      </c>
      <c r="BZ257" s="112">
        <f t="shared" si="792"/>
        <v>5.9971305595408975E-2</v>
      </c>
      <c r="CA257" s="52">
        <f t="shared" ref="CA257" si="793">+CA256/BV256-1</f>
        <v>1.4624306606152215E-2</v>
      </c>
      <c r="CB257" s="52">
        <f t="shared" ref="CB257:CD257" si="794">+CB256/BW256-1</f>
        <v>0.14230343300110748</v>
      </c>
      <c r="CC257" s="52">
        <f t="shared" si="794"/>
        <v>0.28170809432759714</v>
      </c>
      <c r="CD257" s="52">
        <f t="shared" si="794"/>
        <v>7.0935960591133052E-2</v>
      </c>
      <c r="CE257" s="112">
        <f t="shared" ref="CE257" si="795">+CE256/BZ256-1</f>
        <v>0.11802923659989162</v>
      </c>
      <c r="CF257" s="52">
        <f t="shared" ref="CF257" si="796">+CF256/CA256-1</f>
        <v>0.12326043737574555</v>
      </c>
      <c r="CG257" s="52">
        <f t="shared" ref="CG257:CH257" si="797">+CG256/CB256-1</f>
        <v>5.9621909840038789E-2</v>
      </c>
      <c r="CH257" s="52">
        <f t="shared" si="797"/>
        <v>-2.5360517155643914E-2</v>
      </c>
      <c r="CI257" s="114">
        <f t="shared" ref="CI257" si="798">+CI256/CD256-1</f>
        <v>-4.9218031278748797E-2</v>
      </c>
      <c r="CJ257" s="112">
        <f t="shared" ref="CJ257" si="799">+CJ256/CE256-1</f>
        <v>2.5786924939467326E-2</v>
      </c>
      <c r="CK257" s="52">
        <f t="shared" ref="CK257:CM257" si="800">+CK256/CF256-1</f>
        <v>-0.13628318584070798</v>
      </c>
      <c r="CL257" s="52">
        <f t="shared" si="800"/>
        <v>-9.3321134492223234E-2</v>
      </c>
      <c r="CM257" s="52">
        <f t="shared" si="800"/>
        <v>-0.11122448979591837</v>
      </c>
      <c r="CN257" s="52">
        <f t="shared" ref="CN257" si="801">+CN256/CI256-1</f>
        <v>-8.4179970972423801E-2</v>
      </c>
      <c r="CO257" s="112">
        <f t="shared" ref="CO257" si="802">+CO256/CJ256-1</f>
        <v>-0.1066918446831111</v>
      </c>
      <c r="CP257" s="52">
        <f t="shared" ref="CP257:CQ257" si="803">+CP256/CK256-1</f>
        <v>3.5348360655737654E-2</v>
      </c>
      <c r="CQ257" s="52">
        <f t="shared" si="803"/>
        <v>1.5136226034308864E-2</v>
      </c>
      <c r="CR257" s="52">
        <f t="shared" ref="CR257" si="804">+CR256/CM256-1</f>
        <v>2.6980482204362888E-2</v>
      </c>
      <c r="CS257" s="52">
        <f t="shared" ref="CS257" si="805">+CS256/CN256-1</f>
        <v>-3.8034865293185449E-2</v>
      </c>
      <c r="CT257" s="112">
        <f t="shared" ref="CT257" si="806">+CT256/CO256-1</f>
        <v>9.77672083498482E-3</v>
      </c>
      <c r="CU257" s="114">
        <f t="shared" ref="CU257" si="807">+CU256/CP256-1</f>
        <v>-0.11034141514101925</v>
      </c>
      <c r="CV257" s="52">
        <f t="shared" ref="CV257" si="808">+CV256/CQ256-1</f>
        <v>-0.15978000000000003</v>
      </c>
      <c r="CW257" s="52">
        <f t="shared" ref="CW257" si="809">+CW256/CR256-1</f>
        <v>-6.4920000000000089E-2</v>
      </c>
      <c r="CX257" s="52">
        <f t="shared" ref="CX257" si="810">+CX256/CS256-1</f>
        <v>-8.6320000000000063E-2</v>
      </c>
      <c r="CY257" s="112">
        <f t="shared" ref="CY257" si="811">+CY256/CT256-1</f>
        <v>-0.10700091063718431</v>
      </c>
      <c r="CZ257" s="52">
        <f t="shared" ref="CZ257" si="812">+CZ256/CU256-1</f>
        <v>-7.4100000000000055E-2</v>
      </c>
      <c r="DA257" s="52">
        <f t="shared" ref="DA257" si="813">+DA256/CV256-1</f>
        <v>-4.0000000000000036E-2</v>
      </c>
      <c r="DB257" s="52">
        <f t="shared" ref="DB257" si="814">+DB256/CW256-1</f>
        <v>-3.0000000000000027E-2</v>
      </c>
      <c r="DC257" s="52">
        <f t="shared" ref="DC257" si="815">+DC256/CX256-1</f>
        <v>-3.0000000000000027E-2</v>
      </c>
      <c r="DD257" s="112">
        <f t="shared" ref="DD257" si="816">+DD256/CY256-1</f>
        <v>-4.4094405818359994E-2</v>
      </c>
      <c r="DE257" s="52">
        <f t="shared" ref="DE257" si="817">+DE256/CZ256-1</f>
        <v>0</v>
      </c>
      <c r="DF257" s="52">
        <f t="shared" ref="DF257" si="818">+DF256/DA256-1</f>
        <v>0</v>
      </c>
      <c r="DG257" s="52">
        <f t="shared" ref="DG257" si="819">+DG256/DB256-1</f>
        <v>1.0000000000000009E-2</v>
      </c>
      <c r="DH257" s="52">
        <f t="shared" ref="DH257" si="820">+DH256/DC256-1</f>
        <v>1.0000000000000009E-2</v>
      </c>
      <c r="DI257" s="112">
        <f t="shared" ref="DI257" si="821">+DI256/DD256-1</f>
        <v>4.9608378736407666E-3</v>
      </c>
    </row>
    <row r="258" spans="1:113" s="529" customFormat="1" ht="12" hidden="1" customHeight="1" outlineLevel="1">
      <c r="A258" s="219" t="str">
        <f t="shared" si="709"/>
        <v xml:space="preserve"> </v>
      </c>
      <c r="B258" s="526" t="s">
        <v>173</v>
      </c>
      <c r="C258" s="112"/>
      <c r="D258" s="52"/>
      <c r="E258" s="112"/>
      <c r="F258" s="52"/>
      <c r="G258" s="112"/>
      <c r="H258" s="52"/>
      <c r="I258" s="112"/>
      <c r="J258" s="52"/>
      <c r="K258" s="112"/>
      <c r="L258" s="52"/>
      <c r="M258" s="112"/>
      <c r="N258" s="52"/>
      <c r="O258" s="112"/>
      <c r="P258" s="52"/>
      <c r="Q258" s="112"/>
      <c r="R258" s="217" t="s">
        <v>126</v>
      </c>
      <c r="S258" s="52" t="s">
        <v>126</v>
      </c>
      <c r="T258" s="52" t="s">
        <v>126</v>
      </c>
      <c r="U258" s="52" t="s">
        <v>126</v>
      </c>
      <c r="V258" s="112" t="s">
        <v>126</v>
      </c>
      <c r="W258" s="378" t="s">
        <v>126</v>
      </c>
      <c r="X258" s="522" t="s">
        <v>126</v>
      </c>
      <c r="Y258" s="522" t="s">
        <v>126</v>
      </c>
      <c r="Z258" s="522" t="s">
        <v>126</v>
      </c>
      <c r="AA258" s="492" t="s">
        <v>126</v>
      </c>
      <c r="AB258" s="492"/>
      <c r="AC258" s="378" t="s">
        <v>126</v>
      </c>
      <c r="AD258" s="522" t="s">
        <v>126</v>
      </c>
      <c r="AE258" s="522" t="s">
        <v>126</v>
      </c>
      <c r="AF258" s="522" t="s">
        <v>126</v>
      </c>
      <c r="AG258" s="492" t="s">
        <v>126</v>
      </c>
      <c r="AH258" s="378" t="s">
        <v>126</v>
      </c>
      <c r="AI258" s="522" t="s">
        <v>126</v>
      </c>
      <c r="AJ258" s="522" t="s">
        <v>126</v>
      </c>
      <c r="AK258" s="522" t="s">
        <v>126</v>
      </c>
      <c r="AL258" s="492" t="s">
        <v>126</v>
      </c>
      <c r="AM258" s="378" t="s">
        <v>126</v>
      </c>
      <c r="AN258" s="522" t="s">
        <v>126</v>
      </c>
      <c r="AO258" s="522" t="s">
        <v>126</v>
      </c>
      <c r="AP258" s="522" t="s">
        <v>126</v>
      </c>
      <c r="AQ258" s="492" t="s">
        <v>126</v>
      </c>
      <c r="AR258" s="378" t="s">
        <v>126</v>
      </c>
      <c r="AS258" s="522" t="s">
        <v>126</v>
      </c>
      <c r="AT258" s="522" t="s">
        <v>126</v>
      </c>
      <c r="AU258" s="522" t="s">
        <v>126</v>
      </c>
      <c r="AV258" s="492" t="s">
        <v>126</v>
      </c>
      <c r="AW258" s="52">
        <v>7.0000000000000007E-2</v>
      </c>
      <c r="AX258" s="52">
        <v>7.0000000000000007E-2</v>
      </c>
      <c r="AY258" s="52">
        <v>0.06</v>
      </c>
      <c r="AZ258" s="52">
        <v>0.11</v>
      </c>
      <c r="BA258" s="112">
        <v>0.08</v>
      </c>
      <c r="BB258" s="52">
        <v>0.02</v>
      </c>
      <c r="BC258" s="52">
        <v>0.11</v>
      </c>
      <c r="BD258" s="52">
        <v>7.0000000000000007E-2</v>
      </c>
      <c r="BE258" s="114">
        <v>7.0000000000000007E-2</v>
      </c>
      <c r="BF258" s="112">
        <f>SUMPRODUCT(BB258:BE258,AW256:AZ256)/BA256</f>
        <v>6.4566640986132517E-2</v>
      </c>
      <c r="BG258" s="114">
        <v>0.1</v>
      </c>
      <c r="BH258" s="114">
        <v>0.15</v>
      </c>
      <c r="BI258" s="114">
        <v>0.13</v>
      </c>
      <c r="BJ258" s="114">
        <v>0.11</v>
      </c>
      <c r="BK258" s="112">
        <f>SUMPRODUCT(BG258:BJ258,BB256:BE256)/BF256</f>
        <v>0.12134808510638299</v>
      </c>
      <c r="BL258" s="114">
        <v>0.13</v>
      </c>
      <c r="BM258" s="114">
        <v>0.12</v>
      </c>
      <c r="BN258" s="114">
        <v>0.09</v>
      </c>
      <c r="BO258" s="114">
        <v>-0.44</v>
      </c>
      <c r="BP258" s="112">
        <f>SUMPRODUCT(BL258:BO258,BG256:BJ256)/BK256</f>
        <v>-3.117273160654695E-2</v>
      </c>
      <c r="BQ258" s="114">
        <v>0.02</v>
      </c>
      <c r="BR258" s="245">
        <v>0.08</v>
      </c>
      <c r="BS258" s="114">
        <v>-0.11</v>
      </c>
      <c r="BT258" s="114">
        <v>0.9</v>
      </c>
      <c r="BU258" s="112">
        <f>SUMPRODUCT(BQ258:BT258,BL256:BO256)/BP256</f>
        <v>0.13036829599456892</v>
      </c>
      <c r="BV258" s="114">
        <v>0.04</v>
      </c>
      <c r="BW258" s="245">
        <v>0.04</v>
      </c>
      <c r="BX258" s="114">
        <v>0.04</v>
      </c>
      <c r="BY258" s="114">
        <v>0.22</v>
      </c>
      <c r="BZ258" s="112">
        <f>SUMPRODUCT(BV258:BY258,BQ256:BT256)/BU256</f>
        <v>8.7285509325681493E-2</v>
      </c>
      <c r="CA258" s="114">
        <v>0.18</v>
      </c>
      <c r="CB258" s="114">
        <v>0.37</v>
      </c>
      <c r="CC258" s="114">
        <v>0.39</v>
      </c>
      <c r="CD258" s="114">
        <v>0.11</v>
      </c>
      <c r="CE258" s="112">
        <f>SUMPRODUCT(CA258:CD258,BV256:BY256)/BZ256</f>
        <v>0.2518096913914456</v>
      </c>
      <c r="CF258" s="114">
        <v>0.1</v>
      </c>
      <c r="CG258" s="114">
        <v>0.01</v>
      </c>
      <c r="CH258" s="114">
        <v>-0.03</v>
      </c>
      <c r="CI258" s="114">
        <v>-0.02</v>
      </c>
      <c r="CJ258" s="112">
        <f>SUMPRODUCT(CF258:CI258,CA256:CD256)/CE256</f>
        <v>1.4288135593220338E-2</v>
      </c>
      <c r="CK258" s="114">
        <v>-0.12</v>
      </c>
      <c r="CL258" s="114">
        <v>-0.12</v>
      </c>
      <c r="CM258" s="114">
        <v>-7.0000000000000007E-2</v>
      </c>
      <c r="CN258" s="114">
        <v>-0.09</v>
      </c>
      <c r="CO258" s="112">
        <f>SUMPRODUCT(CK258:CN258,CF256:CI256)/CJ256</f>
        <v>-0.10111530744718518</v>
      </c>
      <c r="CP258" s="114">
        <v>-0.02</v>
      </c>
      <c r="CQ258" s="114">
        <v>-0.02</v>
      </c>
      <c r="CR258" s="114">
        <v>-7.0000000000000007E-2</v>
      </c>
      <c r="CS258" s="114">
        <v>-0.09</v>
      </c>
      <c r="CT258" s="112">
        <f>SUMPRODUCT(CP258:CS258,CK256:CN256)/CO256</f>
        <v>-4.9014400845554237E-2</v>
      </c>
      <c r="CU258" s="114">
        <v>-0.11</v>
      </c>
      <c r="CV258" s="53">
        <f>-5%-9%</f>
        <v>-0.14000000000000001</v>
      </c>
      <c r="CW258" s="53">
        <v>-0.03</v>
      </c>
      <c r="CX258" s="53">
        <v>-0.06</v>
      </c>
      <c r="CY258" s="112">
        <f>SUMPRODUCT(CU258:CX258,CP256:CS256)/CT256</f>
        <v>-8.7258929739631036E-2</v>
      </c>
      <c r="CZ258" s="53">
        <v>-0.06</v>
      </c>
      <c r="DA258" s="53">
        <v>-0.04</v>
      </c>
      <c r="DB258" s="53">
        <v>-0.03</v>
      </c>
      <c r="DC258" s="53">
        <v>-0.03</v>
      </c>
      <c r="DD258" s="112">
        <f>SUMPRODUCT(CZ258:DC258,CU256:CX256)/CY256</f>
        <v>-4.0379960883855218E-2</v>
      </c>
      <c r="DE258" s="53">
        <v>0</v>
      </c>
      <c r="DF258" s="53">
        <v>0</v>
      </c>
      <c r="DG258" s="53">
        <v>0.01</v>
      </c>
      <c r="DH258" s="53">
        <v>0.01</v>
      </c>
      <c r="DI258" s="112">
        <f>SUMPRODUCT(DE258:DH258,CZ256:DC256)/DD256</f>
        <v>4.9608378736408212E-3</v>
      </c>
    </row>
    <row r="259" spans="1:113" s="545" customFormat="1" ht="12" hidden="1" customHeight="1" outlineLevel="1">
      <c r="A259" s="219" t="str">
        <f t="shared" si="709"/>
        <v xml:space="preserve"> </v>
      </c>
      <c r="B259" s="546" t="s">
        <v>142</v>
      </c>
      <c r="C259" s="112"/>
      <c r="D259" s="52"/>
      <c r="E259" s="112"/>
      <c r="F259" s="52"/>
      <c r="G259" s="112"/>
      <c r="H259" s="52"/>
      <c r="I259" s="112"/>
      <c r="J259" s="52"/>
      <c r="K259" s="112"/>
      <c r="L259" s="52"/>
      <c r="M259" s="112"/>
      <c r="N259" s="52"/>
      <c r="O259" s="112"/>
      <c r="P259" s="52"/>
      <c r="Q259" s="112"/>
      <c r="R259" s="217" t="s">
        <v>126</v>
      </c>
      <c r="S259" s="52" t="s">
        <v>126</v>
      </c>
      <c r="T259" s="52" t="s">
        <v>126</v>
      </c>
      <c r="U259" s="52" t="s">
        <v>126</v>
      </c>
      <c r="V259" s="112" t="s">
        <v>126</v>
      </c>
      <c r="W259" s="217" t="s">
        <v>126</v>
      </c>
      <c r="X259" s="52" t="s">
        <v>126</v>
      </c>
      <c r="Y259" s="52" t="s">
        <v>126</v>
      </c>
      <c r="Z259" s="52" t="s">
        <v>126</v>
      </c>
      <c r="AA259" s="112" t="s">
        <v>126</v>
      </c>
      <c r="AB259" s="112"/>
      <c r="AC259" s="217" t="s">
        <v>126</v>
      </c>
      <c r="AD259" s="52" t="s">
        <v>126</v>
      </c>
      <c r="AE259" s="52" t="s">
        <v>126</v>
      </c>
      <c r="AF259" s="52" t="s">
        <v>126</v>
      </c>
      <c r="AG259" s="112" t="s">
        <v>126</v>
      </c>
      <c r="AH259" s="217" t="s">
        <v>126</v>
      </c>
      <c r="AI259" s="52" t="s">
        <v>126</v>
      </c>
      <c r="AJ259" s="52" t="s">
        <v>126</v>
      </c>
      <c r="AK259" s="52" t="s">
        <v>126</v>
      </c>
      <c r="AL259" s="112" t="s">
        <v>126</v>
      </c>
      <c r="AM259" s="217" t="s">
        <v>126</v>
      </c>
      <c r="AN259" s="52" t="s">
        <v>126</v>
      </c>
      <c r="AO259" s="52" t="s">
        <v>126</v>
      </c>
      <c r="AP259" s="52" t="s">
        <v>126</v>
      </c>
      <c r="AQ259" s="112" t="s">
        <v>126</v>
      </c>
      <c r="AR259" s="217" t="s">
        <v>126</v>
      </c>
      <c r="AS259" s="52" t="s">
        <v>126</v>
      </c>
      <c r="AT259" s="52" t="s">
        <v>126</v>
      </c>
      <c r="AU259" s="52" t="s">
        <v>126</v>
      </c>
      <c r="AV259" s="112" t="s">
        <v>126</v>
      </c>
      <c r="AW259" s="217" t="s">
        <v>126</v>
      </c>
      <c r="AX259" s="52" t="s">
        <v>126</v>
      </c>
      <c r="AY259" s="52" t="s">
        <v>126</v>
      </c>
      <c r="AZ259" s="52" t="s">
        <v>126</v>
      </c>
      <c r="BA259" s="112" t="s">
        <v>126</v>
      </c>
      <c r="BB259" s="52">
        <v>0.04</v>
      </c>
      <c r="BC259" s="52">
        <v>7.0000000000000007E-2</v>
      </c>
      <c r="BD259" s="52">
        <v>0.06</v>
      </c>
      <c r="BE259" s="52">
        <f>((BF259*SUM(AW256:AZ256))-BB259*AW256-BC259*AX256-BD259*AY256)/AZ256</f>
        <v>7.3338278931750725E-2</v>
      </c>
      <c r="BF259" s="112">
        <v>0.06</v>
      </c>
      <c r="BG259" s="52">
        <v>0.09</v>
      </c>
      <c r="BH259" s="52">
        <v>0.13</v>
      </c>
      <c r="BI259" s="114">
        <v>0.08</v>
      </c>
      <c r="BJ259" s="114">
        <f>((BK259*SUM(BB256:BE256))-BG259*BB256-BH259*BC256-BI259*BD256)/BE256</f>
        <v>6.7409230769230763E-2</v>
      </c>
      <c r="BK259" s="112">
        <v>0.09</v>
      </c>
      <c r="BL259" s="52">
        <v>0.04</v>
      </c>
      <c r="BM259" s="52">
        <v>0.06</v>
      </c>
      <c r="BN259" s="52">
        <v>0.06</v>
      </c>
      <c r="BO259" s="114">
        <f>((BP259*SUM(BG256:BJ256))-BL259*BG256-BM259*BH256-BN259*BI256)/BJ256</f>
        <v>-0.53284236153377973</v>
      </c>
      <c r="BP259" s="112">
        <v>-0.1</v>
      </c>
      <c r="BQ259" s="52">
        <v>-0.06</v>
      </c>
      <c r="BR259" s="114">
        <v>0.09</v>
      </c>
      <c r="BS259" s="52">
        <v>-0.22</v>
      </c>
      <c r="BT259" s="114">
        <f>((BU259*SUM(BL256:BO256))-BQ259*BL256-BR259*BM256-BS259*BN256)/BO256</f>
        <v>0.98527621195039461</v>
      </c>
      <c r="BU259" s="112">
        <v>0.09</v>
      </c>
      <c r="BV259" s="52">
        <v>0.02</v>
      </c>
      <c r="BW259" s="114">
        <v>-0.04</v>
      </c>
      <c r="BX259" s="52">
        <v>-0.06</v>
      </c>
      <c r="BY259" s="114">
        <f>((BZ259*SUM(BQ256:BT256))-BV259*BQ256-BW259*BR256-BX259*BS256)/BT256</f>
        <v>3.2692517749863453E-2</v>
      </c>
      <c r="BZ259" s="112">
        <v>-0.01</v>
      </c>
      <c r="CA259" s="52">
        <v>0</v>
      </c>
      <c r="CB259" s="114">
        <v>0.18</v>
      </c>
      <c r="CC259" s="114">
        <v>0.24</v>
      </c>
      <c r="CD259" s="114">
        <f>((CE259*SUM(BV256:BY256))-CA259*BV256-CB259*BW256-CC259*BX256)/BY256</f>
        <v>-1.808866995073893E-2</v>
      </c>
      <c r="CE259" s="113">
        <v>0.09</v>
      </c>
      <c r="CF259" s="52">
        <v>0.02</v>
      </c>
      <c r="CG259" s="52">
        <v>-0.05</v>
      </c>
      <c r="CH259" s="52">
        <v>-0.09</v>
      </c>
      <c r="CI259" s="114">
        <f>((CJ259*SUM(CA256:CD256))-CF259*CA256-CG259*CB256-CH259*CC256)/CD256</f>
        <v>-3.9788408463661468E-2</v>
      </c>
      <c r="CJ259" s="113">
        <v>-0.04</v>
      </c>
      <c r="CK259" s="52">
        <v>-0.13</v>
      </c>
      <c r="CL259" s="52">
        <v>-0.11</v>
      </c>
      <c r="CM259" s="52">
        <v>-0.04</v>
      </c>
      <c r="CN259" s="114">
        <f>((CO259*SUM(CF256:CI256))-CK259*CF256-CL259*CG256-CM259*CH256)/CI256</f>
        <v>-3.1533623609095313E-2</v>
      </c>
      <c r="CO259" s="113">
        <v>-0.08</v>
      </c>
      <c r="CP259" s="52">
        <v>0.04</v>
      </c>
      <c r="CQ259" s="114">
        <v>0</v>
      </c>
      <c r="CR259" s="114">
        <v>-0.04</v>
      </c>
      <c r="CS259" s="114">
        <f>((CT259*SUM(CK256:CN256))-CP259*CK256-CQ259*CL256-CR259*CM256)/CN256</f>
        <v>-8.4405705229793959E-2</v>
      </c>
      <c r="CT259" s="113">
        <v>-0.02</v>
      </c>
      <c r="CU259" s="114"/>
      <c r="CV259" s="52"/>
      <c r="CW259" s="52"/>
      <c r="CX259" s="52"/>
      <c r="CY259" s="112"/>
      <c r="CZ259" s="52"/>
      <c r="DA259" s="52"/>
      <c r="DB259" s="52"/>
      <c r="DC259" s="52"/>
      <c r="DD259" s="112"/>
      <c r="DE259" s="52"/>
      <c r="DF259" s="52"/>
      <c r="DG259" s="52"/>
      <c r="DH259" s="52"/>
      <c r="DI259" s="112"/>
    </row>
    <row r="260" spans="1:113" s="545" customFormat="1" ht="12" hidden="1" customHeight="1" outlineLevel="1">
      <c r="A260" s="219" t="str">
        <f t="shared" si="709"/>
        <v xml:space="preserve"> </v>
      </c>
      <c r="B260" s="546" t="s">
        <v>143</v>
      </c>
      <c r="C260" s="112"/>
      <c r="D260" s="52"/>
      <c r="E260" s="112"/>
      <c r="F260" s="52"/>
      <c r="G260" s="112"/>
      <c r="H260" s="52"/>
      <c r="I260" s="112"/>
      <c r="J260" s="52"/>
      <c r="K260" s="112"/>
      <c r="L260" s="52"/>
      <c r="M260" s="112"/>
      <c r="N260" s="52"/>
      <c r="O260" s="112"/>
      <c r="P260" s="52"/>
      <c r="Q260" s="112"/>
      <c r="R260" s="217" t="s">
        <v>126</v>
      </c>
      <c r="S260" s="52" t="s">
        <v>126</v>
      </c>
      <c r="T260" s="52" t="s">
        <v>126</v>
      </c>
      <c r="U260" s="52" t="s">
        <v>126</v>
      </c>
      <c r="V260" s="112" t="s">
        <v>126</v>
      </c>
      <c r="W260" s="217" t="s">
        <v>126</v>
      </c>
      <c r="X260" s="52" t="s">
        <v>126</v>
      </c>
      <c r="Y260" s="52" t="s">
        <v>126</v>
      </c>
      <c r="Z260" s="52" t="s">
        <v>126</v>
      </c>
      <c r="AA260" s="112" t="s">
        <v>126</v>
      </c>
      <c r="AB260" s="112"/>
      <c r="AC260" s="217" t="s">
        <v>126</v>
      </c>
      <c r="AD260" s="52" t="s">
        <v>126</v>
      </c>
      <c r="AE260" s="52" t="s">
        <v>126</v>
      </c>
      <c r="AF260" s="52" t="s">
        <v>126</v>
      </c>
      <c r="AG260" s="112" t="s">
        <v>126</v>
      </c>
      <c r="AH260" s="217" t="s">
        <v>126</v>
      </c>
      <c r="AI260" s="52" t="s">
        <v>126</v>
      </c>
      <c r="AJ260" s="52" t="s">
        <v>126</v>
      </c>
      <c r="AK260" s="52" t="s">
        <v>126</v>
      </c>
      <c r="AL260" s="112" t="s">
        <v>126</v>
      </c>
      <c r="AM260" s="217" t="s">
        <v>126</v>
      </c>
      <c r="AN260" s="52" t="s">
        <v>126</v>
      </c>
      <c r="AO260" s="52" t="s">
        <v>126</v>
      </c>
      <c r="AP260" s="52" t="s">
        <v>126</v>
      </c>
      <c r="AQ260" s="112" t="s">
        <v>126</v>
      </c>
      <c r="AR260" s="217" t="s">
        <v>126</v>
      </c>
      <c r="AS260" s="52" t="s">
        <v>126</v>
      </c>
      <c r="AT260" s="52" t="s">
        <v>126</v>
      </c>
      <c r="AU260" s="52" t="s">
        <v>126</v>
      </c>
      <c r="AV260" s="112" t="s">
        <v>126</v>
      </c>
      <c r="AW260" s="217" t="s">
        <v>126</v>
      </c>
      <c r="AX260" s="52" t="s">
        <v>126</v>
      </c>
      <c r="AY260" s="52" t="s">
        <v>126</v>
      </c>
      <c r="AZ260" s="52" t="s">
        <v>126</v>
      </c>
      <c r="BA260" s="112" t="s">
        <v>126</v>
      </c>
      <c r="BB260" s="52">
        <v>-0.02</v>
      </c>
      <c r="BC260" s="52">
        <v>0.04</v>
      </c>
      <c r="BD260" s="52">
        <v>0.01</v>
      </c>
      <c r="BE260" s="52">
        <f>((BF260*SUM(AW256:AZ256))-BB260*AW256-BC260*AX256-BD260*AY256)/AZ256</f>
        <v>-2.0927299703264096E-2</v>
      </c>
      <c r="BF260" s="112">
        <v>0</v>
      </c>
      <c r="BG260" s="52">
        <v>0.01</v>
      </c>
      <c r="BH260" s="52">
        <v>0.02</v>
      </c>
      <c r="BI260" s="114">
        <v>0.05</v>
      </c>
      <c r="BJ260" s="114">
        <f>((BK260*SUM(BB256:BE256))-BG260*BB256-BH260*BC256-BI260*BD256)/BE256</f>
        <v>3.7716923076923065E-2</v>
      </c>
      <c r="BK260" s="112">
        <v>0.03</v>
      </c>
      <c r="BL260" s="52">
        <v>0.09</v>
      </c>
      <c r="BM260" s="52">
        <v>0.06</v>
      </c>
      <c r="BN260" s="52">
        <v>0.03</v>
      </c>
      <c r="BO260" s="114">
        <f>((BP260*SUM(BG256:BJ256))-BL260*BG256-BM260*BH256-BN260*BI256)/BJ256</f>
        <v>9.7334144856968965E-2</v>
      </c>
      <c r="BP260" s="112">
        <v>7.0000000000000007E-2</v>
      </c>
      <c r="BQ260" s="52">
        <v>0.08</v>
      </c>
      <c r="BR260" s="114">
        <v>-0.01</v>
      </c>
      <c r="BS260" s="52">
        <v>0.11</v>
      </c>
      <c r="BT260" s="114">
        <f>((BU260*SUM(BL256:BO256))-BQ260*BL256-BR260*BM256-BS260*BN256)/BO256</f>
        <v>-8.7722660653889534E-2</v>
      </c>
      <c r="BU260" s="112">
        <v>0.04</v>
      </c>
      <c r="BV260" s="52">
        <v>0.02</v>
      </c>
      <c r="BW260" s="114">
        <v>0.08</v>
      </c>
      <c r="BX260" s="52">
        <v>0.1</v>
      </c>
      <c r="BY260" s="114">
        <f>((BZ260*SUM(BQ256:BT256))-BV260*BQ256-BW260*BR256-BX260*BS256)/BT256</f>
        <v>0.19764063353358821</v>
      </c>
      <c r="BZ260" s="112">
        <v>0.1</v>
      </c>
      <c r="CA260" s="52">
        <v>0.18</v>
      </c>
      <c r="CB260" s="114">
        <v>0.19</v>
      </c>
      <c r="CC260" s="114">
        <v>0.15</v>
      </c>
      <c r="CD260" s="114">
        <f>((CE260*SUM(BV256:BY256))-CA260*BV256-CB260*BW256-CC260*BX256)/BY256</f>
        <v>0.12150246305418713</v>
      </c>
      <c r="CE260" s="113">
        <v>0.16</v>
      </c>
      <c r="CF260" s="52">
        <v>0.08</v>
      </c>
      <c r="CG260" s="52">
        <v>0.06</v>
      </c>
      <c r="CH260" s="52">
        <v>0.06</v>
      </c>
      <c r="CI260" s="114">
        <f>((CJ260*SUM(CA256:CD256))-CF260*CA256-CG260*CB256-CH260*CC256)/CD256</f>
        <v>3.4958601655933736E-3</v>
      </c>
      <c r="CJ260" s="113">
        <v>0.05</v>
      </c>
      <c r="CK260" s="52">
        <v>0.01</v>
      </c>
      <c r="CL260" s="52">
        <v>-0.01</v>
      </c>
      <c r="CM260" s="52">
        <v>-0.03</v>
      </c>
      <c r="CN260" s="114">
        <f>((CO260*SUM(CF256:CI256))-CK260*CF256-CL260*CG256-CM260*CH256)/CI256</f>
        <v>-5.3894533139816153E-2</v>
      </c>
      <c r="CO260" s="113">
        <v>-0.02</v>
      </c>
      <c r="CP260" s="52">
        <v>-0.06</v>
      </c>
      <c r="CQ260" s="114">
        <v>-0.02</v>
      </c>
      <c r="CR260" s="114">
        <v>-0.03</v>
      </c>
      <c r="CS260" s="114">
        <f>((CT260*SUM(CK256:CN256))-CP260*CK256-CQ260*CL256-CR260*CM256)/CN256</f>
        <v>-9.5351294241944034E-3</v>
      </c>
      <c r="CT260" s="113">
        <v>-0.03</v>
      </c>
      <c r="CU260" s="114"/>
      <c r="CV260" s="52"/>
      <c r="CW260" s="52"/>
      <c r="CX260" s="52"/>
      <c r="CY260" s="112"/>
      <c r="CZ260" s="52"/>
      <c r="DA260" s="52"/>
      <c r="DB260" s="52"/>
      <c r="DC260" s="52"/>
      <c r="DD260" s="112"/>
      <c r="DE260" s="52"/>
      <c r="DF260" s="52"/>
      <c r="DG260" s="52"/>
      <c r="DH260" s="52"/>
      <c r="DI260" s="112"/>
    </row>
    <row r="261" spans="1:113" s="3" customFormat="1" ht="12" hidden="1" customHeight="1" outlineLevel="1">
      <c r="A261" s="219" t="str">
        <f t="shared" si="709"/>
        <v xml:space="preserve"> </v>
      </c>
      <c r="B261" s="491" t="s">
        <v>141</v>
      </c>
      <c r="C261" s="492"/>
      <c r="D261" s="522"/>
      <c r="E261" s="492"/>
      <c r="F261" s="522"/>
      <c r="G261" s="492"/>
      <c r="H261" s="522"/>
      <c r="I261" s="492"/>
      <c r="J261" s="522"/>
      <c r="K261" s="492"/>
      <c r="L261" s="522"/>
      <c r="M261" s="492"/>
      <c r="N261" s="522"/>
      <c r="O261" s="492"/>
      <c r="P261" s="522"/>
      <c r="Q261" s="492"/>
      <c r="R261" s="378" t="s">
        <v>126</v>
      </c>
      <c r="S261" s="522" t="s">
        <v>126</v>
      </c>
      <c r="T261" s="522" t="s">
        <v>126</v>
      </c>
      <c r="U261" s="522" t="s">
        <v>126</v>
      </c>
      <c r="V261" s="492" t="s">
        <v>126</v>
      </c>
      <c r="W261" s="378" t="s">
        <v>126</v>
      </c>
      <c r="X261" s="522" t="s">
        <v>126</v>
      </c>
      <c r="Y261" s="522" t="s">
        <v>126</v>
      </c>
      <c r="Z261" s="522" t="s">
        <v>126</v>
      </c>
      <c r="AA261" s="492" t="s">
        <v>126</v>
      </c>
      <c r="AB261" s="492"/>
      <c r="AC261" s="378" t="s">
        <v>126</v>
      </c>
      <c r="AD261" s="522" t="s">
        <v>126</v>
      </c>
      <c r="AE261" s="522" t="s">
        <v>126</v>
      </c>
      <c r="AF261" s="522" t="s">
        <v>126</v>
      </c>
      <c r="AG261" s="492" t="s">
        <v>126</v>
      </c>
      <c r="AH261" s="378" t="s">
        <v>126</v>
      </c>
      <c r="AI261" s="522" t="s">
        <v>126</v>
      </c>
      <c r="AJ261" s="522" t="s">
        <v>126</v>
      </c>
      <c r="AK261" s="522" t="s">
        <v>126</v>
      </c>
      <c r="AL261" s="492" t="s">
        <v>126</v>
      </c>
      <c r="AM261" s="378" t="s">
        <v>126</v>
      </c>
      <c r="AN261" s="522" t="s">
        <v>126</v>
      </c>
      <c r="AO261" s="522" t="s">
        <v>126</v>
      </c>
      <c r="AP261" s="522" t="s">
        <v>126</v>
      </c>
      <c r="AQ261" s="492" t="s">
        <v>126</v>
      </c>
      <c r="AR261" s="378" t="s">
        <v>126</v>
      </c>
      <c r="AS261" s="522" t="s">
        <v>126</v>
      </c>
      <c r="AT261" s="522" t="s">
        <v>126</v>
      </c>
      <c r="AU261" s="522" t="s">
        <v>126</v>
      </c>
      <c r="AV261" s="492" t="s">
        <v>126</v>
      </c>
      <c r="AW261" s="52">
        <f>(1+AW257)/(1+AW258)-1</f>
        <v>-3.3582510297619494E-2</v>
      </c>
      <c r="AX261" s="52">
        <f t="shared" ref="AX261:BG261" si="822">(1+AX257)/(1+AX258)-1</f>
        <v>-3.9603449166107363E-2</v>
      </c>
      <c r="AY261" s="52">
        <f t="shared" si="822"/>
        <v>-4.6096576154666002E-2</v>
      </c>
      <c r="AZ261" s="52">
        <f t="shared" si="822"/>
        <v>-5.932268441950872E-2</v>
      </c>
      <c r="BA261" s="112">
        <f t="shared" si="822"/>
        <v>-4.6716754430417007E-2</v>
      </c>
      <c r="BB261" s="52">
        <f t="shared" si="822"/>
        <v>-1.0187465514689187E-2</v>
      </c>
      <c r="BC261" s="52">
        <f t="shared" si="822"/>
        <v>4.1363944589751123E-2</v>
      </c>
      <c r="BD261" s="52">
        <f t="shared" si="822"/>
        <v>9.4877092877048819E-2</v>
      </c>
      <c r="BE261" s="52">
        <f t="shared" si="822"/>
        <v>0.12662580770404053</v>
      </c>
      <c r="BF261" s="112">
        <f t="shared" si="822"/>
        <v>6.2919400857210706E-2</v>
      </c>
      <c r="BG261" s="52">
        <f t="shared" si="822"/>
        <v>1.4770409739818247E-2</v>
      </c>
      <c r="BH261" s="52">
        <f>+BH254</f>
        <v>-4.8782293285957512E-2</v>
      </c>
      <c r="BI261" s="114">
        <f>+BI254</f>
        <v>-5.4324861741129715E-2</v>
      </c>
      <c r="BJ261" s="114">
        <f>(1+BJ257)/(1+BJ258)-1</f>
        <v>-8.9119889119889328E-2</v>
      </c>
      <c r="BK261" s="112">
        <f>(1+BK257)/(1+BK258)-1</f>
        <v>-4.4766785267580822E-2</v>
      </c>
      <c r="BL261" s="52">
        <f t="shared" ref="BL261:CR261" si="823">(1+BL257)/(1+BL258)-1</f>
        <v>-5.2526058228148154E-2</v>
      </c>
      <c r="BM261" s="52">
        <f t="shared" si="823"/>
        <v>-3.3524614919963835E-2</v>
      </c>
      <c r="BN261" s="52">
        <f t="shared" si="823"/>
        <v>-1.213041495141487E-2</v>
      </c>
      <c r="BO261" s="52">
        <f t="shared" si="823"/>
        <v>-3.5953395356925655E-2</v>
      </c>
      <c r="BP261" s="112">
        <f>(1+BP257)/(1+BP258)-1</f>
        <v>-3.3596147506163021E-2</v>
      </c>
      <c r="BQ261" s="52">
        <f t="shared" si="823"/>
        <v>4.929844520288329E-3</v>
      </c>
      <c r="BR261" s="52">
        <f t="shared" si="823"/>
        <v>4.34751157407407E-2</v>
      </c>
      <c r="BS261" s="52">
        <f t="shared" si="823"/>
        <v>5.4643122163922753E-2</v>
      </c>
      <c r="BT261" s="52">
        <f t="shared" si="823"/>
        <v>8.6453450424256895E-2</v>
      </c>
      <c r="BU261" s="112">
        <f>(1+BU257)/(1+BU258)-1</f>
        <v>4.6526118859541832E-2</v>
      </c>
      <c r="BV261" s="52">
        <f t="shared" si="823"/>
        <v>5.8119183812857411E-2</v>
      </c>
      <c r="BW261" s="52">
        <f t="shared" si="823"/>
        <v>3.199573390214594E-3</v>
      </c>
      <c r="BX261" s="52">
        <f t="shared" si="823"/>
        <v>-6.0614043490755831E-2</v>
      </c>
      <c r="BY261" s="52">
        <f t="shared" si="823"/>
        <v>-9.1242803806931505E-2</v>
      </c>
      <c r="BZ261" s="112">
        <f>(1+BZ257)/(1+BZ258)-1</f>
        <v>-2.5121463954037582E-2</v>
      </c>
      <c r="CA261" s="52">
        <f t="shared" si="823"/>
        <v>-0.14014889270665065</v>
      </c>
      <c r="CB261" s="52">
        <f t="shared" si="823"/>
        <v>-0.16620187372181938</v>
      </c>
      <c r="CC261" s="52">
        <f t="shared" si="823"/>
        <v>-7.7907845807484111E-2</v>
      </c>
      <c r="CD261" s="52">
        <f t="shared" si="823"/>
        <v>-3.5192828296276568E-2</v>
      </c>
      <c r="CE261" s="112">
        <f>(1+CE257)/(1+CE258)-1</f>
        <v>-0.10686964297492429</v>
      </c>
      <c r="CF261" s="52">
        <f t="shared" si="823"/>
        <v>2.1145852159768497E-2</v>
      </c>
      <c r="CG261" s="52">
        <f t="shared" si="823"/>
        <v>4.9130603802018502E-2</v>
      </c>
      <c r="CH261" s="52">
        <f t="shared" si="823"/>
        <v>4.7829720044907376E-3</v>
      </c>
      <c r="CI261" s="114">
        <f t="shared" si="823"/>
        <v>-2.9814317631376319E-2</v>
      </c>
      <c r="CJ261" s="112">
        <f>(1+CJ257)/(1+CJ258)-1</f>
        <v>1.133680750344368E-2</v>
      </c>
      <c r="CK261" s="52">
        <f t="shared" si="823"/>
        <v>-1.8503620273531807E-2</v>
      </c>
      <c r="CL261" s="52">
        <f t="shared" si="823"/>
        <v>3.0316892622473501E-2</v>
      </c>
      <c r="CM261" s="52">
        <f t="shared" si="823"/>
        <v>-4.4327408382707878E-2</v>
      </c>
      <c r="CN261" s="52">
        <f t="shared" si="823"/>
        <v>6.3956362940398304E-3</v>
      </c>
      <c r="CO261" s="112">
        <f>(1+CO257)/(1+CO258)-1</f>
        <v>-6.2038404726735275E-3</v>
      </c>
      <c r="CP261" s="52">
        <f t="shared" si="823"/>
        <v>5.6477919036467039E-2</v>
      </c>
      <c r="CQ261" s="52">
        <f t="shared" si="823"/>
        <v>3.5853291871743798E-2</v>
      </c>
      <c r="CR261" s="52">
        <f t="shared" si="823"/>
        <v>0.10428008839178804</v>
      </c>
      <c r="CS261" s="52">
        <f>+CS254</f>
        <v>5.4964539007092306E-2</v>
      </c>
      <c r="CT261" s="112">
        <f>(1+CT257)/(1+CT258)-1</f>
        <v>6.1821253374196417E-2</v>
      </c>
      <c r="CU261" s="52">
        <f t="shared" ref="CU261" si="824">(1+CU257)/(1+CU258)-1</f>
        <v>-3.8361251799912122E-4</v>
      </c>
      <c r="CV261" s="52">
        <f>+CV254</f>
        <v>-2.3E-2</v>
      </c>
      <c r="CW261" s="52">
        <f>+CW254</f>
        <v>-3.5999999999999997E-2</v>
      </c>
      <c r="CX261" s="52">
        <f>+CX254</f>
        <v>-2.8000000000000001E-2</v>
      </c>
      <c r="CY261" s="112">
        <f>(1+CY257)/(1+CY258)-1</f>
        <v>-2.1629333379204363E-2</v>
      </c>
      <c r="CZ261" s="52">
        <f>+CZ254</f>
        <v>-1.4999999999999999E-2</v>
      </c>
      <c r="DA261" s="52">
        <f>+DA254</f>
        <v>0</v>
      </c>
      <c r="DB261" s="52">
        <f>+DB254</f>
        <v>0</v>
      </c>
      <c r="DC261" s="52">
        <f>+DC254</f>
        <v>0</v>
      </c>
      <c r="DD261" s="112">
        <f>(1+DD257)/(1+DD258)-1</f>
        <v>-3.8707454858133428E-3</v>
      </c>
      <c r="DE261" s="52">
        <f>+DE254</f>
        <v>0</v>
      </c>
      <c r="DF261" s="52">
        <f>+DF254</f>
        <v>0</v>
      </c>
      <c r="DG261" s="52">
        <f>+DG254</f>
        <v>0</v>
      </c>
      <c r="DH261" s="52">
        <f>+DH254</f>
        <v>0</v>
      </c>
      <c r="DI261" s="112">
        <f>(1+DI257)/(1+DI258)-1</f>
        <v>0</v>
      </c>
    </row>
    <row r="262" spans="1:113" ht="12" hidden="1" customHeight="1" outlineLevel="1">
      <c r="A262" s="219"/>
      <c r="B262" s="17"/>
      <c r="C262" s="79"/>
      <c r="D262" s="6"/>
      <c r="E262" s="79"/>
      <c r="F262" s="6"/>
      <c r="G262" s="79"/>
      <c r="H262" s="6"/>
      <c r="I262" s="79"/>
      <c r="J262" s="6"/>
      <c r="K262" s="79"/>
      <c r="L262" s="6"/>
      <c r="M262" s="79"/>
      <c r="N262" s="6"/>
      <c r="O262" s="79"/>
      <c r="P262" s="6"/>
      <c r="Q262" s="79"/>
      <c r="R262" s="6"/>
      <c r="S262" s="6"/>
      <c r="T262" s="6"/>
      <c r="U262" s="6"/>
      <c r="V262" s="79"/>
      <c r="W262" s="6"/>
      <c r="X262" s="6"/>
      <c r="Y262" s="6"/>
      <c r="Z262" s="6"/>
      <c r="AA262" s="79"/>
      <c r="AB262" s="79"/>
      <c r="AC262" s="6"/>
      <c r="AD262" s="6"/>
      <c r="AE262" s="6"/>
      <c r="AF262" s="6"/>
      <c r="AG262" s="79"/>
      <c r="AH262" s="6"/>
      <c r="AI262" s="6"/>
      <c r="AJ262" s="6"/>
      <c r="AK262" s="6"/>
      <c r="AL262" s="79"/>
      <c r="AM262" s="6"/>
      <c r="AN262" s="6"/>
      <c r="AO262" s="6"/>
      <c r="AP262" s="6"/>
      <c r="AQ262" s="79"/>
      <c r="AR262" s="6"/>
      <c r="AS262" s="6"/>
      <c r="AT262" s="6"/>
      <c r="AU262" s="6"/>
      <c r="AV262" s="79"/>
      <c r="AW262" s="6"/>
      <c r="AX262" s="6"/>
      <c r="AY262" s="6"/>
      <c r="AZ262" s="6"/>
      <c r="BA262" s="79"/>
      <c r="BB262" s="376"/>
      <c r="BC262" s="376"/>
      <c r="BD262" s="376"/>
      <c r="BE262" s="376"/>
      <c r="BF262" s="79"/>
      <c r="BG262" s="188"/>
      <c r="BH262" s="188"/>
      <c r="BI262" s="233"/>
      <c r="BJ262" s="233"/>
      <c r="BK262" s="79"/>
      <c r="BL262" s="188"/>
      <c r="BM262" s="188"/>
      <c r="BN262" s="231"/>
      <c r="BO262" s="231"/>
      <c r="BP262" s="580"/>
      <c r="BQ262" s="231"/>
      <c r="BR262" s="231"/>
      <c r="BS262" s="231"/>
      <c r="BT262" s="49"/>
      <c r="BU262" s="580"/>
      <c r="BV262" s="6"/>
      <c r="BW262" s="231"/>
      <c r="BX262" s="6"/>
      <c r="BY262" s="49"/>
      <c r="BZ262" s="79"/>
      <c r="CA262" s="6"/>
      <c r="CB262" s="6"/>
      <c r="CC262" s="6"/>
      <c r="CD262" s="6"/>
      <c r="CE262" s="79"/>
      <c r="CF262" s="6"/>
      <c r="CG262" s="6"/>
      <c r="CH262" s="49"/>
      <c r="CI262" s="49"/>
      <c r="CJ262" s="79"/>
      <c r="CK262" s="6"/>
      <c r="CL262" s="6"/>
      <c r="CM262" s="6"/>
      <c r="CN262" s="6"/>
      <c r="CO262" s="79"/>
      <c r="CP262" s="6"/>
      <c r="CQ262" s="6"/>
      <c r="CR262" s="6"/>
      <c r="CS262" s="6"/>
      <c r="CT262" s="79"/>
      <c r="CU262" s="6"/>
      <c r="CV262" s="6"/>
      <c r="CW262" s="6"/>
      <c r="CX262" s="6"/>
      <c r="CY262" s="79"/>
      <c r="CZ262" s="6"/>
      <c r="DA262" s="6"/>
      <c r="DB262" s="6"/>
      <c r="DC262" s="6"/>
      <c r="DD262" s="79"/>
      <c r="DE262" s="6"/>
      <c r="DF262" s="6"/>
      <c r="DG262" s="6"/>
      <c r="DH262" s="6"/>
      <c r="DI262" s="79"/>
    </row>
    <row r="263" spans="1:113" s="7" customFormat="1" ht="12" hidden="1" customHeight="1" outlineLevel="1">
      <c r="A263" s="239" t="str">
        <f t="shared" si="709"/>
        <v xml:space="preserve"> </v>
      </c>
      <c r="B263" s="20" t="s">
        <v>96</v>
      </c>
      <c r="C263" s="36"/>
      <c r="D263" s="43"/>
      <c r="E263" s="36"/>
      <c r="F263" s="43"/>
      <c r="G263" s="36"/>
      <c r="H263" s="43"/>
      <c r="I263" s="36"/>
      <c r="J263" s="43"/>
      <c r="K263" s="36"/>
      <c r="L263" s="43"/>
      <c r="M263" s="36"/>
      <c r="N263" s="43"/>
      <c r="O263" s="36"/>
      <c r="P263" s="43"/>
      <c r="Q263" s="36"/>
      <c r="R263" s="43">
        <f>369+95</f>
        <v>464</v>
      </c>
      <c r="S263" s="43">
        <v>393</v>
      </c>
      <c r="T263" s="43">
        <v>394</v>
      </c>
      <c r="U263" s="43">
        <v>403</v>
      </c>
      <c r="V263" s="36">
        <f>SUM(R263:U263)</f>
        <v>1654</v>
      </c>
      <c r="W263" s="43">
        <v>539</v>
      </c>
      <c r="X263" s="43">
        <v>435</v>
      </c>
      <c r="Y263" s="43">
        <v>401</v>
      </c>
      <c r="Z263" s="43">
        <v>443</v>
      </c>
      <c r="AA263" s="36">
        <f>SUM(W263:Z263)</f>
        <v>1818</v>
      </c>
      <c r="AB263" s="36"/>
      <c r="AC263" s="43">
        <v>517</v>
      </c>
      <c r="AD263" s="43">
        <v>420</v>
      </c>
      <c r="AE263" s="43">
        <v>420</v>
      </c>
      <c r="AF263" s="43">
        <v>400</v>
      </c>
      <c r="AG263" s="36">
        <f>SUM(AC263:AF263)</f>
        <v>1757</v>
      </c>
      <c r="AH263" s="43">
        <v>538</v>
      </c>
      <c r="AI263" s="43">
        <v>459</v>
      </c>
      <c r="AJ263" s="43">
        <v>467</v>
      </c>
      <c r="AK263" s="43">
        <v>495</v>
      </c>
      <c r="AL263" s="36">
        <f>SUM(AH263:AK263)</f>
        <v>1959</v>
      </c>
      <c r="AM263" s="43">
        <v>632</v>
      </c>
      <c r="AN263" s="43">
        <v>533</v>
      </c>
      <c r="AO263" s="43">
        <v>474</v>
      </c>
      <c r="AP263" s="43">
        <v>412</v>
      </c>
      <c r="AQ263" s="36">
        <f>SUM(AM263:AP263)</f>
        <v>2051</v>
      </c>
      <c r="AR263" s="43">
        <v>583</v>
      </c>
      <c r="AS263" s="43">
        <v>534</v>
      </c>
      <c r="AT263" s="43">
        <v>507</v>
      </c>
      <c r="AU263" s="43">
        <v>525</v>
      </c>
      <c r="AV263" s="36">
        <f>SUM(AR263:AU263)</f>
        <v>2149</v>
      </c>
      <c r="AW263" s="43">
        <v>684</v>
      </c>
      <c r="AX263" s="43">
        <v>588</v>
      </c>
      <c r="AY263" s="43">
        <v>566</v>
      </c>
      <c r="AZ263" s="43">
        <v>557</v>
      </c>
      <c r="BA263" s="36">
        <f>SUM(AW263:AZ263)</f>
        <v>2395</v>
      </c>
      <c r="BB263" s="43">
        <v>743</v>
      </c>
      <c r="BC263" s="43">
        <v>743</v>
      </c>
      <c r="BD263" s="43">
        <v>713</v>
      </c>
      <c r="BE263" s="43">
        <v>741</v>
      </c>
      <c r="BF263" s="36">
        <f>SUM(BB263:BE263)</f>
        <v>2940</v>
      </c>
      <c r="BG263" s="43">
        <v>830</v>
      </c>
      <c r="BH263" s="43">
        <v>794</v>
      </c>
      <c r="BI263" s="369">
        <v>750</v>
      </c>
      <c r="BJ263" s="369">
        <v>713</v>
      </c>
      <c r="BK263" s="36">
        <f>SUM(BG263:BJ263)</f>
        <v>3087</v>
      </c>
      <c r="BL263" s="43">
        <v>869</v>
      </c>
      <c r="BM263" s="43">
        <v>897</v>
      </c>
      <c r="BN263" s="43">
        <v>889</v>
      </c>
      <c r="BO263" s="43">
        <v>398</v>
      </c>
      <c r="BP263" s="36">
        <f>SUM(BL263:BO263)</f>
        <v>3053</v>
      </c>
      <c r="BQ263" s="43">
        <v>971</v>
      </c>
      <c r="BR263" s="43">
        <v>1104</v>
      </c>
      <c r="BS263" s="43">
        <v>898</v>
      </c>
      <c r="BT263" s="43">
        <v>1023</v>
      </c>
      <c r="BU263" s="36">
        <f>SUM(BQ263:BT263)</f>
        <v>3996</v>
      </c>
      <c r="BV263" s="43">
        <v>1159</v>
      </c>
      <c r="BW263" s="43">
        <v>1202</v>
      </c>
      <c r="BX263" s="43">
        <v>1083</v>
      </c>
      <c r="BY263" s="43">
        <v>1083</v>
      </c>
      <c r="BZ263" s="36">
        <f>SUM(BV263:BY263)</f>
        <v>4527</v>
      </c>
      <c r="CA263" s="43">
        <v>1153</v>
      </c>
      <c r="CB263" s="43">
        <v>1281</v>
      </c>
      <c r="CC263" s="43">
        <v>1094</v>
      </c>
      <c r="CD263" s="43">
        <v>1038</v>
      </c>
      <c r="CE263" s="36">
        <f>SUM(CA263:CD263)</f>
        <v>4566</v>
      </c>
      <c r="CF263" s="43">
        <v>1137</v>
      </c>
      <c r="CG263" s="43">
        <v>1200</v>
      </c>
      <c r="CH263" s="43">
        <v>994</v>
      </c>
      <c r="CI263" s="43">
        <v>1049</v>
      </c>
      <c r="CJ263" s="36">
        <f>SUM(CF263:CI263)</f>
        <v>4380</v>
      </c>
      <c r="CK263" s="43">
        <v>993</v>
      </c>
      <c r="CL263" s="43">
        <v>1136</v>
      </c>
      <c r="CM263" s="43">
        <v>913</v>
      </c>
      <c r="CN263" s="43">
        <v>929</v>
      </c>
      <c r="CO263" s="36">
        <f>SUM(CK263:CN263)</f>
        <v>3971</v>
      </c>
      <c r="CP263" s="43">
        <v>1106</v>
      </c>
      <c r="CQ263" s="43">
        <v>1196</v>
      </c>
      <c r="CR263" s="43">
        <v>926</v>
      </c>
      <c r="CS263" s="43">
        <v>982</v>
      </c>
      <c r="CT263" s="36">
        <f>SUM(CP263:CS263)</f>
        <v>4210</v>
      </c>
      <c r="CU263" s="43">
        <v>1163</v>
      </c>
      <c r="CV263" s="43">
        <f>CQ263*(1+CV265)*(1+CV268)</f>
        <v>1039.9578799999999</v>
      </c>
      <c r="CW263" s="43">
        <f>CR263*(1+CW265)*(1+CW268)</f>
        <v>865.88408000000004</v>
      </c>
      <c r="CX263" s="43">
        <f>CS263*(1+CX265)*(1+CX268)</f>
        <v>906.77879999999993</v>
      </c>
      <c r="CY263" s="36">
        <f>SUM(CU263:CX263)</f>
        <v>3975.6207599999998</v>
      </c>
      <c r="CZ263" s="43">
        <f>CU263*(1+CZ265)*(1+CZ268)</f>
        <v>1088.2772499999999</v>
      </c>
      <c r="DA263" s="43">
        <f>CV263*(1+DA265)*(1+DA268)</f>
        <v>1019.1587223999999</v>
      </c>
      <c r="DB263" s="43">
        <f>CW263*(1+DB265)*(1+DB268)</f>
        <v>848.56639840000003</v>
      </c>
      <c r="DC263" s="43">
        <f>CX263*(1+DC265)*(1+DC268)</f>
        <v>888.64322399999992</v>
      </c>
      <c r="DD263" s="36">
        <f>SUM(CZ263:DC263)</f>
        <v>3844.6455947999998</v>
      </c>
      <c r="DE263" s="43">
        <f>CZ263*(1+DE265)*(1+DE268)</f>
        <v>1088.2772499999999</v>
      </c>
      <c r="DF263" s="43">
        <f>DA263*(1+DF265)*(1+DF268)</f>
        <v>1019.1587223999999</v>
      </c>
      <c r="DG263" s="43">
        <f>DB263*(1+DG265)*(1+DG268)</f>
        <v>857.05206238400001</v>
      </c>
      <c r="DH263" s="43">
        <f>DC263*(1+DH265)*(1+DH268)</f>
        <v>897.52965623999989</v>
      </c>
      <c r="DI263" s="36">
        <f>SUM(DE263:DH263)</f>
        <v>3862.0176910239998</v>
      </c>
    </row>
    <row r="264" spans="1:113" ht="12" hidden="1" customHeight="1" outlineLevel="1">
      <c r="A264" s="219" t="str">
        <f t="shared" si="709"/>
        <v xml:space="preserve"> </v>
      </c>
      <c r="B264" s="491" t="s">
        <v>171</v>
      </c>
      <c r="C264" s="492"/>
      <c r="D264" s="522"/>
      <c r="E264" s="492"/>
      <c r="F264" s="522"/>
      <c r="G264" s="492"/>
      <c r="H264" s="522"/>
      <c r="I264" s="492"/>
      <c r="J264" s="522"/>
      <c r="K264" s="492"/>
      <c r="L264" s="522"/>
      <c r="M264" s="492"/>
      <c r="N264" s="522"/>
      <c r="O264" s="492"/>
      <c r="P264" s="522"/>
      <c r="Q264" s="492"/>
      <c r="R264" s="378" t="s">
        <v>126</v>
      </c>
      <c r="S264" s="522" t="s">
        <v>126</v>
      </c>
      <c r="T264" s="522" t="s">
        <v>126</v>
      </c>
      <c r="U264" s="522" t="s">
        <v>126</v>
      </c>
      <c r="V264" s="492" t="s">
        <v>126</v>
      </c>
      <c r="W264" s="52">
        <f>+W263/R263-1</f>
        <v>0.16163793103448265</v>
      </c>
      <c r="X264" s="52">
        <f>+X263/S263-1</f>
        <v>0.10687022900763354</v>
      </c>
      <c r="Y264" s="52">
        <f>+Y263/T263-1</f>
        <v>1.7766497461928932E-2</v>
      </c>
      <c r="Z264" s="52">
        <f>+Z263/U263-1</f>
        <v>9.9255583126550917E-2</v>
      </c>
      <c r="AA264" s="112">
        <f>+AA263/V263-1</f>
        <v>9.9153567110036311E-2</v>
      </c>
      <c r="AB264" s="112"/>
      <c r="AC264" s="52">
        <f>+AC263/W263-1</f>
        <v>-4.081632653061229E-2</v>
      </c>
      <c r="AD264" s="52">
        <f>+AD263/X263-1</f>
        <v>-3.4482758620689613E-2</v>
      </c>
      <c r="AE264" s="52">
        <f>+AE263/Y263-1</f>
        <v>4.7381546134663388E-2</v>
      </c>
      <c r="AF264" s="52">
        <f>+AF263/Z263-1</f>
        <v>-9.7065462753950338E-2</v>
      </c>
      <c r="AG264" s="112">
        <f>+AG263/AA263-1</f>
        <v>-3.3553355335533608E-2</v>
      </c>
      <c r="AH264" s="52">
        <f t="shared" ref="AH264:AU264" si="825">+AH263/AC263-1</f>
        <v>4.0618955512572441E-2</v>
      </c>
      <c r="AI264" s="52">
        <f t="shared" si="825"/>
        <v>9.2857142857142749E-2</v>
      </c>
      <c r="AJ264" s="52">
        <f t="shared" si="825"/>
        <v>0.11190476190476195</v>
      </c>
      <c r="AK264" s="52">
        <f t="shared" si="825"/>
        <v>0.23750000000000004</v>
      </c>
      <c r="AL264" s="112">
        <f t="shared" si="825"/>
        <v>0.11496869664200338</v>
      </c>
      <c r="AM264" s="52">
        <f t="shared" si="825"/>
        <v>0.17472118959107807</v>
      </c>
      <c r="AN264" s="52">
        <f t="shared" si="825"/>
        <v>0.16122004357298469</v>
      </c>
      <c r="AO264" s="52">
        <f t="shared" si="825"/>
        <v>1.4989293361884259E-2</v>
      </c>
      <c r="AP264" s="52">
        <f t="shared" si="825"/>
        <v>-0.16767676767676765</v>
      </c>
      <c r="AQ264" s="112">
        <f t="shared" si="825"/>
        <v>4.6962736089841695E-2</v>
      </c>
      <c r="AR264" s="52">
        <f t="shared" si="825"/>
        <v>-7.7531645569620222E-2</v>
      </c>
      <c r="AS264" s="52">
        <f t="shared" si="825"/>
        <v>1.8761726078799779E-3</v>
      </c>
      <c r="AT264" s="52">
        <f t="shared" si="825"/>
        <v>6.9620253164556889E-2</v>
      </c>
      <c r="AU264" s="52">
        <f t="shared" si="825"/>
        <v>0.27427184466019416</v>
      </c>
      <c r="AV264" s="112">
        <f t="shared" ref="AV264:BG264" si="826">+AV263/AQ263-1</f>
        <v>4.7781569965870352E-2</v>
      </c>
      <c r="AW264" s="52">
        <f t="shared" si="826"/>
        <v>0.17324185248713553</v>
      </c>
      <c r="AX264" s="52">
        <f t="shared" si="826"/>
        <v>0.101123595505618</v>
      </c>
      <c r="AY264" s="52">
        <f t="shared" si="826"/>
        <v>0.11637080867850091</v>
      </c>
      <c r="AZ264" s="52">
        <f t="shared" si="826"/>
        <v>6.0952380952380869E-2</v>
      </c>
      <c r="BA264" s="112">
        <f t="shared" si="826"/>
        <v>0.11447184737087013</v>
      </c>
      <c r="BB264" s="52">
        <f t="shared" si="826"/>
        <v>8.6257309941520477E-2</v>
      </c>
      <c r="BC264" s="52">
        <f t="shared" si="826"/>
        <v>0.26360544217687076</v>
      </c>
      <c r="BD264" s="52">
        <f t="shared" si="826"/>
        <v>0.25971731448763258</v>
      </c>
      <c r="BE264" s="52">
        <f t="shared" si="826"/>
        <v>0.33034111310592462</v>
      </c>
      <c r="BF264" s="112">
        <f t="shared" ref="BF264:BP264" si="827">+BF263/BA263-1</f>
        <v>0.22755741127348639</v>
      </c>
      <c r="BG264" s="52">
        <f t="shared" si="826"/>
        <v>0.11709286675639308</v>
      </c>
      <c r="BH264" s="52">
        <f t="shared" si="827"/>
        <v>6.864064602960962E-2</v>
      </c>
      <c r="BI264" s="114">
        <f t="shared" si="827"/>
        <v>5.1893408134642272E-2</v>
      </c>
      <c r="BJ264" s="114">
        <f t="shared" si="827"/>
        <v>-3.7786774628879916E-2</v>
      </c>
      <c r="BK264" s="112">
        <f t="shared" si="827"/>
        <v>5.0000000000000044E-2</v>
      </c>
      <c r="BL264" s="52">
        <f t="shared" si="827"/>
        <v>4.6987951807228923E-2</v>
      </c>
      <c r="BM264" s="52">
        <f t="shared" si="827"/>
        <v>0.12972292191435764</v>
      </c>
      <c r="BN264" s="52">
        <f t="shared" si="827"/>
        <v>0.18533333333333335</v>
      </c>
      <c r="BO264" s="52">
        <f t="shared" si="827"/>
        <v>-0.44179523141654975</v>
      </c>
      <c r="BP264" s="112">
        <f t="shared" si="827"/>
        <v>-1.1013929381276322E-2</v>
      </c>
      <c r="BQ264" s="52">
        <f t="shared" ref="BQ264:BZ264" si="828">+BQ263/BL263-1</f>
        <v>0.11737629459148446</v>
      </c>
      <c r="BR264" s="52">
        <f t="shared" si="828"/>
        <v>0.23076923076923084</v>
      </c>
      <c r="BS264" s="52">
        <f t="shared" si="828"/>
        <v>1.0123734533183271E-2</v>
      </c>
      <c r="BT264" s="52">
        <f t="shared" si="828"/>
        <v>1.5703517587939699</v>
      </c>
      <c r="BU264" s="112">
        <f t="shared" si="828"/>
        <v>0.30887651490337364</v>
      </c>
      <c r="BV264" s="52">
        <f t="shared" si="828"/>
        <v>0.19361483007209057</v>
      </c>
      <c r="BW264" s="52">
        <f t="shared" si="828"/>
        <v>8.8768115942029047E-2</v>
      </c>
      <c r="BX264" s="52">
        <f t="shared" si="828"/>
        <v>0.20601336302895312</v>
      </c>
      <c r="BY264" s="52">
        <f t="shared" si="828"/>
        <v>5.8651026392961825E-2</v>
      </c>
      <c r="BZ264" s="112">
        <f t="shared" si="828"/>
        <v>0.13288288288288297</v>
      </c>
      <c r="CA264" s="52">
        <f t="shared" ref="CA264" si="829">+CA263/BV263-1</f>
        <v>-5.1768766177739955E-3</v>
      </c>
      <c r="CB264" s="52">
        <f t="shared" ref="CB264:CC264" si="830">+CB263/BW263-1</f>
        <v>6.5723793677204601E-2</v>
      </c>
      <c r="CC264" s="52">
        <f t="shared" si="830"/>
        <v>1.0156971375807844E-2</v>
      </c>
      <c r="CD264" s="52">
        <f t="shared" ref="CD264:CE264" si="831">+CD263/BY263-1</f>
        <v>-4.1551246537396169E-2</v>
      </c>
      <c r="CE264" s="112">
        <f t="shared" si="831"/>
        <v>8.6149768058316756E-3</v>
      </c>
      <c r="CF264" s="52">
        <f t="shared" ref="CF264" si="832">+CF263/CA263-1</f>
        <v>-1.3876843018213347E-2</v>
      </c>
      <c r="CG264" s="52">
        <f t="shared" ref="CG264:CH264" si="833">+CG263/CB263-1</f>
        <v>-6.3231850117095978E-2</v>
      </c>
      <c r="CH264" s="52">
        <f t="shared" si="833"/>
        <v>-9.1407678244972534E-2</v>
      </c>
      <c r="CI264" s="52">
        <f t="shared" ref="CI264" si="834">+CI263/CD263-1</f>
        <v>1.0597302504816941E-2</v>
      </c>
      <c r="CJ264" s="112">
        <f t="shared" ref="CJ264:CL264" si="835">+CJ263/CE263-1</f>
        <v>-4.0735873850197057E-2</v>
      </c>
      <c r="CK264" s="52">
        <f t="shared" si="835"/>
        <v>-0.12664907651715041</v>
      </c>
      <c r="CL264" s="52">
        <f t="shared" si="835"/>
        <v>-5.3333333333333344E-2</v>
      </c>
      <c r="CM264" s="52">
        <f t="shared" ref="CM264" si="836">+CM263/CH263-1</f>
        <v>-8.1488933601609692E-2</v>
      </c>
      <c r="CN264" s="52">
        <f t="shared" ref="CN264" si="837">+CN263/CI263-1</f>
        <v>-0.11439466158245948</v>
      </c>
      <c r="CO264" s="112">
        <f t="shared" ref="CO264:CQ264" si="838">+CO263/CJ263-1</f>
        <v>-9.3378995433789913E-2</v>
      </c>
      <c r="CP264" s="52">
        <f t="shared" si="838"/>
        <v>0.11379657603222548</v>
      </c>
      <c r="CQ264" s="52">
        <f t="shared" si="838"/>
        <v>5.2816901408450745E-2</v>
      </c>
      <c r="CR264" s="52">
        <f t="shared" ref="CR264" si="839">+CR263/CM263-1</f>
        <v>1.4238773274917849E-2</v>
      </c>
      <c r="CS264" s="52">
        <f t="shared" ref="CS264" si="840">+CS263/CN263-1</f>
        <v>5.7050592034445735E-2</v>
      </c>
      <c r="CT264" s="112">
        <f t="shared" ref="CT264" si="841">+CT263/CO263-1</f>
        <v>6.0186351045076858E-2</v>
      </c>
      <c r="CU264" s="52">
        <f t="shared" ref="CU264" si="842">+CU263/CP263-1</f>
        <v>5.1537070524412254E-2</v>
      </c>
      <c r="CV264" s="52">
        <f t="shared" ref="CV264" si="843">+CV263/CQ263-1</f>
        <v>-0.13047000000000009</v>
      </c>
      <c r="CW264" s="52">
        <f t="shared" ref="CW264" si="844">+CW263/CR263-1</f>
        <v>-6.4919999999999978E-2</v>
      </c>
      <c r="CX264" s="52">
        <f t="shared" ref="CX264" si="845">+CX263/CS263-1</f>
        <v>-7.6600000000000112E-2</v>
      </c>
      <c r="CY264" s="112">
        <f t="shared" ref="CY264" si="846">+CY263/CT263-1</f>
        <v>-5.5672028503563009E-2</v>
      </c>
      <c r="CZ264" s="52">
        <f t="shared" ref="CZ264" si="847">+CZ263/CU263-1</f>
        <v>-6.425000000000014E-2</v>
      </c>
      <c r="DA264" s="52">
        <f t="shared" ref="DA264" si="848">+DA263/CV263-1</f>
        <v>-2.0000000000000018E-2</v>
      </c>
      <c r="DB264" s="52">
        <f t="shared" ref="DB264" si="849">+DB263/CW263-1</f>
        <v>-2.0000000000000018E-2</v>
      </c>
      <c r="DC264" s="52">
        <f t="shared" ref="DC264" si="850">+DC263/CX263-1</f>
        <v>-2.0000000000000018E-2</v>
      </c>
      <c r="DD264" s="112">
        <f t="shared" ref="DD264" si="851">+DD263/CY263-1</f>
        <v>-3.2944582269461731E-2</v>
      </c>
      <c r="DE264" s="52">
        <f t="shared" ref="DE264" si="852">+DE263/CZ263-1</f>
        <v>0</v>
      </c>
      <c r="DF264" s="52">
        <f t="shared" ref="DF264" si="853">+DF263/DA263-1</f>
        <v>0</v>
      </c>
      <c r="DG264" s="52">
        <f t="shared" ref="DG264" si="854">+DG263/DB263-1</f>
        <v>1.0000000000000009E-2</v>
      </c>
      <c r="DH264" s="52">
        <f t="shared" ref="DH264" si="855">+DH263/DC263-1</f>
        <v>1.0000000000000009E-2</v>
      </c>
      <c r="DI264" s="112">
        <f t="shared" ref="DI264" si="856">+DI263/DD263-1</f>
        <v>4.5185169336534603E-3</v>
      </c>
    </row>
    <row r="265" spans="1:113" s="529" customFormat="1" ht="12" hidden="1" customHeight="1" outlineLevel="1">
      <c r="A265" s="219" t="str">
        <f t="shared" si="709"/>
        <v xml:space="preserve"> </v>
      </c>
      <c r="B265" s="526" t="s">
        <v>173</v>
      </c>
      <c r="C265" s="112"/>
      <c r="D265" s="52"/>
      <c r="E265" s="112"/>
      <c r="F265" s="52"/>
      <c r="G265" s="112"/>
      <c r="H265" s="52"/>
      <c r="I265" s="112"/>
      <c r="J265" s="52"/>
      <c r="K265" s="112"/>
      <c r="L265" s="52"/>
      <c r="M265" s="112"/>
      <c r="N265" s="52"/>
      <c r="O265" s="112"/>
      <c r="P265" s="52"/>
      <c r="Q265" s="112"/>
      <c r="R265" s="217" t="s">
        <v>126</v>
      </c>
      <c r="S265" s="52" t="s">
        <v>126</v>
      </c>
      <c r="T265" s="52" t="s">
        <v>126</v>
      </c>
      <c r="U265" s="52" t="s">
        <v>126</v>
      </c>
      <c r="V265" s="112" t="s">
        <v>126</v>
      </c>
      <c r="W265" s="217" t="s">
        <v>126</v>
      </c>
      <c r="X265" s="52" t="s">
        <v>126</v>
      </c>
      <c r="Y265" s="52" t="s">
        <v>126</v>
      </c>
      <c r="Z265" s="52" t="s">
        <v>126</v>
      </c>
      <c r="AA265" s="112" t="s">
        <v>126</v>
      </c>
      <c r="AB265" s="112"/>
      <c r="AC265" s="217" t="s">
        <v>126</v>
      </c>
      <c r="AD265" s="52" t="s">
        <v>126</v>
      </c>
      <c r="AE265" s="52" t="s">
        <v>126</v>
      </c>
      <c r="AF265" s="52" t="s">
        <v>126</v>
      </c>
      <c r="AG265" s="112" t="s">
        <v>126</v>
      </c>
      <c r="AH265" s="217" t="s">
        <v>126</v>
      </c>
      <c r="AI265" s="52" t="s">
        <v>126</v>
      </c>
      <c r="AJ265" s="52" t="s">
        <v>126</v>
      </c>
      <c r="AK265" s="52" t="s">
        <v>126</v>
      </c>
      <c r="AL265" s="112" t="s">
        <v>126</v>
      </c>
      <c r="AM265" s="217" t="s">
        <v>126</v>
      </c>
      <c r="AN265" s="52" t="s">
        <v>126</v>
      </c>
      <c r="AO265" s="52" t="s">
        <v>126</v>
      </c>
      <c r="AP265" s="52" t="s">
        <v>126</v>
      </c>
      <c r="AQ265" s="112" t="s">
        <v>126</v>
      </c>
      <c r="AR265" s="217" t="s">
        <v>126</v>
      </c>
      <c r="AS265" s="52" t="s">
        <v>126</v>
      </c>
      <c r="AT265" s="52" t="s">
        <v>126</v>
      </c>
      <c r="AU265" s="52" t="s">
        <v>126</v>
      </c>
      <c r="AV265" s="112" t="s">
        <v>126</v>
      </c>
      <c r="AW265" s="52">
        <v>0.22</v>
      </c>
      <c r="AX265" s="52">
        <v>0.16</v>
      </c>
      <c r="AY265" s="52">
        <v>0.17</v>
      </c>
      <c r="AZ265" s="52">
        <v>0.12</v>
      </c>
      <c r="BA265" s="112">
        <v>0.17</v>
      </c>
      <c r="BB265" s="52">
        <v>0.1</v>
      </c>
      <c r="BC265" s="52">
        <v>0.21</v>
      </c>
      <c r="BD265" s="52">
        <v>0.15</v>
      </c>
      <c r="BE265" s="114">
        <v>0.18</v>
      </c>
      <c r="BF265" s="112">
        <f>SUMPRODUCT(BB265:BE265,AW263:AZ263)/BA263</f>
        <v>0.15742797494780791</v>
      </c>
      <c r="BG265" s="114">
        <v>0.1</v>
      </c>
      <c r="BH265" s="114">
        <v>0.12</v>
      </c>
      <c r="BI265" s="114">
        <v>0.11</v>
      </c>
      <c r="BJ265" s="114">
        <v>0.05</v>
      </c>
      <c r="BK265" s="112">
        <f>SUMPRODUCT(BG265:BJ265,BB263:BE263)/BF263</f>
        <v>9.4877551020408166E-2</v>
      </c>
      <c r="BL265" s="114">
        <v>0.1</v>
      </c>
      <c r="BM265" s="114">
        <v>0.17</v>
      </c>
      <c r="BN265" s="114">
        <v>0.2</v>
      </c>
      <c r="BO265" s="114">
        <v>-0.42</v>
      </c>
      <c r="BP265" s="112">
        <f>SUMPRODUCT(BL265:BO265,BG263:BJ263)/BK263</f>
        <v>2.2196307094266291E-2</v>
      </c>
      <c r="BQ265" s="114">
        <v>0.11</v>
      </c>
      <c r="BR265" s="245">
        <v>0.18</v>
      </c>
      <c r="BS265" s="114">
        <v>-0.04</v>
      </c>
      <c r="BT265" s="114">
        <v>1.37</v>
      </c>
      <c r="BU265" s="112">
        <f>SUMPRODUCT(BQ265:BT265,BL263:BO263)/BP263</f>
        <v>0.25114641336390436</v>
      </c>
      <c r="BV265" s="114">
        <v>0.13</v>
      </c>
      <c r="BW265" s="245">
        <v>0.08</v>
      </c>
      <c r="BX265" s="114">
        <v>0.28000000000000003</v>
      </c>
      <c r="BY265" s="114">
        <v>0.16</v>
      </c>
      <c r="BZ265" s="112">
        <f>SUMPRODUCT(BV265:BY265,BQ263:BT263)/BU263</f>
        <v>0.15757507507507509</v>
      </c>
      <c r="CA265" s="114">
        <v>0.15</v>
      </c>
      <c r="CB265" s="114">
        <v>0.28000000000000003</v>
      </c>
      <c r="CC265" s="114">
        <v>0.1</v>
      </c>
      <c r="CD265" s="114">
        <v>0</v>
      </c>
      <c r="CE265" s="112">
        <f>SUMPRODUCT(CA265:CD265,BV263:BY263)/BZ263</f>
        <v>0.13667108460349017</v>
      </c>
      <c r="CF265" s="114">
        <v>-0.03</v>
      </c>
      <c r="CG265" s="114">
        <v>-0.1</v>
      </c>
      <c r="CH265" s="114">
        <v>-0.1</v>
      </c>
      <c r="CI265" s="114">
        <v>0.03</v>
      </c>
      <c r="CJ265" s="112">
        <f>SUMPRODUCT(CF265:CI265,CA263:CD263)/CE263</f>
        <v>-5.2770477441962338E-2</v>
      </c>
      <c r="CK265" s="114">
        <v>-0.11</v>
      </c>
      <c r="CL265" s="114">
        <v>-0.08</v>
      </c>
      <c r="CM265" s="114">
        <v>-0.04</v>
      </c>
      <c r="CN265" s="114">
        <v>-0.12</v>
      </c>
      <c r="CO265" s="112">
        <f>SUMPRODUCT(CK265:CN265,CF263:CI263)/CJ263</f>
        <v>-8.8289954337899546E-2</v>
      </c>
      <c r="CP265" s="114">
        <v>0.06</v>
      </c>
      <c r="CQ265" s="114">
        <v>0.01</v>
      </c>
      <c r="CR265" s="114">
        <v>-0.08</v>
      </c>
      <c r="CS265" s="114">
        <v>0</v>
      </c>
      <c r="CT265" s="112">
        <f>SUMPRODUCT(CP265:CS265,CK263:CN263)/CO263</f>
        <v>-5.2883404683958912E-4</v>
      </c>
      <c r="CU265" s="114">
        <v>0.05</v>
      </c>
      <c r="CV265" s="53">
        <f>-2%-9%</f>
        <v>-0.11</v>
      </c>
      <c r="CW265" s="53">
        <v>-0.03</v>
      </c>
      <c r="CX265" s="53">
        <v>-0.05</v>
      </c>
      <c r="CY265" s="112">
        <f>SUMPRODUCT(CU265:CX265,CP263:CS263)/CT263</f>
        <v>-3.6375296912114011E-2</v>
      </c>
      <c r="CZ265" s="53">
        <v>-0.05</v>
      </c>
      <c r="DA265" s="53">
        <v>-0.02</v>
      </c>
      <c r="DB265" s="53">
        <v>-0.02</v>
      </c>
      <c r="DC265" s="53">
        <v>-0.02</v>
      </c>
      <c r="DD265" s="112">
        <f>SUMPRODUCT(CZ265:DC265,CU263:CX263)/CY263</f>
        <v>-2.8775987979296098E-2</v>
      </c>
      <c r="DE265" s="53">
        <v>0</v>
      </c>
      <c r="DF265" s="53">
        <v>0</v>
      </c>
      <c r="DG265" s="53">
        <v>0.01</v>
      </c>
      <c r="DH265" s="53">
        <v>0.01</v>
      </c>
      <c r="DI265" s="112">
        <f>SUMPRODUCT(DE265:DH265,CZ263:DC263)/DD263</f>
        <v>4.5185169336534655E-3</v>
      </c>
    </row>
    <row r="266" spans="1:113" s="545" customFormat="1" ht="12" hidden="1" customHeight="1" outlineLevel="1">
      <c r="A266" s="219" t="str">
        <f t="shared" si="709"/>
        <v xml:space="preserve"> </v>
      </c>
      <c r="B266" s="546" t="s">
        <v>142</v>
      </c>
      <c r="C266" s="112"/>
      <c r="D266" s="52"/>
      <c r="E266" s="112"/>
      <c r="F266" s="52"/>
      <c r="G266" s="112"/>
      <c r="H266" s="52"/>
      <c r="I266" s="112"/>
      <c r="J266" s="52"/>
      <c r="K266" s="112"/>
      <c r="L266" s="52"/>
      <c r="M266" s="112"/>
      <c r="N266" s="52"/>
      <c r="O266" s="112"/>
      <c r="P266" s="52"/>
      <c r="Q266" s="112"/>
      <c r="R266" s="217" t="s">
        <v>126</v>
      </c>
      <c r="S266" s="52" t="s">
        <v>126</v>
      </c>
      <c r="T266" s="52" t="s">
        <v>126</v>
      </c>
      <c r="U266" s="52" t="s">
        <v>126</v>
      </c>
      <c r="V266" s="112" t="s">
        <v>126</v>
      </c>
      <c r="W266" s="217" t="s">
        <v>126</v>
      </c>
      <c r="X266" s="52" t="s">
        <v>126</v>
      </c>
      <c r="Y266" s="52" t="s">
        <v>126</v>
      </c>
      <c r="Z266" s="52" t="s">
        <v>126</v>
      </c>
      <c r="AA266" s="112" t="s">
        <v>126</v>
      </c>
      <c r="AB266" s="112"/>
      <c r="AC266" s="217" t="s">
        <v>126</v>
      </c>
      <c r="AD266" s="52" t="s">
        <v>126</v>
      </c>
      <c r="AE266" s="52" t="s">
        <v>126</v>
      </c>
      <c r="AF266" s="52" t="s">
        <v>126</v>
      </c>
      <c r="AG266" s="112" t="s">
        <v>126</v>
      </c>
      <c r="AH266" s="217" t="s">
        <v>126</v>
      </c>
      <c r="AI266" s="52" t="s">
        <v>126</v>
      </c>
      <c r="AJ266" s="52" t="s">
        <v>126</v>
      </c>
      <c r="AK266" s="52" t="s">
        <v>126</v>
      </c>
      <c r="AL266" s="112" t="s">
        <v>126</v>
      </c>
      <c r="AM266" s="217" t="s">
        <v>126</v>
      </c>
      <c r="AN266" s="52" t="s">
        <v>126</v>
      </c>
      <c r="AO266" s="52" t="s">
        <v>126</v>
      </c>
      <c r="AP266" s="52" t="s">
        <v>126</v>
      </c>
      <c r="AQ266" s="112" t="s">
        <v>126</v>
      </c>
      <c r="AR266" s="217" t="s">
        <v>126</v>
      </c>
      <c r="AS266" s="52" t="s">
        <v>126</v>
      </c>
      <c r="AT266" s="52" t="s">
        <v>126</v>
      </c>
      <c r="AU266" s="52" t="s">
        <v>126</v>
      </c>
      <c r="AV266" s="112" t="s">
        <v>126</v>
      </c>
      <c r="AW266" s="217" t="s">
        <v>126</v>
      </c>
      <c r="AX266" s="52" t="s">
        <v>126</v>
      </c>
      <c r="AY266" s="52" t="s">
        <v>126</v>
      </c>
      <c r="AZ266" s="52" t="s">
        <v>126</v>
      </c>
      <c r="BA266" s="112" t="s">
        <v>126</v>
      </c>
      <c r="BB266" s="52">
        <v>0.13</v>
      </c>
      <c r="BC266" s="52">
        <v>0.12</v>
      </c>
      <c r="BD266" s="52">
        <v>0.1</v>
      </c>
      <c r="BE266" s="52">
        <f>((BF266*SUM(AW263:AZ263))-BB266*AW263-BC266*AX263-BD266*AY263)/AZ263</f>
        <v>0.12804308797127462</v>
      </c>
      <c r="BF266" s="112">
        <v>0.12</v>
      </c>
      <c r="BG266" s="52">
        <v>0.04</v>
      </c>
      <c r="BH266" s="52">
        <v>0.08</v>
      </c>
      <c r="BI266" s="114">
        <v>0.06</v>
      </c>
      <c r="BJ266" s="114">
        <f>((BK266*SUM(BB263:BE263))-BG266*BB263-BH266*BC263-BI266*BD263)/BE263</f>
        <v>6.0000000000000012E-2</v>
      </c>
      <c r="BK266" s="112">
        <v>0.06</v>
      </c>
      <c r="BL266" s="114">
        <v>0.08</v>
      </c>
      <c r="BM266" s="52">
        <v>0.16</v>
      </c>
      <c r="BN266" s="52">
        <v>0.21</v>
      </c>
      <c r="BO266" s="114">
        <f>((BP266*SUM(BG263:BJ263))-BL266*BG263-BM266*BH263-BN266*BI263)/BJ263</f>
        <v>-0.57879382889200559</v>
      </c>
      <c r="BP266" s="112">
        <v>-0.02</v>
      </c>
      <c r="BQ266" s="114">
        <v>0.09</v>
      </c>
      <c r="BR266" s="52">
        <v>0.19</v>
      </c>
      <c r="BS266" s="52">
        <v>-0.11</v>
      </c>
      <c r="BT266" s="114">
        <f>((BU266*SUM(BL263:BO263))-BQ266*BL263-BR266*BM263-BS266*BN263)/BO263</f>
        <v>1.6154020100502509</v>
      </c>
      <c r="BU266" s="112">
        <v>0.26</v>
      </c>
      <c r="BV266" s="114">
        <v>7.0000000000000007E-2</v>
      </c>
      <c r="BW266" s="52">
        <v>0.03</v>
      </c>
      <c r="BX266" s="52">
        <v>0.19</v>
      </c>
      <c r="BY266" s="114">
        <f>((BZ266*SUM(BQ263:BT263))-BV266*BQ263-BW266*BR263-BX266*BS263)/BT263</f>
        <v>8.5953079178885575E-2</v>
      </c>
      <c r="BZ266" s="112">
        <v>0.09</v>
      </c>
      <c r="CA266" s="114">
        <v>7.0000000000000007E-2</v>
      </c>
      <c r="CB266" s="114">
        <v>0.11</v>
      </c>
      <c r="CC266" s="114">
        <v>0.02</v>
      </c>
      <c r="CD266" s="114">
        <f>((CE266*SUM(BV263:BY263))-CA266*BV263-CB266*BW263-CC266*BX263)/BY263</f>
        <v>-0.13339796860572484</v>
      </c>
      <c r="CE266" s="112">
        <v>0.02</v>
      </c>
      <c r="CF266" s="52">
        <v>-0.15</v>
      </c>
      <c r="CG266" s="52">
        <v>-0.21</v>
      </c>
      <c r="CH266" s="52">
        <v>-0.19</v>
      </c>
      <c r="CI266" s="114">
        <f>((CJ266*SUM(CA263:CD263))-CF266*CA263-CG266*CB263-CH266*CC263)/CD263</f>
        <v>-0.12177263969171481</v>
      </c>
      <c r="CJ266" s="112">
        <v>-0.17</v>
      </c>
      <c r="CK266" s="52">
        <v>-0.12</v>
      </c>
      <c r="CL266" s="52">
        <v>-0.1</v>
      </c>
      <c r="CM266" s="52">
        <v>-0.01</v>
      </c>
      <c r="CN266" s="114">
        <f>((CO266*SUM(CF263:CI263))-CK266*CF263-CL266*CG263-CM266*CH263)/CI263</f>
        <v>3.412774070543361E-3</v>
      </c>
      <c r="CO266" s="112">
        <v>-0.06</v>
      </c>
      <c r="CP266" s="52">
        <v>0.08</v>
      </c>
      <c r="CQ266" s="114">
        <v>7.0000000000000007E-2</v>
      </c>
      <c r="CR266" s="114">
        <v>-0.08</v>
      </c>
      <c r="CS266" s="114">
        <f>((CT266*SUM(CK263:CN263))-CP266*CK263-CQ266*CL263-CR266*CM263)/CN263</f>
        <v>-4.974165769644779E-2</v>
      </c>
      <c r="CT266" s="112">
        <v>0.01</v>
      </c>
      <c r="CU266" s="114"/>
      <c r="CV266" s="52"/>
      <c r="CW266" s="52"/>
      <c r="CX266" s="52"/>
      <c r="CY266" s="112"/>
      <c r="CZ266" s="52"/>
      <c r="DA266" s="52"/>
      <c r="DB266" s="52"/>
      <c r="DC266" s="52"/>
      <c r="DD266" s="112"/>
      <c r="DE266" s="52"/>
      <c r="DF266" s="52"/>
      <c r="DG266" s="52"/>
      <c r="DH266" s="52"/>
      <c r="DI266" s="112"/>
    </row>
    <row r="267" spans="1:113" s="545" customFormat="1" ht="12" hidden="1" customHeight="1" outlineLevel="1">
      <c r="A267" s="219" t="str">
        <f t="shared" si="709"/>
        <v xml:space="preserve"> </v>
      </c>
      <c r="B267" s="546" t="s">
        <v>143</v>
      </c>
      <c r="C267" s="112"/>
      <c r="D267" s="52"/>
      <c r="E267" s="112"/>
      <c r="F267" s="52"/>
      <c r="G267" s="112"/>
      <c r="H267" s="52"/>
      <c r="I267" s="112"/>
      <c r="J267" s="52"/>
      <c r="K267" s="112"/>
      <c r="L267" s="52"/>
      <c r="M267" s="112"/>
      <c r="N267" s="52"/>
      <c r="O267" s="112"/>
      <c r="P267" s="52"/>
      <c r="Q267" s="112"/>
      <c r="R267" s="217" t="s">
        <v>126</v>
      </c>
      <c r="S267" s="52" t="s">
        <v>126</v>
      </c>
      <c r="T267" s="52" t="s">
        <v>126</v>
      </c>
      <c r="U267" s="52" t="s">
        <v>126</v>
      </c>
      <c r="V267" s="112" t="s">
        <v>126</v>
      </c>
      <c r="W267" s="217" t="s">
        <v>126</v>
      </c>
      <c r="X267" s="52" t="s">
        <v>126</v>
      </c>
      <c r="Y267" s="52" t="s">
        <v>126</v>
      </c>
      <c r="Z267" s="52" t="s">
        <v>126</v>
      </c>
      <c r="AA267" s="112" t="s">
        <v>126</v>
      </c>
      <c r="AB267" s="112"/>
      <c r="AC267" s="217" t="s">
        <v>126</v>
      </c>
      <c r="AD267" s="52" t="s">
        <v>126</v>
      </c>
      <c r="AE267" s="52" t="s">
        <v>126</v>
      </c>
      <c r="AF267" s="52" t="s">
        <v>126</v>
      </c>
      <c r="AG267" s="112" t="s">
        <v>126</v>
      </c>
      <c r="AH267" s="217" t="s">
        <v>126</v>
      </c>
      <c r="AI267" s="52" t="s">
        <v>126</v>
      </c>
      <c r="AJ267" s="52" t="s">
        <v>126</v>
      </c>
      <c r="AK267" s="52" t="s">
        <v>126</v>
      </c>
      <c r="AL267" s="112" t="s">
        <v>126</v>
      </c>
      <c r="AM267" s="217" t="s">
        <v>126</v>
      </c>
      <c r="AN267" s="52" t="s">
        <v>126</v>
      </c>
      <c r="AO267" s="52" t="s">
        <v>126</v>
      </c>
      <c r="AP267" s="52" t="s">
        <v>126</v>
      </c>
      <c r="AQ267" s="112" t="s">
        <v>126</v>
      </c>
      <c r="AR267" s="217" t="s">
        <v>126</v>
      </c>
      <c r="AS267" s="52" t="s">
        <v>126</v>
      </c>
      <c r="AT267" s="52" t="s">
        <v>126</v>
      </c>
      <c r="AU267" s="52" t="s">
        <v>126</v>
      </c>
      <c r="AV267" s="112" t="s">
        <v>126</v>
      </c>
      <c r="AW267" s="217" t="s">
        <v>126</v>
      </c>
      <c r="AX267" s="52" t="s">
        <v>126</v>
      </c>
      <c r="AY267" s="52" t="s">
        <v>126</v>
      </c>
      <c r="AZ267" s="52" t="s">
        <v>126</v>
      </c>
      <c r="BA267" s="112" t="s">
        <v>126</v>
      </c>
      <c r="BB267" s="52">
        <v>-0.03</v>
      </c>
      <c r="BC267" s="52">
        <v>0.09</v>
      </c>
      <c r="BD267" s="52">
        <v>0.05</v>
      </c>
      <c r="BE267" s="52">
        <f>((BF267*SUM(AW263:AZ263))-BB267*AW263-BC267*AX263-BD267*AY263)/AZ263</f>
        <v>6.3016157989227994E-2</v>
      </c>
      <c r="BF267" s="112">
        <v>0.04</v>
      </c>
      <c r="BG267" s="52">
        <v>0.06</v>
      </c>
      <c r="BH267" s="52">
        <v>0.04</v>
      </c>
      <c r="BI267" s="114">
        <v>0.05</v>
      </c>
      <c r="BJ267" s="114">
        <f>((BK267*SUM(BB263:BE263))-BG267*BB263-BH267*BC263-BI267*BD263)/BE263</f>
        <v>-2.9352226720647762E-2</v>
      </c>
      <c r="BK267" s="112">
        <v>0.03</v>
      </c>
      <c r="BL267" s="114">
        <v>0.02</v>
      </c>
      <c r="BM267" s="52">
        <v>0.01</v>
      </c>
      <c r="BN267" s="52">
        <v>-0.01</v>
      </c>
      <c r="BO267" s="114">
        <f>((BP267*SUM(BG263:BJ263))-BL267*BG263-BM267*BH263-BN267*BI263)/BJ263</f>
        <v>0.14928471248246844</v>
      </c>
      <c r="BP267" s="112">
        <v>0.04</v>
      </c>
      <c r="BQ267" s="114">
        <v>0.02</v>
      </c>
      <c r="BR267" s="52">
        <v>-0.01</v>
      </c>
      <c r="BS267" s="52">
        <v>7.0000000000000007E-2</v>
      </c>
      <c r="BT267" s="114">
        <f>((BU267*SUM(BL263:BO263))-BQ267*BL263-BR267*BM263-BS267*BN263)/BO263</f>
        <v>-0.25419597989949749</v>
      </c>
      <c r="BU267" s="112">
        <v>-0.01</v>
      </c>
      <c r="BV267" s="114">
        <v>0.06</v>
      </c>
      <c r="BW267" s="52">
        <v>0.05</v>
      </c>
      <c r="BX267" s="52">
        <v>0.09</v>
      </c>
      <c r="BY267" s="114">
        <f>((BZ267*SUM(BQ263:BT263))-BV267*BQ263-BW267*BR263-BX267*BS263)/BT263</f>
        <v>0.20070381231671558</v>
      </c>
      <c r="BZ267" s="112">
        <v>0.1</v>
      </c>
      <c r="CA267" s="114">
        <v>0.08</v>
      </c>
      <c r="CB267" s="114">
        <v>0.17</v>
      </c>
      <c r="CC267" s="114">
        <v>0.12</v>
      </c>
      <c r="CD267" s="114">
        <f>((CE267*SUM(BV263:BY263))-CA267*BV263-CB267*BW263-CC267*BX263)/BY263</f>
        <v>0.10731301939058169</v>
      </c>
      <c r="CE267" s="112">
        <v>0.12</v>
      </c>
      <c r="CF267" s="52">
        <v>0.12</v>
      </c>
      <c r="CG267" s="52">
        <v>0.11</v>
      </c>
      <c r="CH267" s="52">
        <v>0.09</v>
      </c>
      <c r="CI267" s="114">
        <f>((CJ267*SUM(CA263:CD263))-CF267*CA263-CG267*CB263-CH267*CC263)/CD263</f>
        <v>0.11997109826589594</v>
      </c>
      <c r="CJ267" s="112">
        <v>0.11</v>
      </c>
      <c r="CK267" s="52">
        <v>0.01</v>
      </c>
      <c r="CL267" s="52">
        <v>0.02</v>
      </c>
      <c r="CM267" s="52">
        <v>-0.03</v>
      </c>
      <c r="CN267" s="114">
        <f>((CO267*SUM(CF263:CI263))-CK267*CF263-CL267*CG263-CM267*CH263)/CI263</f>
        <v>-0.13055290753098189</v>
      </c>
      <c r="CO267" s="112">
        <v>-0.03</v>
      </c>
      <c r="CP267" s="52">
        <v>-0.02</v>
      </c>
      <c r="CQ267" s="114">
        <v>-0.06</v>
      </c>
      <c r="CR267" s="114">
        <v>0</v>
      </c>
      <c r="CS267" s="114">
        <f>((CT267*SUM(CK263:CN263))-CP267*CK263-CQ267*CL263-CR267*CM263)/CN263</f>
        <v>5.2002152852529598E-2</v>
      </c>
      <c r="CT267" s="112">
        <v>-0.01</v>
      </c>
      <c r="CU267" s="114"/>
      <c r="CV267" s="52"/>
      <c r="CW267" s="52"/>
      <c r="CX267" s="52"/>
      <c r="CY267" s="112"/>
      <c r="CZ267" s="52"/>
      <c r="DA267" s="52"/>
      <c r="DB267" s="52"/>
      <c r="DC267" s="52"/>
      <c r="DD267" s="112"/>
      <c r="DE267" s="52"/>
      <c r="DF267" s="52"/>
      <c r="DG267" s="52"/>
      <c r="DH267" s="52"/>
      <c r="DI267" s="112"/>
    </row>
    <row r="268" spans="1:113" ht="12" hidden="1" customHeight="1" outlineLevel="1">
      <c r="A268" s="219" t="str">
        <f t="shared" si="709"/>
        <v xml:space="preserve"> </v>
      </c>
      <c r="B268" s="491" t="s">
        <v>141</v>
      </c>
      <c r="C268" s="492"/>
      <c r="D268" s="522"/>
      <c r="E268" s="492"/>
      <c r="F268" s="522"/>
      <c r="G268" s="492"/>
      <c r="H268" s="522"/>
      <c r="I268" s="492"/>
      <c r="J268" s="522"/>
      <c r="K268" s="492"/>
      <c r="L268" s="522"/>
      <c r="M268" s="492"/>
      <c r="N268" s="522"/>
      <c r="O268" s="492"/>
      <c r="P268" s="522"/>
      <c r="Q268" s="492"/>
      <c r="R268" s="378" t="s">
        <v>126</v>
      </c>
      <c r="S268" s="522" t="s">
        <v>126</v>
      </c>
      <c r="T268" s="522" t="s">
        <v>126</v>
      </c>
      <c r="U268" s="522" t="s">
        <v>126</v>
      </c>
      <c r="V268" s="492" t="s">
        <v>126</v>
      </c>
      <c r="W268" s="378" t="s">
        <v>126</v>
      </c>
      <c r="X268" s="522" t="s">
        <v>126</v>
      </c>
      <c r="Y268" s="522" t="s">
        <v>126</v>
      </c>
      <c r="Z268" s="522" t="s">
        <v>126</v>
      </c>
      <c r="AA268" s="492" t="s">
        <v>126</v>
      </c>
      <c r="AB268" s="492"/>
      <c r="AC268" s="378" t="s">
        <v>126</v>
      </c>
      <c r="AD268" s="522" t="s">
        <v>126</v>
      </c>
      <c r="AE268" s="522" t="s">
        <v>126</v>
      </c>
      <c r="AF268" s="522" t="s">
        <v>126</v>
      </c>
      <c r="AG268" s="492" t="s">
        <v>126</v>
      </c>
      <c r="AH268" s="378" t="s">
        <v>126</v>
      </c>
      <c r="AI268" s="522" t="s">
        <v>126</v>
      </c>
      <c r="AJ268" s="522" t="s">
        <v>126</v>
      </c>
      <c r="AK268" s="522" t="s">
        <v>126</v>
      </c>
      <c r="AL268" s="492" t="s">
        <v>126</v>
      </c>
      <c r="AM268" s="378" t="s">
        <v>126</v>
      </c>
      <c r="AN268" s="522" t="s">
        <v>126</v>
      </c>
      <c r="AO268" s="522" t="s">
        <v>126</v>
      </c>
      <c r="AP268" s="522" t="s">
        <v>126</v>
      </c>
      <c r="AQ268" s="492" t="s">
        <v>126</v>
      </c>
      <c r="AR268" s="378" t="s">
        <v>126</v>
      </c>
      <c r="AS268" s="522" t="s">
        <v>126</v>
      </c>
      <c r="AT268" s="522" t="s">
        <v>126</v>
      </c>
      <c r="AU268" s="522" t="s">
        <v>126</v>
      </c>
      <c r="AV268" s="492" t="s">
        <v>126</v>
      </c>
      <c r="AW268" s="52">
        <f>(1+AW264)/(1+AW265)-1</f>
        <v>-3.8326350420380684E-2</v>
      </c>
      <c r="AX268" s="52">
        <f t="shared" ref="AX268:BG268" si="857">(1+AX264)/(1+AX265)-1</f>
        <v>-5.0755521115846469E-2</v>
      </c>
      <c r="AY268" s="52">
        <f t="shared" si="857"/>
        <v>-4.5836915659400845E-2</v>
      </c>
      <c r="AZ268" s="52">
        <f t="shared" si="857"/>
        <v>-5.2721088435374264E-2</v>
      </c>
      <c r="BA268" s="112">
        <f t="shared" si="857"/>
        <v>-4.745995951207671E-2</v>
      </c>
      <c r="BB268" s="52">
        <f t="shared" si="857"/>
        <v>-1.2493354598617779E-2</v>
      </c>
      <c r="BC268" s="52">
        <f t="shared" si="857"/>
        <v>4.4302018327992299E-2</v>
      </c>
      <c r="BD268" s="52">
        <f t="shared" si="857"/>
        <v>9.5406360424028502E-2</v>
      </c>
      <c r="BE268" s="52">
        <f t="shared" si="857"/>
        <v>0.12740772297112257</v>
      </c>
      <c r="BF268" s="112">
        <f>(1+BF264)/(1+BF265)-1</f>
        <v>6.0590756266143186E-2</v>
      </c>
      <c r="BG268" s="52">
        <f t="shared" si="857"/>
        <v>1.553896977853908E-2</v>
      </c>
      <c r="BH268" s="52">
        <f>+BH254</f>
        <v>-4.8782293285957512E-2</v>
      </c>
      <c r="BI268" s="114">
        <f>+BI254</f>
        <v>-5.4324861741129715E-2</v>
      </c>
      <c r="BJ268" s="114">
        <f>(1+BJ264)/(1+BJ265)-1</f>
        <v>-8.3606452027504718E-2</v>
      </c>
      <c r="BK268" s="112">
        <f>(1+BK264)/(1+BK265)-1</f>
        <v>-4.0988648437062958E-2</v>
      </c>
      <c r="BL268" s="52">
        <f t="shared" ref="BL268:BS268" si="858">(1+BL264)/(1+BL265)-1</f>
        <v>-4.8192771084337394E-2</v>
      </c>
      <c r="BM268" s="52">
        <f t="shared" si="858"/>
        <v>-3.4424853064651484E-2</v>
      </c>
      <c r="BN268" s="52">
        <f t="shared" si="858"/>
        <v>-1.2222222222222134E-2</v>
      </c>
      <c r="BO268" s="52">
        <f t="shared" si="858"/>
        <v>-3.7577985200948016E-2</v>
      </c>
      <c r="BP268" s="112">
        <f>(1+BP264)/(1+BP265)-1</f>
        <v>-3.2489098468715172E-2</v>
      </c>
      <c r="BQ268" s="52">
        <f t="shared" si="858"/>
        <v>6.6453104427786069E-3</v>
      </c>
      <c r="BR268" s="52">
        <f t="shared" si="858"/>
        <v>4.3024771838331199E-2</v>
      </c>
      <c r="BS268" s="52">
        <f t="shared" si="858"/>
        <v>5.2212223472065888E-2</v>
      </c>
      <c r="BT268" s="52">
        <f t="shared" ref="BT268" si="859">(1+BT264)/(1+BT265)-1</f>
        <v>8.4536607086063142E-2</v>
      </c>
      <c r="BU268" s="112">
        <f>(1+BU264)/(1+BU265)-1</f>
        <v>4.6141763204398112E-2</v>
      </c>
      <c r="BV268" s="52">
        <f t="shared" ref="BV268:CQ268" si="860">(1+BV264)/(1+BV265)-1</f>
        <v>5.629630979831024E-2</v>
      </c>
      <c r="BW268" s="52">
        <f t="shared" si="860"/>
        <v>8.1186258722489857E-3</v>
      </c>
      <c r="BX268" s="52">
        <f t="shared" si="860"/>
        <v>-5.7802060133630428E-2</v>
      </c>
      <c r="BY268" s="52">
        <f t="shared" si="860"/>
        <v>-8.736980483365353E-2</v>
      </c>
      <c r="BZ268" s="112">
        <f>(1+BZ264)/(1+BZ265)-1</f>
        <v>-2.1330963946844417E-2</v>
      </c>
      <c r="CA268" s="52">
        <f t="shared" si="860"/>
        <v>-0.13493641445023818</v>
      </c>
      <c r="CB268" s="52">
        <f t="shared" si="860"/>
        <v>-0.16740328618968392</v>
      </c>
      <c r="CC268" s="52">
        <f t="shared" si="860"/>
        <v>-8.1675480567447445E-2</v>
      </c>
      <c r="CD268" s="52">
        <f t="shared" si="860"/>
        <v>-4.1551246537396169E-2</v>
      </c>
      <c r="CE268" s="112">
        <f>(1+CE264)/(1+CE265)-1</f>
        <v>-0.11265889449658062</v>
      </c>
      <c r="CF268" s="52">
        <f t="shared" si="860"/>
        <v>1.6621811321429592E-2</v>
      </c>
      <c r="CG268" s="52">
        <f t="shared" si="860"/>
        <v>4.0853499869893284E-2</v>
      </c>
      <c r="CH268" s="52">
        <f t="shared" si="860"/>
        <v>9.5470241722526161E-3</v>
      </c>
      <c r="CI268" s="52">
        <f t="shared" si="860"/>
        <v>-1.8837570383672952E-2</v>
      </c>
      <c r="CJ268" s="112">
        <f>(1+CJ264)/(1+CJ265)-1</f>
        <v>1.2705055432885359E-2</v>
      </c>
      <c r="CK268" s="52">
        <f t="shared" si="860"/>
        <v>-1.8706827547359972E-2</v>
      </c>
      <c r="CL268" s="52">
        <f t="shared" si="860"/>
        <v>2.8985507246376718E-2</v>
      </c>
      <c r="CM268" s="52">
        <f t="shared" si="860"/>
        <v>-4.3217639168343425E-2</v>
      </c>
      <c r="CN268" s="52">
        <f t="shared" si="860"/>
        <v>6.3697027472051637E-3</v>
      </c>
      <c r="CO268" s="112">
        <f>(1+CO264)/(1+CO265)-1</f>
        <v>-5.5818635761489821E-3</v>
      </c>
      <c r="CP268" s="52">
        <f t="shared" si="860"/>
        <v>5.0751486822854242E-2</v>
      </c>
      <c r="CQ268" s="52">
        <f t="shared" si="860"/>
        <v>4.2392971691535442E-2</v>
      </c>
      <c r="CR268" s="52">
        <f>+CR254</f>
        <v>9.9367691442604711E-2</v>
      </c>
      <c r="CS268" s="52">
        <f>+CS254</f>
        <v>5.4964539007092306E-2</v>
      </c>
      <c r="CT268" s="112">
        <f>(1+CT264)/(1+CT265)-1</f>
        <v>6.0747310337877058E-2</v>
      </c>
      <c r="CU268" s="52">
        <f>+CU254</f>
        <v>-1.4999999999999999E-2</v>
      </c>
      <c r="CV268" s="52">
        <f>+CV254</f>
        <v>-2.3E-2</v>
      </c>
      <c r="CW268" s="52">
        <f>+CW254</f>
        <v>-3.5999999999999997E-2</v>
      </c>
      <c r="CX268" s="52">
        <f>+CX254</f>
        <v>-2.8000000000000001E-2</v>
      </c>
      <c r="CY268" s="112">
        <f>(1+CY264)/(1+CY265)-1</f>
        <v>-2.0025152457812223E-2</v>
      </c>
      <c r="CZ268" s="52">
        <f>+CZ254</f>
        <v>-1.4999999999999999E-2</v>
      </c>
      <c r="DA268" s="52">
        <f>+DA254</f>
        <v>0</v>
      </c>
      <c r="DB268" s="52">
        <f>+DB254</f>
        <v>0</v>
      </c>
      <c r="DC268" s="52">
        <f>+DC254</f>
        <v>0</v>
      </c>
      <c r="DD268" s="112">
        <f>(1+DD264)/(1+DD265)-1</f>
        <v>-4.29210381803935E-3</v>
      </c>
      <c r="DE268" s="52">
        <f>+DE254</f>
        <v>0</v>
      </c>
      <c r="DF268" s="52">
        <f>+DF254</f>
        <v>0</v>
      </c>
      <c r="DG268" s="52">
        <f>+DG254</f>
        <v>0</v>
      </c>
      <c r="DH268" s="52">
        <f>+DH254</f>
        <v>0</v>
      </c>
      <c r="DI268" s="112">
        <f>(1+DI264)/(1+DI265)-1</f>
        <v>0</v>
      </c>
    </row>
    <row r="269" spans="1:113" ht="12" hidden="1" customHeight="1" outlineLevel="1">
      <c r="A269" s="219"/>
      <c r="B269" s="17"/>
      <c r="C269" s="79"/>
      <c r="D269" s="6"/>
      <c r="E269" s="79"/>
      <c r="F269" s="6"/>
      <c r="G269" s="79"/>
      <c r="H269" s="6"/>
      <c r="I269" s="79"/>
      <c r="J269" s="6"/>
      <c r="K269" s="79"/>
      <c r="L269" s="6"/>
      <c r="M269" s="79"/>
      <c r="N269" s="6"/>
      <c r="O269" s="79"/>
      <c r="P269" s="6"/>
      <c r="Q269" s="79"/>
      <c r="R269" s="6"/>
      <c r="S269" s="6"/>
      <c r="T269" s="6"/>
      <c r="U269" s="6"/>
      <c r="V269" s="79"/>
      <c r="W269" s="6"/>
      <c r="X269" s="6"/>
      <c r="Y269" s="6"/>
      <c r="Z269" s="6"/>
      <c r="AA269" s="79"/>
      <c r="AB269" s="79"/>
      <c r="AC269" s="6"/>
      <c r="AD269" s="6"/>
      <c r="AE269" s="6"/>
      <c r="AF269" s="6"/>
      <c r="AG269" s="79"/>
      <c r="AH269" s="6"/>
      <c r="AI269" s="6"/>
      <c r="AJ269" s="6"/>
      <c r="AK269" s="6"/>
      <c r="AL269" s="79"/>
      <c r="AM269" s="6"/>
      <c r="AN269" s="6"/>
      <c r="AO269" s="6"/>
      <c r="AP269" s="6"/>
      <c r="AQ269" s="79"/>
      <c r="AR269" s="6"/>
      <c r="AS269" s="6"/>
      <c r="AT269" s="6"/>
      <c r="AU269" s="6"/>
      <c r="AV269" s="79"/>
      <c r="AW269" s="6"/>
      <c r="AX269" s="6"/>
      <c r="AY269" s="6"/>
      <c r="AZ269" s="6"/>
      <c r="BA269" s="79"/>
      <c r="BB269" s="6"/>
      <c r="BC269" s="6"/>
      <c r="BD269" s="6"/>
      <c r="BE269" s="376"/>
      <c r="BF269" s="375"/>
      <c r="BG269" s="376"/>
      <c r="BH269" s="376"/>
      <c r="BI269" s="463"/>
      <c r="BJ269" s="463"/>
      <c r="BK269" s="79"/>
      <c r="BL269" s="6"/>
      <c r="BM269" s="6"/>
      <c r="BN269" s="231"/>
      <c r="BO269" s="231"/>
      <c r="BP269" s="580"/>
      <c r="BQ269" s="231"/>
      <c r="BR269" s="231"/>
      <c r="BS269" s="231"/>
      <c r="BT269" s="6"/>
      <c r="BU269" s="580"/>
      <c r="BV269" s="6"/>
      <c r="BW269" s="231"/>
      <c r="BX269" s="6"/>
      <c r="BY269" s="6"/>
      <c r="BZ269" s="79"/>
      <c r="CA269" s="6"/>
      <c r="CB269" s="6"/>
      <c r="CC269" s="6"/>
      <c r="CD269" s="6"/>
      <c r="CE269" s="79"/>
      <c r="CF269" s="6"/>
      <c r="CG269" s="6"/>
      <c r="CH269" s="6"/>
      <c r="CI269" s="6"/>
      <c r="CJ269" s="79"/>
      <c r="CK269" s="6"/>
      <c r="CL269" s="6"/>
      <c r="CM269" s="6"/>
      <c r="CN269" s="6"/>
      <c r="CO269" s="79"/>
      <c r="CP269" s="6"/>
      <c r="CQ269" s="6"/>
      <c r="CR269" s="6"/>
      <c r="CS269" s="6"/>
      <c r="CT269" s="79"/>
      <c r="CU269" s="6"/>
      <c r="CV269" s="6"/>
      <c r="CW269" s="6"/>
      <c r="CX269" s="6"/>
      <c r="CY269" s="79"/>
      <c r="CZ269" s="6"/>
      <c r="DA269" s="6"/>
      <c r="DB269" s="6"/>
      <c r="DC269" s="6"/>
      <c r="DD269" s="79"/>
      <c r="DE269" s="6"/>
      <c r="DF269" s="6"/>
      <c r="DG269" s="6"/>
      <c r="DH269" s="6"/>
      <c r="DI269" s="79"/>
    </row>
    <row r="270" spans="1:113" s="7" customFormat="1" ht="12" hidden="1" customHeight="1" outlineLevel="1">
      <c r="A270" s="239" t="str">
        <f t="shared" si="709"/>
        <v xml:space="preserve"> </v>
      </c>
      <c r="B270" s="20" t="s">
        <v>97</v>
      </c>
      <c r="C270" s="36"/>
      <c r="D270" s="43"/>
      <c r="E270" s="36"/>
      <c r="F270" s="43"/>
      <c r="G270" s="36"/>
      <c r="H270" s="43"/>
      <c r="I270" s="36"/>
      <c r="J270" s="43"/>
      <c r="K270" s="36"/>
      <c r="L270" s="43"/>
      <c r="M270" s="36"/>
      <c r="N270" s="43"/>
      <c r="O270" s="36"/>
      <c r="P270" s="43"/>
      <c r="Q270" s="36"/>
      <c r="R270" s="43">
        <f>65+25</f>
        <v>90</v>
      </c>
      <c r="S270" s="43">
        <v>61</v>
      </c>
      <c r="T270" s="43">
        <v>69</v>
      </c>
      <c r="U270" s="43">
        <v>74</v>
      </c>
      <c r="V270" s="36">
        <f>SUM(R270:U270)</f>
        <v>294</v>
      </c>
      <c r="W270" s="43">
        <v>112</v>
      </c>
      <c r="X270" s="43">
        <v>68</v>
      </c>
      <c r="Y270" s="43">
        <v>69</v>
      </c>
      <c r="Z270" s="43">
        <v>80</v>
      </c>
      <c r="AA270" s="36">
        <f>SUM(W270:Z270)</f>
        <v>329</v>
      </c>
      <c r="AB270" s="36"/>
      <c r="AC270" s="43">
        <v>102</v>
      </c>
      <c r="AD270" s="43">
        <v>69</v>
      </c>
      <c r="AE270" s="43">
        <v>77</v>
      </c>
      <c r="AF270" s="43">
        <v>88</v>
      </c>
      <c r="AG270" s="36">
        <f>SUM(AC270:AF270)</f>
        <v>336</v>
      </c>
      <c r="AH270" s="43">
        <v>107</v>
      </c>
      <c r="AI270" s="43">
        <v>71</v>
      </c>
      <c r="AJ270" s="43">
        <v>83</v>
      </c>
      <c r="AK270" s="43">
        <v>84</v>
      </c>
      <c r="AL270" s="36">
        <f>SUM(AH270:AK270)</f>
        <v>345</v>
      </c>
      <c r="AM270" s="43">
        <v>124</v>
      </c>
      <c r="AN270" s="43">
        <v>82</v>
      </c>
      <c r="AO270" s="43">
        <v>88</v>
      </c>
      <c r="AP270" s="43">
        <v>78</v>
      </c>
      <c r="AQ270" s="36">
        <f>SUM(AM270:AP270)</f>
        <v>372</v>
      </c>
      <c r="AR270" s="43">
        <v>112</v>
      </c>
      <c r="AS270" s="43">
        <v>87</v>
      </c>
      <c r="AT270" s="43">
        <v>89</v>
      </c>
      <c r="AU270" s="43">
        <v>88</v>
      </c>
      <c r="AV270" s="36">
        <f>SUM(AR270:AU270)</f>
        <v>376</v>
      </c>
      <c r="AW270" s="43">
        <v>121</v>
      </c>
      <c r="AX270" s="43">
        <v>88</v>
      </c>
      <c r="AY270" s="43">
        <v>88</v>
      </c>
      <c r="AZ270" s="43">
        <v>86</v>
      </c>
      <c r="BA270" s="36">
        <f>SUM(AW270:AZ270)</f>
        <v>383</v>
      </c>
      <c r="BB270" s="43">
        <v>130</v>
      </c>
      <c r="BC270" s="43">
        <v>100</v>
      </c>
      <c r="BD270" s="43">
        <v>97</v>
      </c>
      <c r="BE270" s="43">
        <v>100</v>
      </c>
      <c r="BF270" s="36">
        <f>SUM(BB270:BE270)</f>
        <v>427</v>
      </c>
      <c r="BG270" s="43">
        <v>135</v>
      </c>
      <c r="BH270" s="43">
        <v>100</v>
      </c>
      <c r="BI270" s="369">
        <v>96</v>
      </c>
      <c r="BJ270" s="369">
        <v>101</v>
      </c>
      <c r="BK270" s="36">
        <f>SUM(BG270:BJ270)</f>
        <v>432</v>
      </c>
      <c r="BL270" s="43">
        <v>146</v>
      </c>
      <c r="BM270" s="43">
        <v>104</v>
      </c>
      <c r="BN270" s="43">
        <v>109</v>
      </c>
      <c r="BO270" s="43">
        <v>43</v>
      </c>
      <c r="BP270" s="36">
        <f>SUM(BL270:BO270)</f>
        <v>402</v>
      </c>
      <c r="BQ270" s="43">
        <v>137</v>
      </c>
      <c r="BR270" s="43">
        <v>123</v>
      </c>
      <c r="BS270" s="43">
        <v>105</v>
      </c>
      <c r="BT270" s="43">
        <v>125</v>
      </c>
      <c r="BU270" s="36">
        <f>SUM(BQ270:BT270)</f>
        <v>490</v>
      </c>
      <c r="BV270" s="43">
        <v>165</v>
      </c>
      <c r="BW270" s="43">
        <v>134</v>
      </c>
      <c r="BX270" s="43">
        <v>127</v>
      </c>
      <c r="BY270" s="43">
        <v>138</v>
      </c>
      <c r="BZ270" s="36">
        <f>SUM(BV270:BY270)</f>
        <v>564</v>
      </c>
      <c r="CA270" s="43">
        <v>168</v>
      </c>
      <c r="CB270" s="43">
        <v>145</v>
      </c>
      <c r="CC270" s="43">
        <v>141</v>
      </c>
      <c r="CD270" s="43">
        <v>138</v>
      </c>
      <c r="CE270" s="36">
        <f>SUM(CA270:CD270)</f>
        <v>592</v>
      </c>
      <c r="CF270" s="43">
        <v>213</v>
      </c>
      <c r="CG270" s="369">
        <v>181</v>
      </c>
      <c r="CH270" s="43">
        <v>184</v>
      </c>
      <c r="CI270" s="43">
        <v>176</v>
      </c>
      <c r="CJ270" s="36">
        <f>SUM(CF270:CI270)</f>
        <v>754</v>
      </c>
      <c r="CK270" s="43">
        <v>198</v>
      </c>
      <c r="CL270" s="43">
        <v>185</v>
      </c>
      <c r="CM270" s="43">
        <v>156</v>
      </c>
      <c r="CN270" s="43">
        <v>178</v>
      </c>
      <c r="CO270" s="36">
        <f>SUM(CK270:CN270)</f>
        <v>717</v>
      </c>
      <c r="CP270" s="369">
        <v>204</v>
      </c>
      <c r="CQ270" s="43">
        <v>184</v>
      </c>
      <c r="CR270" s="43">
        <v>159</v>
      </c>
      <c r="CS270" s="43">
        <v>172</v>
      </c>
      <c r="CT270" s="36">
        <f>SUM(CP270:CS270)</f>
        <v>719</v>
      </c>
      <c r="CU270" s="43">
        <v>215</v>
      </c>
      <c r="CV270" s="43">
        <f>CQ270*(1+CV272)*(1+CV273)</f>
        <v>158.19583999999998</v>
      </c>
      <c r="CW270" s="43">
        <f>CR270*(1+CW272)*(1+CW273)</f>
        <v>148.67771999999999</v>
      </c>
      <c r="CX270" s="43">
        <f>CS270*(1+CX272)*(1+CX273)</f>
        <v>162.16847999999999</v>
      </c>
      <c r="CY270" s="36">
        <f>SUM(CU270:CX270)</f>
        <v>684.04204000000004</v>
      </c>
      <c r="CZ270" s="43">
        <f>CU270*(1+CZ272)*(1+CZ273)</f>
        <v>205.42174999999997</v>
      </c>
      <c r="DA270" s="43">
        <f>CV270*(1+DA272)*(1+DA273)</f>
        <v>153.44996479999998</v>
      </c>
      <c r="DB270" s="43">
        <f>CW270*(1+DB272)*(1+DB273)</f>
        <v>145.70416559999998</v>
      </c>
      <c r="DC270" s="43">
        <f>CX270*(1+DC272)*(1+DC273)</f>
        <v>158.92511039999999</v>
      </c>
      <c r="DD270" s="36">
        <f>SUM(CZ270:DC270)</f>
        <v>663.50099079999995</v>
      </c>
      <c r="DE270" s="43">
        <f>CZ270*(1+DE272)*(1+DE273)</f>
        <v>205.42174999999997</v>
      </c>
      <c r="DF270" s="43">
        <f>DA270*(1+DF272)*(1+DF273)</f>
        <v>153.44996479999998</v>
      </c>
      <c r="DG270" s="43">
        <f>DB270*(1+DG272)*(1+DG273)</f>
        <v>147.16120725599998</v>
      </c>
      <c r="DH270" s="43">
        <f>DC270*(1+DH272)*(1+DH273)</f>
        <v>160.51436150399999</v>
      </c>
      <c r="DI270" s="36">
        <f>SUM(DE270:DH270)</f>
        <v>666.54728355999998</v>
      </c>
    </row>
    <row r="271" spans="1:113" ht="12" hidden="1" customHeight="1" outlineLevel="1">
      <c r="A271" s="219" t="str">
        <f t="shared" si="709"/>
        <v xml:space="preserve"> </v>
      </c>
      <c r="B271" s="491" t="s">
        <v>171</v>
      </c>
      <c r="C271" s="492"/>
      <c r="D271" s="522"/>
      <c r="E271" s="492"/>
      <c r="F271" s="522"/>
      <c r="G271" s="492"/>
      <c r="H271" s="522"/>
      <c r="I271" s="492"/>
      <c r="J271" s="522"/>
      <c r="K271" s="492"/>
      <c r="L271" s="522"/>
      <c r="M271" s="492"/>
      <c r="N271" s="522"/>
      <c r="O271" s="492"/>
      <c r="P271" s="522"/>
      <c r="Q271" s="492"/>
      <c r="R271" s="378" t="s">
        <v>126</v>
      </c>
      <c r="S271" s="522" t="s">
        <v>126</v>
      </c>
      <c r="T271" s="522" t="s">
        <v>126</v>
      </c>
      <c r="U271" s="522" t="s">
        <v>126</v>
      </c>
      <c r="V271" s="492" t="s">
        <v>126</v>
      </c>
      <c r="W271" s="52">
        <f>+W270/R270-1</f>
        <v>0.24444444444444446</v>
      </c>
      <c r="X271" s="52">
        <f>+X270/S270-1</f>
        <v>0.11475409836065564</v>
      </c>
      <c r="Y271" s="52">
        <f>+Y270/T270-1</f>
        <v>0</v>
      </c>
      <c r="Z271" s="52">
        <f>+Z270/U270-1</f>
        <v>8.1081081081081141E-2</v>
      </c>
      <c r="AA271" s="112">
        <f>+AA270/V270-1</f>
        <v>0.11904761904761907</v>
      </c>
      <c r="AB271" s="112"/>
      <c r="AC271" s="52">
        <f>+AC270/W270-1</f>
        <v>-8.9285714285714302E-2</v>
      </c>
      <c r="AD271" s="52">
        <f>+AD270/X270-1</f>
        <v>1.4705882352941124E-2</v>
      </c>
      <c r="AE271" s="52">
        <f>+AE270/Y270-1</f>
        <v>0.11594202898550732</v>
      </c>
      <c r="AF271" s="52">
        <f>+AF270/Z270-1</f>
        <v>0.10000000000000009</v>
      </c>
      <c r="AG271" s="112">
        <f>+AG270/AA270-1</f>
        <v>2.1276595744680771E-2</v>
      </c>
      <c r="AH271" s="52">
        <f t="shared" ref="AH271:BP271" si="861">+AH270/AC270-1</f>
        <v>4.9019607843137303E-2</v>
      </c>
      <c r="AI271" s="52">
        <f t="shared" si="861"/>
        <v>2.8985507246376718E-2</v>
      </c>
      <c r="AJ271" s="52">
        <f t="shared" si="861"/>
        <v>7.7922077922077948E-2</v>
      </c>
      <c r="AK271" s="52">
        <f t="shared" si="861"/>
        <v>-4.5454545454545414E-2</v>
      </c>
      <c r="AL271" s="112">
        <f t="shared" si="861"/>
        <v>2.6785714285714191E-2</v>
      </c>
      <c r="AM271" s="52">
        <f t="shared" si="861"/>
        <v>0.1588785046728971</v>
      </c>
      <c r="AN271" s="52">
        <f t="shared" si="861"/>
        <v>0.15492957746478875</v>
      </c>
      <c r="AO271" s="52">
        <f t="shared" si="861"/>
        <v>6.024096385542177E-2</v>
      </c>
      <c r="AP271" s="52">
        <f t="shared" si="861"/>
        <v>-7.1428571428571397E-2</v>
      </c>
      <c r="AQ271" s="112">
        <f t="shared" si="861"/>
        <v>7.8260869565217384E-2</v>
      </c>
      <c r="AR271" s="52">
        <f t="shared" si="861"/>
        <v>-9.6774193548387122E-2</v>
      </c>
      <c r="AS271" s="52">
        <f t="shared" si="861"/>
        <v>6.0975609756097615E-2</v>
      </c>
      <c r="AT271" s="52">
        <f t="shared" si="861"/>
        <v>1.1363636363636465E-2</v>
      </c>
      <c r="AU271" s="52">
        <f t="shared" si="861"/>
        <v>0.12820512820512819</v>
      </c>
      <c r="AV271" s="112">
        <f t="shared" si="861"/>
        <v>1.0752688172043001E-2</v>
      </c>
      <c r="AW271" s="52">
        <f t="shared" si="861"/>
        <v>8.0357142857142794E-2</v>
      </c>
      <c r="AX271" s="52">
        <f t="shared" si="861"/>
        <v>1.1494252873563315E-2</v>
      </c>
      <c r="AY271" s="52">
        <f t="shared" si="861"/>
        <v>-1.1235955056179803E-2</v>
      </c>
      <c r="AZ271" s="52">
        <f t="shared" si="861"/>
        <v>-2.2727272727272707E-2</v>
      </c>
      <c r="BA271" s="112">
        <f t="shared" si="861"/>
        <v>1.8617021276595702E-2</v>
      </c>
      <c r="BB271" s="52">
        <f t="shared" si="861"/>
        <v>7.4380165289256173E-2</v>
      </c>
      <c r="BC271" s="52">
        <f t="shared" si="861"/>
        <v>0.13636363636363646</v>
      </c>
      <c r="BD271" s="52">
        <f t="shared" si="861"/>
        <v>0.10227272727272729</v>
      </c>
      <c r="BE271" s="52">
        <f t="shared" si="861"/>
        <v>0.16279069767441867</v>
      </c>
      <c r="BF271" s="112">
        <f t="shared" si="861"/>
        <v>0.11488250652741505</v>
      </c>
      <c r="BG271" s="52">
        <f t="shared" si="861"/>
        <v>3.8461538461538547E-2</v>
      </c>
      <c r="BH271" s="52">
        <f t="shared" si="861"/>
        <v>0</v>
      </c>
      <c r="BI271" s="114">
        <f t="shared" si="861"/>
        <v>-1.0309278350515427E-2</v>
      </c>
      <c r="BJ271" s="114">
        <f t="shared" si="861"/>
        <v>1.0000000000000009E-2</v>
      </c>
      <c r="BK271" s="112">
        <f t="shared" si="861"/>
        <v>1.1709601873536313E-2</v>
      </c>
      <c r="BL271" s="52">
        <f t="shared" si="861"/>
        <v>8.1481481481481488E-2</v>
      </c>
      <c r="BM271" s="52">
        <f t="shared" si="861"/>
        <v>4.0000000000000036E-2</v>
      </c>
      <c r="BN271" s="52">
        <f t="shared" si="861"/>
        <v>0.13541666666666674</v>
      </c>
      <c r="BO271" s="52">
        <f t="shared" si="861"/>
        <v>-0.57425742574257432</v>
      </c>
      <c r="BP271" s="112">
        <f t="shared" si="861"/>
        <v>-6.944444444444442E-2</v>
      </c>
      <c r="BQ271" s="52">
        <f t="shared" ref="BQ271:BZ271" si="862">+BQ270/BL270-1</f>
        <v>-6.164383561643838E-2</v>
      </c>
      <c r="BR271" s="52">
        <f t="shared" si="862"/>
        <v>0.18269230769230771</v>
      </c>
      <c r="BS271" s="52">
        <f t="shared" si="862"/>
        <v>-3.669724770642202E-2</v>
      </c>
      <c r="BT271" s="52">
        <f t="shared" si="862"/>
        <v>1.9069767441860463</v>
      </c>
      <c r="BU271" s="112">
        <f t="shared" si="862"/>
        <v>0.21890547263681581</v>
      </c>
      <c r="BV271" s="52">
        <f t="shared" si="862"/>
        <v>0.20437956204379559</v>
      </c>
      <c r="BW271" s="52">
        <f t="shared" si="862"/>
        <v>8.9430894308943021E-2</v>
      </c>
      <c r="BX271" s="52">
        <f t="shared" si="862"/>
        <v>0.20952380952380945</v>
      </c>
      <c r="BY271" s="52">
        <f t="shared" si="862"/>
        <v>0.10400000000000009</v>
      </c>
      <c r="BZ271" s="112">
        <f t="shared" si="862"/>
        <v>0.15102040816326534</v>
      </c>
      <c r="CA271" s="52">
        <f t="shared" ref="CA271" si="863">+CA270/BV270-1</f>
        <v>1.8181818181818077E-2</v>
      </c>
      <c r="CB271" s="52">
        <f t="shared" ref="CB271:CE271" si="864">+CB270/BW270-1</f>
        <v>8.2089552238805874E-2</v>
      </c>
      <c r="CC271" s="52">
        <f t="shared" si="864"/>
        <v>0.11023622047244097</v>
      </c>
      <c r="CD271" s="52">
        <f t="shared" si="864"/>
        <v>0</v>
      </c>
      <c r="CE271" s="112">
        <f t="shared" si="864"/>
        <v>4.9645390070921946E-2</v>
      </c>
      <c r="CF271" s="52">
        <f t="shared" ref="CF271" si="865">+CF270/CA270-1</f>
        <v>0.26785714285714279</v>
      </c>
      <c r="CG271" s="52">
        <f t="shared" ref="CG271:CH271" si="866">+CG270/CB270-1</f>
        <v>0.24827586206896557</v>
      </c>
      <c r="CH271" s="52">
        <f t="shared" si="866"/>
        <v>0.30496453900709231</v>
      </c>
      <c r="CI271" s="52">
        <f t="shared" ref="CI271" si="867">+CI270/CD270-1</f>
        <v>0.2753623188405796</v>
      </c>
      <c r="CJ271" s="112">
        <f t="shared" ref="CJ271" si="868">+CJ270/CE270-1</f>
        <v>0.27364864864864868</v>
      </c>
      <c r="CK271" s="52">
        <f t="shared" ref="CK271:CM271" si="869">+CK270/CF270-1</f>
        <v>-7.0422535211267623E-2</v>
      </c>
      <c r="CL271" s="52">
        <f t="shared" si="869"/>
        <v>2.2099447513812098E-2</v>
      </c>
      <c r="CM271" s="52">
        <f t="shared" si="869"/>
        <v>-0.15217391304347827</v>
      </c>
      <c r="CN271" s="52">
        <f t="shared" ref="CN271" si="870">+CN270/CI270-1</f>
        <v>1.1363636363636465E-2</v>
      </c>
      <c r="CO271" s="112">
        <f t="shared" ref="CO271:CR271" si="871">+CO270/CJ270-1</f>
        <v>-4.9071618037135334E-2</v>
      </c>
      <c r="CP271" s="52">
        <f t="shared" si="871"/>
        <v>3.0303030303030276E-2</v>
      </c>
      <c r="CQ271" s="52">
        <f t="shared" si="871"/>
        <v>-5.4054054054053502E-3</v>
      </c>
      <c r="CR271" s="52">
        <f t="shared" si="871"/>
        <v>1.9230769230769162E-2</v>
      </c>
      <c r="CS271" s="52">
        <f t="shared" ref="CS271" si="872">+CS270/CN270-1</f>
        <v>-3.3707865168539297E-2</v>
      </c>
      <c r="CT271" s="112">
        <f t="shared" ref="CT271" si="873">+CT270/CO270-1</f>
        <v>2.7894002789399241E-3</v>
      </c>
      <c r="CU271" s="52">
        <f t="shared" ref="CU271" si="874">+CU270/CP270-1</f>
        <v>5.3921568627451011E-2</v>
      </c>
      <c r="CV271" s="52">
        <f t="shared" ref="CV271" si="875">+CV270/CQ270-1</f>
        <v>-0.14024000000000014</v>
      </c>
      <c r="CW271" s="52">
        <f t="shared" ref="CW271" si="876">+CW270/CR270-1</f>
        <v>-6.4920000000000089E-2</v>
      </c>
      <c r="CX271" s="52">
        <f t="shared" ref="CX271" si="877">+CX270/CS270-1</f>
        <v>-5.71600000000001E-2</v>
      </c>
      <c r="CY271" s="112">
        <f t="shared" ref="CY271" si="878">+CY270/CT270-1</f>
        <v>-4.8620250347705118E-2</v>
      </c>
      <c r="CZ271" s="52">
        <f t="shared" ref="CZ271" si="879">+CZ270/CU270-1</f>
        <v>-4.455000000000009E-2</v>
      </c>
      <c r="DA271" s="52">
        <f t="shared" ref="DA271" si="880">+DA270/CV270-1</f>
        <v>-3.0000000000000027E-2</v>
      </c>
      <c r="DB271" s="52">
        <f t="shared" ref="DB271" si="881">+DB270/CW270-1</f>
        <v>-2.0000000000000129E-2</v>
      </c>
      <c r="DC271" s="52">
        <f t="shared" ref="DC271" si="882">+DC270/CX270-1</f>
        <v>-2.0000000000000018E-2</v>
      </c>
      <c r="DD271" s="112">
        <f t="shared" ref="DD271" si="883">+DD270/CY270-1</f>
        <v>-3.0028928046586301E-2</v>
      </c>
      <c r="DE271" s="52">
        <f t="shared" ref="DE271" si="884">+DE270/CZ270-1</f>
        <v>0</v>
      </c>
      <c r="DF271" s="52">
        <f t="shared" ref="DF271" si="885">+DF270/DA270-1</f>
        <v>0</v>
      </c>
      <c r="DG271" s="52">
        <f t="shared" ref="DG271" si="886">+DG270/DB270-1</f>
        <v>1.0000000000000009E-2</v>
      </c>
      <c r="DH271" s="52">
        <f t="shared" ref="DH271" si="887">+DH270/DC270-1</f>
        <v>1.0000000000000009E-2</v>
      </c>
      <c r="DI271" s="112">
        <f t="shared" ref="DI271" si="888">+DI270/DD270-1</f>
        <v>4.5912407098700481E-3</v>
      </c>
    </row>
    <row r="272" spans="1:113" s="529" customFormat="1" ht="12" hidden="1" customHeight="1" outlineLevel="1">
      <c r="A272" s="219" t="str">
        <f t="shared" si="709"/>
        <v xml:space="preserve"> </v>
      </c>
      <c r="B272" s="526" t="s">
        <v>173</v>
      </c>
      <c r="C272" s="112"/>
      <c r="D272" s="52"/>
      <c r="E272" s="112"/>
      <c r="F272" s="52"/>
      <c r="G272" s="112"/>
      <c r="H272" s="52"/>
      <c r="I272" s="112"/>
      <c r="J272" s="52"/>
      <c r="K272" s="112"/>
      <c r="L272" s="52"/>
      <c r="M272" s="112"/>
      <c r="N272" s="52"/>
      <c r="O272" s="112"/>
      <c r="P272" s="52"/>
      <c r="Q272" s="112"/>
      <c r="R272" s="217" t="s">
        <v>126</v>
      </c>
      <c r="S272" s="52" t="s">
        <v>126</v>
      </c>
      <c r="T272" s="52" t="s">
        <v>126</v>
      </c>
      <c r="U272" s="52" t="s">
        <v>126</v>
      </c>
      <c r="V272" s="112" t="s">
        <v>126</v>
      </c>
      <c r="W272" s="217" t="s">
        <v>126</v>
      </c>
      <c r="X272" s="52" t="s">
        <v>126</v>
      </c>
      <c r="Y272" s="52" t="s">
        <v>126</v>
      </c>
      <c r="Z272" s="52" t="s">
        <v>126</v>
      </c>
      <c r="AA272" s="112" t="s">
        <v>126</v>
      </c>
      <c r="AB272" s="112"/>
      <c r="AC272" s="217" t="s">
        <v>126</v>
      </c>
      <c r="AD272" s="52" t="s">
        <v>126</v>
      </c>
      <c r="AE272" s="52" t="s">
        <v>126</v>
      </c>
      <c r="AF272" s="52" t="s">
        <v>126</v>
      </c>
      <c r="AG272" s="112" t="s">
        <v>126</v>
      </c>
      <c r="AH272" s="217" t="s">
        <v>126</v>
      </c>
      <c r="AI272" s="52" t="s">
        <v>126</v>
      </c>
      <c r="AJ272" s="52" t="s">
        <v>126</v>
      </c>
      <c r="AK272" s="52" t="s">
        <v>126</v>
      </c>
      <c r="AL272" s="112" t="s">
        <v>126</v>
      </c>
      <c r="AM272" s="217" t="s">
        <v>126</v>
      </c>
      <c r="AN272" s="52" t="s">
        <v>126</v>
      </c>
      <c r="AO272" s="52" t="s">
        <v>126</v>
      </c>
      <c r="AP272" s="52" t="s">
        <v>126</v>
      </c>
      <c r="AQ272" s="112" t="s">
        <v>126</v>
      </c>
      <c r="AR272" s="217" t="s">
        <v>126</v>
      </c>
      <c r="AS272" s="52" t="s">
        <v>126</v>
      </c>
      <c r="AT272" s="52" t="s">
        <v>126</v>
      </c>
      <c r="AU272" s="52" t="s">
        <v>126</v>
      </c>
      <c r="AV272" s="112" t="s">
        <v>126</v>
      </c>
      <c r="AW272" s="52">
        <v>0.12</v>
      </c>
      <c r="AX272" s="52">
        <v>7.0000000000000007E-2</v>
      </c>
      <c r="AY272" s="52">
        <v>0.04</v>
      </c>
      <c r="AZ272" s="52">
        <v>0.03</v>
      </c>
      <c r="BA272" s="112">
        <f>SUMPRODUCT(AW272:AZ272,AR270:AU270)/AV270</f>
        <v>6.843085106382979E-2</v>
      </c>
      <c r="BB272" s="52">
        <v>0.08</v>
      </c>
      <c r="BC272" s="52">
        <v>0.1</v>
      </c>
      <c r="BD272" s="52">
        <v>0</v>
      </c>
      <c r="BE272" s="114">
        <v>0.04</v>
      </c>
      <c r="BF272" s="112">
        <f>SUMPRODUCT(BB272:BE272,AW270:AZ270)/BA270</f>
        <v>5.7232375979112279E-2</v>
      </c>
      <c r="BG272" s="114">
        <v>0.03</v>
      </c>
      <c r="BH272" s="114">
        <v>0.05</v>
      </c>
      <c r="BI272" s="114">
        <v>0.05</v>
      </c>
      <c r="BJ272" s="114">
        <v>0.1</v>
      </c>
      <c r="BK272" s="112">
        <f>SUMPRODUCT(BG272:BJ272,BB270:BE270)/BF270</f>
        <v>5.5620608899297423E-2</v>
      </c>
      <c r="BL272" s="114">
        <v>0.13</v>
      </c>
      <c r="BM272" s="114">
        <v>0.08</v>
      </c>
      <c r="BN272" s="114">
        <v>0.14000000000000001</v>
      </c>
      <c r="BO272" s="114">
        <v>-0.55000000000000004</v>
      </c>
      <c r="BP272" s="112">
        <f>SUMPRODUCT(BL272:BO272,BG270:BJ270)/BK270</f>
        <v>-3.8333333333333337E-2</v>
      </c>
      <c r="BQ272" s="114">
        <v>-0.06</v>
      </c>
      <c r="BR272" s="114">
        <v>0.16</v>
      </c>
      <c r="BS272" s="114">
        <v>-0.06</v>
      </c>
      <c r="BT272" s="114">
        <v>1.72</v>
      </c>
      <c r="BU272" s="112">
        <f>SUMPRODUCT(BQ272:BT272,BL270:BO270)/BP270</f>
        <v>0.18731343283582089</v>
      </c>
      <c r="BV272" s="114">
        <v>0.15</v>
      </c>
      <c r="BW272" s="114">
        <v>7.0000000000000007E-2</v>
      </c>
      <c r="BX272" s="114">
        <v>0.28999999999999998</v>
      </c>
      <c r="BY272" s="114">
        <v>0.2</v>
      </c>
      <c r="BZ272" s="112">
        <f>SUMPRODUCT(BV272:BY272,BQ270:BT270)/BU270</f>
        <v>0.1726734693877551</v>
      </c>
      <c r="CA272" s="114">
        <v>0.18</v>
      </c>
      <c r="CB272" s="114">
        <v>0.3</v>
      </c>
      <c r="CC272" s="114">
        <v>0.2</v>
      </c>
      <c r="CD272" s="114">
        <v>0.04</v>
      </c>
      <c r="CE272" s="112">
        <f>SUMPRODUCT(CA272:CD272,BV270:BY270)/BZ270</f>
        <v>0.17875886524822693</v>
      </c>
      <c r="CF272" s="114">
        <v>0.23</v>
      </c>
      <c r="CG272" s="114">
        <v>0.18</v>
      </c>
      <c r="CH272" s="114">
        <v>0.27</v>
      </c>
      <c r="CI272" s="114">
        <v>0.28999999999999998</v>
      </c>
      <c r="CJ272" s="112">
        <f>SUMPRODUCT(CF272:CI272,CA270:CD270)/CE270</f>
        <v>0.24126689189189188</v>
      </c>
      <c r="CK272" s="114">
        <v>-0.06</v>
      </c>
      <c r="CL272" s="114">
        <v>-0.01</v>
      </c>
      <c r="CM272" s="114">
        <v>-0.12</v>
      </c>
      <c r="CN272" s="114">
        <v>0</v>
      </c>
      <c r="CO272" s="112">
        <f>SUMPRODUCT(CK272:CN272,CF270:CI270)/CJ270</f>
        <v>-4.8633952254641913E-2</v>
      </c>
      <c r="CP272" s="114">
        <v>-0.02</v>
      </c>
      <c r="CQ272" s="114">
        <v>-0.05</v>
      </c>
      <c r="CR272" s="114">
        <v>-0.08</v>
      </c>
      <c r="CS272" s="114">
        <v>-0.09</v>
      </c>
      <c r="CT272" s="112">
        <f>SUMPRODUCT(CP272:CS272,CK270:CN270)/CO270</f>
        <v>-5.8172942817294286E-2</v>
      </c>
      <c r="CU272" s="114">
        <v>0.05</v>
      </c>
      <c r="CV272" s="53">
        <f>-3%-9%</f>
        <v>-0.12</v>
      </c>
      <c r="CW272" s="53">
        <v>-0.03</v>
      </c>
      <c r="CX272" s="53">
        <v>-0.03</v>
      </c>
      <c r="CY272" s="112">
        <f>SUMPRODUCT(CU272:CX272,CP270:CS270)/CT270</f>
        <v>-3.0333796940194713E-2</v>
      </c>
      <c r="CZ272" s="53">
        <v>-0.03</v>
      </c>
      <c r="DA272" s="53">
        <v>-0.03</v>
      </c>
      <c r="DB272" s="53">
        <v>-0.02</v>
      </c>
      <c r="DC272" s="53">
        <v>-0.02</v>
      </c>
      <c r="DD272" s="112">
        <f>SUMPRODUCT(CZ272:DC272,CU270:CX270)/CY270</f>
        <v>-2.5455744211276835E-2</v>
      </c>
      <c r="DE272" s="53">
        <v>0</v>
      </c>
      <c r="DF272" s="53">
        <v>0</v>
      </c>
      <c r="DG272" s="53">
        <v>0.01</v>
      </c>
      <c r="DH272" s="53">
        <v>0.01</v>
      </c>
      <c r="DI272" s="112">
        <f>SUMPRODUCT(DE272:DH272,CZ270:DC270)/DD270</f>
        <v>4.5912407098699396E-3</v>
      </c>
    </row>
    <row r="273" spans="1:113" ht="12" hidden="1" customHeight="1" outlineLevel="1">
      <c r="A273" s="219" t="str">
        <f t="shared" si="709"/>
        <v xml:space="preserve"> </v>
      </c>
      <c r="B273" s="491" t="s">
        <v>141</v>
      </c>
      <c r="C273" s="492"/>
      <c r="D273" s="522"/>
      <c r="E273" s="492"/>
      <c r="F273" s="522"/>
      <c r="G273" s="492"/>
      <c r="H273" s="522"/>
      <c r="I273" s="492"/>
      <c r="J273" s="522"/>
      <c r="K273" s="492"/>
      <c r="L273" s="522"/>
      <c r="M273" s="492"/>
      <c r="N273" s="522"/>
      <c r="O273" s="492"/>
      <c r="P273" s="522"/>
      <c r="Q273" s="492"/>
      <c r="R273" s="378" t="s">
        <v>126</v>
      </c>
      <c r="S273" s="522" t="s">
        <v>126</v>
      </c>
      <c r="T273" s="522" t="s">
        <v>126</v>
      </c>
      <c r="U273" s="522" t="s">
        <v>126</v>
      </c>
      <c r="V273" s="492" t="s">
        <v>126</v>
      </c>
      <c r="W273" s="378" t="s">
        <v>126</v>
      </c>
      <c r="X273" s="522" t="s">
        <v>126</v>
      </c>
      <c r="Y273" s="522" t="s">
        <v>126</v>
      </c>
      <c r="Z273" s="522" t="s">
        <v>126</v>
      </c>
      <c r="AA273" s="492" t="s">
        <v>126</v>
      </c>
      <c r="AB273" s="492"/>
      <c r="AC273" s="378" t="s">
        <v>126</v>
      </c>
      <c r="AD273" s="522" t="s">
        <v>126</v>
      </c>
      <c r="AE273" s="522" t="s">
        <v>126</v>
      </c>
      <c r="AF273" s="522" t="s">
        <v>126</v>
      </c>
      <c r="AG273" s="492" t="s">
        <v>126</v>
      </c>
      <c r="AH273" s="378" t="s">
        <v>126</v>
      </c>
      <c r="AI273" s="522" t="s">
        <v>126</v>
      </c>
      <c r="AJ273" s="522" t="s">
        <v>126</v>
      </c>
      <c r="AK273" s="522" t="s">
        <v>126</v>
      </c>
      <c r="AL273" s="492" t="s">
        <v>126</v>
      </c>
      <c r="AM273" s="378" t="s">
        <v>126</v>
      </c>
      <c r="AN273" s="522" t="s">
        <v>126</v>
      </c>
      <c r="AO273" s="522" t="s">
        <v>126</v>
      </c>
      <c r="AP273" s="522" t="s">
        <v>126</v>
      </c>
      <c r="AQ273" s="492" t="s">
        <v>126</v>
      </c>
      <c r="AR273" s="378" t="s">
        <v>126</v>
      </c>
      <c r="AS273" s="522" t="s">
        <v>126</v>
      </c>
      <c r="AT273" s="522" t="s">
        <v>126</v>
      </c>
      <c r="AU273" s="522" t="s">
        <v>126</v>
      </c>
      <c r="AV273" s="492" t="s">
        <v>126</v>
      </c>
      <c r="AW273" s="52">
        <f t="shared" ref="AW273:BG273" si="889">(1+AW271)/(1+AW272)-1</f>
        <v>-3.5395408163265474E-2</v>
      </c>
      <c r="AX273" s="52">
        <f t="shared" si="889"/>
        <v>-5.4678268342464253E-2</v>
      </c>
      <c r="AY273" s="52">
        <f t="shared" si="889"/>
        <v>-4.9265341400172913E-2</v>
      </c>
      <c r="AZ273" s="52">
        <f t="shared" si="889"/>
        <v>-5.1191526919682317E-2</v>
      </c>
      <c r="BA273" s="112">
        <f t="shared" si="889"/>
        <v>-4.6623353993976102E-2</v>
      </c>
      <c r="BB273" s="52">
        <f t="shared" si="889"/>
        <v>-5.2035506580961899E-3</v>
      </c>
      <c r="BC273" s="52">
        <f t="shared" si="889"/>
        <v>3.3057851239669533E-2</v>
      </c>
      <c r="BD273" s="52">
        <f t="shared" si="889"/>
        <v>0.10227272727272729</v>
      </c>
      <c r="BE273" s="52">
        <f t="shared" si="889"/>
        <v>0.11806797853309492</v>
      </c>
      <c r="BF273" s="112">
        <f>(1+BF271)/(1+BF272)-1</f>
        <v>5.4529289736244158E-2</v>
      </c>
      <c r="BG273" s="52">
        <f t="shared" si="889"/>
        <v>8.2150858849887598E-3</v>
      </c>
      <c r="BH273" s="52">
        <f>+BH254</f>
        <v>-4.8782293285957512E-2</v>
      </c>
      <c r="BI273" s="114">
        <f>+BI254</f>
        <v>-5.4324861741129715E-2</v>
      </c>
      <c r="BJ273" s="114">
        <f>(1+BJ271)/(1+BJ272)-1</f>
        <v>-8.1818181818181901E-2</v>
      </c>
      <c r="BK273" s="112">
        <f>(1+BK271)/(1+BK272)-1</f>
        <v>-4.1597337770382659E-2</v>
      </c>
      <c r="BL273" s="52">
        <f t="shared" ref="BL273:CR273" si="890">(1+BL271)/(1+BL272)-1</f>
        <v>-4.2936742051786214E-2</v>
      </c>
      <c r="BM273" s="114">
        <f t="shared" si="890"/>
        <v>-3.703703703703709E-2</v>
      </c>
      <c r="BN273" s="114">
        <f t="shared" si="890"/>
        <v>-4.0204678362573132E-3</v>
      </c>
      <c r="BO273" s="114">
        <f t="shared" si="890"/>
        <v>-5.3905390539053966E-2</v>
      </c>
      <c r="BP273" s="112">
        <f>(1+BP271)/(1+BP272)-1</f>
        <v>-3.235124205661466E-2</v>
      </c>
      <c r="BQ273" s="52">
        <f t="shared" si="890"/>
        <v>-1.7487612940833008E-3</v>
      </c>
      <c r="BR273" s="52">
        <f t="shared" si="890"/>
        <v>1.9562334217506638E-2</v>
      </c>
      <c r="BS273" s="52">
        <f t="shared" si="890"/>
        <v>2.4790162014444617E-2</v>
      </c>
      <c r="BT273" s="52">
        <f t="shared" si="890"/>
        <v>6.8741450068399379E-2</v>
      </c>
      <c r="BU273" s="112">
        <f>(1+BU271)/(1+BU272)-1</f>
        <v>2.660800335218938E-2</v>
      </c>
      <c r="BV273" s="52">
        <f t="shared" si="890"/>
        <v>4.7286575690257182E-2</v>
      </c>
      <c r="BW273" s="52">
        <f t="shared" si="890"/>
        <v>1.8159714307423247E-2</v>
      </c>
      <c r="BX273" s="52">
        <f t="shared" si="890"/>
        <v>-6.2384643779992754E-2</v>
      </c>
      <c r="BY273" s="52">
        <f t="shared" si="890"/>
        <v>-7.9999999999999849E-2</v>
      </c>
      <c r="BZ273" s="112">
        <f>(1+BZ271)/(1+BZ272)-1</f>
        <v>-1.8464697795026241E-2</v>
      </c>
      <c r="CA273" s="52">
        <f t="shared" si="890"/>
        <v>-0.13713405238828968</v>
      </c>
      <c r="CB273" s="52">
        <f t="shared" si="890"/>
        <v>-0.16762342135476471</v>
      </c>
      <c r="CC273" s="52">
        <f t="shared" si="890"/>
        <v>-7.4803149606299191E-2</v>
      </c>
      <c r="CD273" s="52">
        <f t="shared" si="890"/>
        <v>-3.8461538461538547E-2</v>
      </c>
      <c r="CE273" s="112">
        <f>(1+CE271)/(1+CE272)-1</f>
        <v>-0.10953340753888285</v>
      </c>
      <c r="CF273" s="52">
        <f t="shared" si="890"/>
        <v>3.0778164924506246E-2</v>
      </c>
      <c r="CG273" s="52">
        <f t="shared" si="890"/>
        <v>5.7860900058445353E-2</v>
      </c>
      <c r="CH273" s="52">
        <f t="shared" si="890"/>
        <v>2.753113307645072E-2</v>
      </c>
      <c r="CI273" s="52">
        <f t="shared" si="890"/>
        <v>-1.1347039658465508E-2</v>
      </c>
      <c r="CJ273" s="112">
        <f>(1+CJ271)/(1+CJ272)-1</f>
        <v>2.6087666535117071E-2</v>
      </c>
      <c r="CK273" s="52">
        <f t="shared" si="890"/>
        <v>-1.1087803416242048E-2</v>
      </c>
      <c r="CL273" s="52">
        <f t="shared" si="890"/>
        <v>3.2423684357385962E-2</v>
      </c>
      <c r="CM273" s="52">
        <f t="shared" si="890"/>
        <v>-3.6561264822134398E-2</v>
      </c>
      <c r="CN273" s="52">
        <f t="shared" si="890"/>
        <v>1.1363636363636465E-2</v>
      </c>
      <c r="CO273" s="112">
        <f>(1+CO271)/(1+CO272)-1</f>
        <v>-4.6003931245031104E-4</v>
      </c>
      <c r="CP273" s="52">
        <f t="shared" si="890"/>
        <v>5.1329622758194082E-2</v>
      </c>
      <c r="CQ273" s="52">
        <f t="shared" si="890"/>
        <v>4.6941678520626029E-2</v>
      </c>
      <c r="CR273" s="52">
        <f t="shared" si="890"/>
        <v>0.10785953177257523</v>
      </c>
      <c r="CS273" s="52">
        <f>+CS254</f>
        <v>5.4964539007092306E-2</v>
      </c>
      <c r="CT273" s="112">
        <f>(1+CT271)/(1+CT272)-1</f>
        <v>6.4727746597757818E-2</v>
      </c>
      <c r="CU273" s="52">
        <f t="shared" ref="CU273" si="891">(1+CU271)/(1+CU272)-1</f>
        <v>3.7348272642390157E-3</v>
      </c>
      <c r="CV273" s="52">
        <f>+CV254</f>
        <v>-2.3E-2</v>
      </c>
      <c r="CW273" s="52">
        <f>+CW254</f>
        <v>-3.5999999999999997E-2</v>
      </c>
      <c r="CX273" s="52">
        <f>+CX254</f>
        <v>-2.8000000000000001E-2</v>
      </c>
      <c r="CY273" s="112">
        <f>(1+CY271)/(1+CY272)-1</f>
        <v>-1.885850342087525E-2</v>
      </c>
      <c r="CZ273" s="52">
        <f>+CZ254</f>
        <v>-1.4999999999999999E-2</v>
      </c>
      <c r="DA273" s="52">
        <f>+DA254</f>
        <v>0</v>
      </c>
      <c r="DB273" s="52">
        <f>+DB254</f>
        <v>0</v>
      </c>
      <c r="DC273" s="52">
        <f>+DC254</f>
        <v>0</v>
      </c>
      <c r="DD273" s="112">
        <f>(1+DD271)/(1+DD272)-1</f>
        <v>-4.692638439090957E-3</v>
      </c>
      <c r="DE273" s="52">
        <f>+DE254</f>
        <v>0</v>
      </c>
      <c r="DF273" s="52">
        <f>+DF254</f>
        <v>0</v>
      </c>
      <c r="DG273" s="52">
        <f>+DG254</f>
        <v>0</v>
      </c>
      <c r="DH273" s="52">
        <f>+DH254</f>
        <v>0</v>
      </c>
      <c r="DI273" s="112">
        <f>(1+DI271)/(1+DI272)-1</f>
        <v>0</v>
      </c>
    </row>
    <row r="274" spans="1:113" ht="12" hidden="1" customHeight="1" outlineLevel="1">
      <c r="A274" s="219"/>
      <c r="B274" s="17"/>
      <c r="C274" s="79"/>
      <c r="D274" s="6"/>
      <c r="E274" s="79"/>
      <c r="F274" s="6"/>
      <c r="G274" s="79"/>
      <c r="H274" s="6"/>
      <c r="I274" s="79"/>
      <c r="J274" s="6"/>
      <c r="K274" s="79"/>
      <c r="L274" s="6"/>
      <c r="M274" s="79"/>
      <c r="N274" s="6"/>
      <c r="O274" s="79"/>
      <c r="P274" s="6"/>
      <c r="Q274" s="79"/>
      <c r="R274" s="6"/>
      <c r="S274" s="6"/>
      <c r="T274" s="6"/>
      <c r="U274" s="6"/>
      <c r="V274" s="79"/>
      <c r="W274" s="6"/>
      <c r="X274" s="6"/>
      <c r="Y274" s="6"/>
      <c r="Z274" s="6"/>
      <c r="AA274" s="79"/>
      <c r="AB274" s="79"/>
      <c r="AC274" s="6"/>
      <c r="AD274" s="6"/>
      <c r="AE274" s="6"/>
      <c r="AF274" s="6"/>
      <c r="AG274" s="79"/>
      <c r="AH274" s="6"/>
      <c r="AI274" s="6"/>
      <c r="AJ274" s="6"/>
      <c r="AK274" s="6"/>
      <c r="AL274" s="79"/>
      <c r="AM274" s="6"/>
      <c r="AN274" s="6"/>
      <c r="AO274" s="6"/>
      <c r="AP274" s="6"/>
      <c r="AQ274" s="79"/>
      <c r="AR274" s="6"/>
      <c r="AS274" s="6"/>
      <c r="AT274" s="6"/>
      <c r="AU274" s="6"/>
      <c r="AV274" s="79"/>
      <c r="AW274" s="6"/>
      <c r="AX274" s="6"/>
      <c r="AY274" s="6"/>
      <c r="AZ274" s="6"/>
      <c r="BA274" s="79"/>
      <c r="BB274" s="6"/>
      <c r="BC274" s="6"/>
      <c r="BD274" s="6"/>
      <c r="BE274" s="6"/>
      <c r="BF274" s="79"/>
      <c r="BG274" s="6"/>
      <c r="BH274" s="6"/>
      <c r="BI274" s="6"/>
      <c r="BJ274" s="6"/>
      <c r="BK274" s="79"/>
      <c r="BL274" s="6"/>
      <c r="BM274" s="6"/>
      <c r="BN274" s="6"/>
      <c r="BO274" s="6"/>
      <c r="BP274" s="79"/>
      <c r="BQ274" s="6"/>
      <c r="BR274" s="6"/>
      <c r="BS274" s="6"/>
      <c r="BT274" s="6"/>
      <c r="BU274" s="79"/>
      <c r="BV274" s="6"/>
      <c r="BW274" s="6"/>
      <c r="BX274" s="6"/>
      <c r="BY274" s="6"/>
      <c r="BZ274" s="79"/>
      <c r="CA274" s="6"/>
      <c r="CB274" s="6"/>
      <c r="CC274" s="6"/>
      <c r="CD274" s="6"/>
      <c r="CE274" s="79"/>
      <c r="CF274" s="6"/>
      <c r="CG274" s="6"/>
      <c r="CH274" s="6"/>
      <c r="CI274" s="6"/>
      <c r="CJ274" s="79"/>
      <c r="CK274" s="6"/>
      <c r="CL274" s="6"/>
      <c r="CM274" s="6"/>
      <c r="CN274" s="6"/>
      <c r="CO274" s="79"/>
      <c r="CP274" s="6"/>
      <c r="CQ274" s="6"/>
      <c r="CR274" s="6"/>
      <c r="CS274" s="6"/>
      <c r="CT274" s="79"/>
      <c r="CU274" s="6"/>
      <c r="CV274" s="6"/>
      <c r="CW274" s="6"/>
      <c r="CX274" s="6"/>
      <c r="CY274" s="79"/>
      <c r="CZ274" s="6"/>
      <c r="DA274" s="6"/>
      <c r="DB274" s="6"/>
      <c r="DC274" s="6"/>
      <c r="DD274" s="79"/>
      <c r="DE274" s="6"/>
      <c r="DF274" s="6"/>
      <c r="DG274" s="6"/>
      <c r="DH274" s="6"/>
      <c r="DI274" s="79"/>
    </row>
    <row r="275" spans="1:113" s="7" customFormat="1" ht="12" hidden="1" customHeight="1" outlineLevel="1">
      <c r="A275" s="239" t="str">
        <f t="shared" si="709"/>
        <v xml:space="preserve"> </v>
      </c>
      <c r="B275" s="551" t="s">
        <v>177</v>
      </c>
      <c r="C275" s="36"/>
      <c r="D275" s="43"/>
      <c r="E275" s="36"/>
      <c r="F275" s="43"/>
      <c r="G275" s="36"/>
      <c r="H275" s="43"/>
      <c r="I275" s="36"/>
      <c r="J275" s="43"/>
      <c r="K275" s="36"/>
      <c r="L275" s="43"/>
      <c r="M275" s="36"/>
      <c r="N275" s="43"/>
      <c r="O275" s="36"/>
      <c r="P275" s="43"/>
      <c r="Q275" s="36"/>
      <c r="R275" s="39" t="s">
        <v>126</v>
      </c>
      <c r="S275" s="43" t="s">
        <v>126</v>
      </c>
      <c r="T275" s="43" t="s">
        <v>126</v>
      </c>
      <c r="U275" s="43" t="s">
        <v>126</v>
      </c>
      <c r="V275" s="36" t="s">
        <v>126</v>
      </c>
      <c r="W275" s="39" t="s">
        <v>126</v>
      </c>
      <c r="X275" s="43" t="s">
        <v>126</v>
      </c>
      <c r="Y275" s="43" t="s">
        <v>126</v>
      </c>
      <c r="Z275" s="43" t="s">
        <v>126</v>
      </c>
      <c r="AA275" s="36" t="s">
        <v>126</v>
      </c>
      <c r="AB275" s="36"/>
      <c r="AC275" s="39" t="s">
        <v>126</v>
      </c>
      <c r="AD275" s="43" t="s">
        <v>126</v>
      </c>
      <c r="AE275" s="43" t="s">
        <v>126</v>
      </c>
      <c r="AF275" s="43" t="s">
        <v>126</v>
      </c>
      <c r="AG275" s="36" t="s">
        <v>126</v>
      </c>
      <c r="AH275" s="39" t="s">
        <v>126</v>
      </c>
      <c r="AI275" s="43" t="s">
        <v>126</v>
      </c>
      <c r="AJ275" s="43" t="s">
        <v>126</v>
      </c>
      <c r="AK275" s="43" t="s">
        <v>126</v>
      </c>
      <c r="AL275" s="36" t="s">
        <v>126</v>
      </c>
      <c r="AM275" s="39" t="s">
        <v>126</v>
      </c>
      <c r="AN275" s="43" t="s">
        <v>126</v>
      </c>
      <c r="AO275" s="43" t="s">
        <v>126</v>
      </c>
      <c r="AP275" s="43" t="s">
        <v>126</v>
      </c>
      <c r="AQ275" s="36" t="s">
        <v>126</v>
      </c>
      <c r="AR275" s="43">
        <v>418</v>
      </c>
      <c r="AS275" s="43">
        <v>378</v>
      </c>
      <c r="AT275" s="43">
        <v>419</v>
      </c>
      <c r="AU275" s="43">
        <v>484</v>
      </c>
      <c r="AV275" s="36">
        <f>SUM(AR275:AU275)</f>
        <v>1699</v>
      </c>
      <c r="AW275" s="43">
        <v>529</v>
      </c>
      <c r="AX275" s="43">
        <v>479</v>
      </c>
      <c r="AY275" s="43">
        <v>497</v>
      </c>
      <c r="AZ275" s="43">
        <v>548</v>
      </c>
      <c r="BA275" s="36">
        <f>SUM(AW275:AZ275)</f>
        <v>2053</v>
      </c>
      <c r="BB275" s="43">
        <v>622</v>
      </c>
      <c r="BC275" s="43">
        <v>608</v>
      </c>
      <c r="BD275" s="43">
        <v>594</v>
      </c>
      <c r="BE275" s="43">
        <f>BF275-SUM(BB275:BD275)</f>
        <v>653</v>
      </c>
      <c r="BF275" s="36">
        <v>2477</v>
      </c>
      <c r="BG275" s="43">
        <v>691</v>
      </c>
      <c r="BH275" s="43">
        <v>696</v>
      </c>
      <c r="BI275" s="43">
        <v>650</v>
      </c>
      <c r="BJ275" s="43">
        <f>BK275-SUM(BG275:BI275)</f>
        <v>699</v>
      </c>
      <c r="BK275" s="36">
        <v>2736</v>
      </c>
      <c r="BL275" s="43">
        <v>731</v>
      </c>
      <c r="BM275" s="43">
        <v>743</v>
      </c>
      <c r="BN275" s="43">
        <v>753</v>
      </c>
      <c r="BO275" s="43">
        <f>BP275-SUM(BL275:BN275)</f>
        <v>546</v>
      </c>
      <c r="BP275" s="36">
        <v>2773</v>
      </c>
      <c r="BQ275" s="43">
        <v>937</v>
      </c>
      <c r="BR275" s="369">
        <v>973</v>
      </c>
      <c r="BS275" s="43">
        <v>804</v>
      </c>
      <c r="BT275" s="43">
        <f>BU275-SUM(BQ275:BS275)</f>
        <v>930</v>
      </c>
      <c r="BU275" s="36">
        <v>3644</v>
      </c>
      <c r="BV275" s="43">
        <v>1083</v>
      </c>
      <c r="BW275" s="369">
        <v>1030</v>
      </c>
      <c r="BX275" s="43">
        <v>921</v>
      </c>
      <c r="BY275" s="43">
        <f>BZ275-SUM(BV275:BX275)</f>
        <v>1068</v>
      </c>
      <c r="BZ275" s="36">
        <v>4102</v>
      </c>
      <c r="CA275" s="43">
        <v>1130</v>
      </c>
      <c r="CB275" s="369">
        <v>1247</v>
      </c>
      <c r="CC275" s="369">
        <v>1185</v>
      </c>
      <c r="CD275" s="43">
        <f>CE275-SUM(CA275:CC275)</f>
        <v>1334</v>
      </c>
      <c r="CE275" s="15">
        <v>4896</v>
      </c>
      <c r="CF275" s="369">
        <v>1231</v>
      </c>
      <c r="CG275" s="369">
        <v>1429</v>
      </c>
      <c r="CH275" s="369">
        <v>1172</v>
      </c>
      <c r="CI275" s="43">
        <f>CJ275-SUM(CF275:CH275)</f>
        <v>1213</v>
      </c>
      <c r="CJ275" s="15">
        <v>5045</v>
      </c>
      <c r="CK275" s="257">
        <v>1069</v>
      </c>
      <c r="CL275" s="257">
        <v>1183</v>
      </c>
      <c r="CM275" s="257">
        <v>994</v>
      </c>
      <c r="CN275" s="43">
        <f>CO275-SUM(CK275:CM275)</f>
        <v>989</v>
      </c>
      <c r="CO275" s="15">
        <v>4235</v>
      </c>
      <c r="CP275" s="257">
        <v>1070</v>
      </c>
      <c r="CQ275" s="257">
        <v>1204</v>
      </c>
      <c r="CR275" s="257">
        <v>955</v>
      </c>
      <c r="CS275" s="43">
        <f>CT275-SUM(CP275:CR275)</f>
        <v>882</v>
      </c>
      <c r="CT275" s="15">
        <v>4111</v>
      </c>
      <c r="CU275" s="43">
        <v>943</v>
      </c>
      <c r="CV275" s="43"/>
      <c r="CW275" s="43"/>
      <c r="CX275" s="43"/>
      <c r="CY275" s="36"/>
      <c r="CZ275" s="43"/>
      <c r="DA275" s="43"/>
      <c r="DB275" s="43"/>
      <c r="DC275" s="43"/>
      <c r="DD275" s="36"/>
      <c r="DE275" s="43"/>
      <c r="DF275" s="43"/>
      <c r="DG275" s="43"/>
      <c r="DH275" s="43"/>
      <c r="DI275" s="36"/>
    </row>
    <row r="276" spans="1:113" ht="12" hidden="1" customHeight="1" outlineLevel="1">
      <c r="A276" s="219" t="str">
        <f t="shared" si="709"/>
        <v xml:space="preserve"> </v>
      </c>
      <c r="B276" s="491" t="s">
        <v>171</v>
      </c>
      <c r="C276" s="492"/>
      <c r="D276" s="522"/>
      <c r="E276" s="492"/>
      <c r="F276" s="522"/>
      <c r="G276" s="492"/>
      <c r="H276" s="522"/>
      <c r="I276" s="492"/>
      <c r="J276" s="522"/>
      <c r="K276" s="492"/>
      <c r="L276" s="522"/>
      <c r="M276" s="492"/>
      <c r="N276" s="522"/>
      <c r="O276" s="492"/>
      <c r="P276" s="522"/>
      <c r="Q276" s="492"/>
      <c r="R276" s="378" t="s">
        <v>126</v>
      </c>
      <c r="S276" s="522" t="s">
        <v>126</v>
      </c>
      <c r="T276" s="522" t="s">
        <v>126</v>
      </c>
      <c r="U276" s="522" t="s">
        <v>126</v>
      </c>
      <c r="V276" s="492" t="s">
        <v>126</v>
      </c>
      <c r="W276" s="378" t="s">
        <v>126</v>
      </c>
      <c r="X276" s="522" t="s">
        <v>126</v>
      </c>
      <c r="Y276" s="522" t="s">
        <v>126</v>
      </c>
      <c r="Z276" s="522" t="s">
        <v>126</v>
      </c>
      <c r="AA276" s="492" t="s">
        <v>126</v>
      </c>
      <c r="AB276" s="492"/>
      <c r="AC276" s="378" t="s">
        <v>126</v>
      </c>
      <c r="AD276" s="522" t="s">
        <v>126</v>
      </c>
      <c r="AE276" s="522" t="s">
        <v>126</v>
      </c>
      <c r="AF276" s="522" t="s">
        <v>126</v>
      </c>
      <c r="AG276" s="492" t="s">
        <v>126</v>
      </c>
      <c r="AH276" s="378" t="s">
        <v>126</v>
      </c>
      <c r="AI276" s="522" t="s">
        <v>126</v>
      </c>
      <c r="AJ276" s="522" t="s">
        <v>126</v>
      </c>
      <c r="AK276" s="522" t="s">
        <v>126</v>
      </c>
      <c r="AL276" s="492" t="s">
        <v>126</v>
      </c>
      <c r="AM276" s="378" t="s">
        <v>126</v>
      </c>
      <c r="AN276" s="522" t="s">
        <v>126</v>
      </c>
      <c r="AO276" s="522" t="s">
        <v>126</v>
      </c>
      <c r="AP276" s="522" t="s">
        <v>126</v>
      </c>
      <c r="AQ276" s="492" t="s">
        <v>126</v>
      </c>
      <c r="AR276" s="378" t="s">
        <v>126</v>
      </c>
      <c r="AS276" s="522" t="s">
        <v>126</v>
      </c>
      <c r="AT276" s="522" t="s">
        <v>126</v>
      </c>
      <c r="AU276" s="522" t="s">
        <v>126</v>
      </c>
      <c r="AV276" s="492" t="s">
        <v>126</v>
      </c>
      <c r="AW276" s="52">
        <f t="shared" ref="AW276:BD276" si="892">+AW275/AR275-1</f>
        <v>0.26555023923444976</v>
      </c>
      <c r="AX276" s="52">
        <f t="shared" si="892"/>
        <v>0.26719576719576721</v>
      </c>
      <c r="AY276" s="52">
        <f t="shared" si="892"/>
        <v>0.18615751789976143</v>
      </c>
      <c r="AZ276" s="52">
        <f t="shared" si="892"/>
        <v>0.13223140495867769</v>
      </c>
      <c r="BA276" s="112">
        <f t="shared" si="892"/>
        <v>0.20835785756327252</v>
      </c>
      <c r="BB276" s="52">
        <f t="shared" si="892"/>
        <v>0.17580340264650274</v>
      </c>
      <c r="BC276" s="52">
        <f t="shared" si="892"/>
        <v>0.26931106471816291</v>
      </c>
      <c r="BD276" s="52">
        <f t="shared" si="892"/>
        <v>0.19517102615694171</v>
      </c>
      <c r="BE276" s="52">
        <f t="shared" ref="BE276:BI276" si="893">+BE275/AZ275-1</f>
        <v>0.19160583941605847</v>
      </c>
      <c r="BF276" s="112">
        <f t="shared" si="893"/>
        <v>0.2065270336093521</v>
      </c>
      <c r="BG276" s="52">
        <f t="shared" si="893"/>
        <v>0.11093247588424426</v>
      </c>
      <c r="BH276" s="52">
        <f t="shared" si="893"/>
        <v>0.14473684210526305</v>
      </c>
      <c r="BI276" s="52">
        <f t="shared" si="893"/>
        <v>9.4276094276094291E-2</v>
      </c>
      <c r="BJ276" s="52">
        <f t="shared" ref="BJ276" si="894">+BJ275/BE275-1</f>
        <v>7.0444104134762542E-2</v>
      </c>
      <c r="BK276" s="112">
        <f t="shared" ref="BK276:BN276" si="895">+BK275/BF275-1</f>
        <v>0.10456197012515145</v>
      </c>
      <c r="BL276" s="52">
        <f t="shared" si="895"/>
        <v>5.7887120115774238E-2</v>
      </c>
      <c r="BM276" s="52">
        <f t="shared" si="895"/>
        <v>6.7528735632183867E-2</v>
      </c>
      <c r="BN276" s="52">
        <f t="shared" si="895"/>
        <v>0.15846153846153843</v>
      </c>
      <c r="BO276" s="52">
        <f t="shared" ref="BO276" si="896">+BO275/BJ275-1</f>
        <v>-0.2188841201716738</v>
      </c>
      <c r="BP276" s="112">
        <f t="shared" ref="BP276:CH276" si="897">+BP275/BK275-1</f>
        <v>1.3523391812865437E-2</v>
      </c>
      <c r="BQ276" s="52">
        <f t="shared" si="897"/>
        <v>0.28180574555403548</v>
      </c>
      <c r="BR276" s="52">
        <f t="shared" si="897"/>
        <v>0.3095558546433379</v>
      </c>
      <c r="BS276" s="52">
        <f t="shared" si="897"/>
        <v>6.7729083665338585E-2</v>
      </c>
      <c r="BT276" s="52">
        <f t="shared" si="897"/>
        <v>0.70329670329670324</v>
      </c>
      <c r="BU276" s="112">
        <f t="shared" si="897"/>
        <v>0.31410025243418671</v>
      </c>
      <c r="BV276" s="52">
        <f t="shared" si="897"/>
        <v>0.15581643543223045</v>
      </c>
      <c r="BW276" s="52">
        <f t="shared" si="897"/>
        <v>5.8581706063720373E-2</v>
      </c>
      <c r="BX276" s="52">
        <f t="shared" si="897"/>
        <v>0.14552238805970141</v>
      </c>
      <c r="BY276" s="52">
        <f t="shared" si="897"/>
        <v>0.14838709677419359</v>
      </c>
      <c r="BZ276" s="112">
        <f t="shared" si="897"/>
        <v>0.12568605927552134</v>
      </c>
      <c r="CA276" s="52">
        <f t="shared" si="897"/>
        <v>4.3397968605724868E-2</v>
      </c>
      <c r="CB276" s="52">
        <f t="shared" si="897"/>
        <v>0.21067961165048543</v>
      </c>
      <c r="CC276" s="52">
        <f t="shared" si="897"/>
        <v>0.28664495114006505</v>
      </c>
      <c r="CD276" s="52">
        <f t="shared" si="897"/>
        <v>0.24906367041198507</v>
      </c>
      <c r="CE276" s="112">
        <f t="shared" si="897"/>
        <v>0.19356411506582161</v>
      </c>
      <c r="CF276" s="52">
        <f t="shared" si="897"/>
        <v>8.9380530973451222E-2</v>
      </c>
      <c r="CG276" s="52">
        <f t="shared" si="897"/>
        <v>0.14595028067361659</v>
      </c>
      <c r="CH276" s="52">
        <f t="shared" si="897"/>
        <v>-1.0970464135021119E-2</v>
      </c>
      <c r="CI276" s="52">
        <f t="shared" ref="CI276" si="898">+CI275/CD275-1</f>
        <v>-9.0704647676161931E-2</v>
      </c>
      <c r="CJ276" s="112">
        <f t="shared" ref="CJ276:CU276" si="899">+CJ275/CE275-1</f>
        <v>3.0433006535947715E-2</v>
      </c>
      <c r="CK276" s="52">
        <f t="shared" si="899"/>
        <v>-0.13160032493907392</v>
      </c>
      <c r="CL276" s="52">
        <f t="shared" si="899"/>
        <v>-0.17214835549335195</v>
      </c>
      <c r="CM276" s="52">
        <f t="shared" si="899"/>
        <v>-0.15187713310580209</v>
      </c>
      <c r="CN276" s="52">
        <f t="shared" si="899"/>
        <v>-0.18466611706512781</v>
      </c>
      <c r="CO276" s="112">
        <f t="shared" si="899"/>
        <v>-0.16055500495540143</v>
      </c>
      <c r="CP276" s="52">
        <f t="shared" si="899"/>
        <v>9.3545369504210996E-4</v>
      </c>
      <c r="CQ276" s="52">
        <f t="shared" si="899"/>
        <v>1.7751479289940919E-2</v>
      </c>
      <c r="CR276" s="52">
        <f t="shared" si="899"/>
        <v>-3.9235412474849074E-2</v>
      </c>
      <c r="CS276" s="52">
        <f t="shared" si="899"/>
        <v>-0.10819009100101107</v>
      </c>
      <c r="CT276" s="112">
        <f t="shared" si="899"/>
        <v>-2.9279811097992936E-2</v>
      </c>
      <c r="CU276" s="52">
        <f t="shared" si="899"/>
        <v>-0.11869158878504671</v>
      </c>
      <c r="CV276" s="52"/>
      <c r="CW276" s="52"/>
      <c r="CX276" s="52"/>
      <c r="CY276" s="112"/>
      <c r="CZ276" s="52"/>
      <c r="DA276" s="52"/>
      <c r="DB276" s="52"/>
      <c r="DC276" s="52"/>
      <c r="DD276" s="112"/>
      <c r="DE276" s="52"/>
      <c r="DF276" s="52"/>
      <c r="DG276" s="52"/>
      <c r="DH276" s="52"/>
      <c r="DI276" s="112"/>
    </row>
    <row r="277" spans="1:113" s="529" customFormat="1" ht="12" hidden="1" customHeight="1" outlineLevel="1">
      <c r="A277" s="490" t="str">
        <f t="shared" si="709"/>
        <v xml:space="preserve"> </v>
      </c>
      <c r="B277" s="526" t="s">
        <v>173</v>
      </c>
      <c r="C277" s="112"/>
      <c r="D277" s="52"/>
      <c r="E277" s="112"/>
      <c r="F277" s="52"/>
      <c r="G277" s="112"/>
      <c r="H277" s="52"/>
      <c r="I277" s="112"/>
      <c r="J277" s="52"/>
      <c r="K277" s="112"/>
      <c r="L277" s="52"/>
      <c r="M277" s="112"/>
      <c r="N277" s="52"/>
      <c r="O277" s="112"/>
      <c r="P277" s="52"/>
      <c r="Q277" s="112"/>
      <c r="R277" s="217" t="s">
        <v>126</v>
      </c>
      <c r="S277" s="52" t="s">
        <v>126</v>
      </c>
      <c r="T277" s="52" t="s">
        <v>126</v>
      </c>
      <c r="U277" s="52" t="s">
        <v>126</v>
      </c>
      <c r="V277" s="112" t="s">
        <v>126</v>
      </c>
      <c r="W277" s="217" t="s">
        <v>126</v>
      </c>
      <c r="X277" s="52" t="s">
        <v>126</v>
      </c>
      <c r="Y277" s="52" t="s">
        <v>126</v>
      </c>
      <c r="Z277" s="52" t="s">
        <v>126</v>
      </c>
      <c r="AA277" s="112" t="s">
        <v>126</v>
      </c>
      <c r="AB277" s="112"/>
      <c r="AC277" s="217" t="s">
        <v>126</v>
      </c>
      <c r="AD277" s="52" t="s">
        <v>126</v>
      </c>
      <c r="AE277" s="52" t="s">
        <v>126</v>
      </c>
      <c r="AF277" s="52" t="s">
        <v>126</v>
      </c>
      <c r="AG277" s="112" t="s">
        <v>126</v>
      </c>
      <c r="AH277" s="217" t="s">
        <v>126</v>
      </c>
      <c r="AI277" s="52" t="s">
        <v>126</v>
      </c>
      <c r="AJ277" s="52" t="s">
        <v>126</v>
      </c>
      <c r="AK277" s="52" t="s">
        <v>126</v>
      </c>
      <c r="AL277" s="112" t="s">
        <v>126</v>
      </c>
      <c r="AM277" s="217" t="s">
        <v>126</v>
      </c>
      <c r="AN277" s="52" t="s">
        <v>126</v>
      </c>
      <c r="AO277" s="52" t="s">
        <v>126</v>
      </c>
      <c r="AP277" s="52" t="s">
        <v>126</v>
      </c>
      <c r="AQ277" s="112" t="s">
        <v>126</v>
      </c>
      <c r="AR277" s="217" t="s">
        <v>126</v>
      </c>
      <c r="AS277" s="52" t="s">
        <v>126</v>
      </c>
      <c r="AT277" s="52" t="s">
        <v>126</v>
      </c>
      <c r="AU277" s="52" t="s">
        <v>126</v>
      </c>
      <c r="AV277" s="112" t="s">
        <v>126</v>
      </c>
      <c r="AW277" s="52">
        <v>0.3</v>
      </c>
      <c r="AX277" s="52">
        <v>0.33</v>
      </c>
      <c r="AY277" s="52">
        <v>0.25</v>
      </c>
      <c r="AZ277" s="52">
        <v>0.2</v>
      </c>
      <c r="BA277" s="112">
        <v>0.27</v>
      </c>
      <c r="BB277" s="52">
        <v>0.19</v>
      </c>
      <c r="BC277" s="52">
        <v>0.21</v>
      </c>
      <c r="BD277" s="52">
        <v>0.09</v>
      </c>
      <c r="BE277" s="52">
        <f>((BF277*SUM(AW275:AZ275))-BB277*AW275-BC277*AX275-BD277*AY275)/AZ275</f>
        <v>3.8430656934306584E-2</v>
      </c>
      <c r="BF277" s="112">
        <v>0.13</v>
      </c>
      <c r="BG277" s="52">
        <v>0.09</v>
      </c>
      <c r="BH277" s="52">
        <v>0.19</v>
      </c>
      <c r="BI277" s="52">
        <v>0.15</v>
      </c>
      <c r="BJ277" s="52">
        <f>((BK277*SUM(BB275:BE275))-BG277*BB275-BH277*BC275-BI277*BD275)/BE275</f>
        <v>0.16990811638591122</v>
      </c>
      <c r="BK277" s="112">
        <v>0.15</v>
      </c>
      <c r="BL277" s="52">
        <v>0.11</v>
      </c>
      <c r="BM277" s="52">
        <v>0.11</v>
      </c>
      <c r="BN277" s="52">
        <v>0.18</v>
      </c>
      <c r="BO277" s="52">
        <f>((BP277*SUM(BG275:BJ275))-BL277*BG275-BM277*BH275-BN277*BI275)/BJ275</f>
        <v>-0.18994277539341914</v>
      </c>
      <c r="BP277" s="112">
        <v>0.05</v>
      </c>
      <c r="BQ277" s="52">
        <v>0.27</v>
      </c>
      <c r="BR277" s="554">
        <v>0.25</v>
      </c>
      <c r="BS277" s="554">
        <v>0</v>
      </c>
      <c r="BT277" s="52">
        <f>((BU277*SUM(BL275:BO275))-BQ277*BL275-BR277*BM275-BS277*BN275)/BO275</f>
        <v>0.56800366300366301</v>
      </c>
      <c r="BU277" s="112">
        <v>0.25</v>
      </c>
      <c r="BV277" s="52">
        <v>0.1</v>
      </c>
      <c r="BW277" s="554">
        <v>0.06</v>
      </c>
      <c r="BX277" s="554">
        <v>0.22</v>
      </c>
      <c r="BY277" s="52">
        <f>((BZ277*SUM(BQ275:BT275))-BV277*BQ275-BW277*BR275-BX277*BS275)/BT275</f>
        <v>0.23402150537634414</v>
      </c>
      <c r="BZ277" s="112">
        <v>0.15</v>
      </c>
      <c r="CA277" s="52">
        <v>0.2</v>
      </c>
      <c r="CB277" s="554">
        <v>0.44</v>
      </c>
      <c r="CC277" s="522">
        <v>0.39</v>
      </c>
      <c r="CD277" s="52">
        <f>((CE277*SUM(BV275:BY275))-CA277*BV275-CB277*BW275-CC277*BX275)/BY275</f>
        <v>0.30399812734082388</v>
      </c>
      <c r="CE277" s="583">
        <v>0.33</v>
      </c>
      <c r="CF277" s="554">
        <v>0.06</v>
      </c>
      <c r="CG277" s="554">
        <v>7.0000000000000007E-2</v>
      </c>
      <c r="CH277" s="554">
        <v>-0.04</v>
      </c>
      <c r="CI277" s="52">
        <f>((CJ277*SUM(CA275:CD275))-CF277*CA275-CG277*CB275-CH277*CC275)/CD275</f>
        <v>-8.0727136431784099E-2</v>
      </c>
      <c r="CJ277" s="583">
        <v>0</v>
      </c>
      <c r="CK277" s="554">
        <v>-0.12</v>
      </c>
      <c r="CL277" s="554">
        <v>-0.2</v>
      </c>
      <c r="CM277" s="554">
        <v>-0.12</v>
      </c>
      <c r="CN277" s="554">
        <v>-0.19</v>
      </c>
      <c r="CO277" s="583">
        <v>-0.16</v>
      </c>
      <c r="CP277" s="554">
        <v>-0.06</v>
      </c>
      <c r="CQ277" s="554">
        <v>-0.03</v>
      </c>
      <c r="CR277" s="554">
        <v>-0.13</v>
      </c>
      <c r="CS277" s="52">
        <f>((CT277*SUM(CK275:CN275))-CP277*CK275-CQ277*CL275-CR277*CM275)/CN275</f>
        <v>0.10293225480283115</v>
      </c>
      <c r="CT277" s="583">
        <v>-0.03</v>
      </c>
      <c r="CU277" s="522">
        <v>-0.12</v>
      </c>
      <c r="CV277" s="522"/>
      <c r="CW277" s="522"/>
      <c r="CX277" s="522"/>
      <c r="CY277" s="584"/>
      <c r="CZ277" s="522"/>
      <c r="DA277" s="522"/>
      <c r="DB277" s="522"/>
      <c r="DC277" s="522"/>
      <c r="DD277" s="584"/>
      <c r="DE277" s="522"/>
      <c r="DF277" s="522"/>
      <c r="DG277" s="522"/>
      <c r="DH277" s="522"/>
      <c r="DI277" s="584"/>
    </row>
    <row r="278" spans="1:113" ht="12" hidden="1" customHeight="1" outlineLevel="1">
      <c r="A278" s="219" t="str">
        <f t="shared" si="709"/>
        <v xml:space="preserve"> </v>
      </c>
      <c r="B278" s="491" t="s">
        <v>141</v>
      </c>
      <c r="C278" s="492"/>
      <c r="D278" s="522"/>
      <c r="E278" s="492"/>
      <c r="F278" s="522"/>
      <c r="G278" s="492"/>
      <c r="H278" s="522"/>
      <c r="I278" s="492"/>
      <c r="J278" s="522"/>
      <c r="K278" s="492"/>
      <c r="L278" s="522"/>
      <c r="M278" s="492"/>
      <c r="N278" s="522"/>
      <c r="O278" s="492"/>
      <c r="P278" s="522"/>
      <c r="Q278" s="492"/>
      <c r="R278" s="378" t="s">
        <v>126</v>
      </c>
      <c r="S278" s="522" t="s">
        <v>126</v>
      </c>
      <c r="T278" s="522" t="s">
        <v>126</v>
      </c>
      <c r="U278" s="522" t="s">
        <v>126</v>
      </c>
      <c r="V278" s="492" t="s">
        <v>126</v>
      </c>
      <c r="W278" s="378" t="s">
        <v>126</v>
      </c>
      <c r="X278" s="522" t="s">
        <v>126</v>
      </c>
      <c r="Y278" s="522" t="s">
        <v>126</v>
      </c>
      <c r="Z278" s="522" t="s">
        <v>126</v>
      </c>
      <c r="AA278" s="492" t="s">
        <v>126</v>
      </c>
      <c r="AB278" s="492"/>
      <c r="AC278" s="378" t="s">
        <v>126</v>
      </c>
      <c r="AD278" s="522" t="s">
        <v>126</v>
      </c>
      <c r="AE278" s="522" t="s">
        <v>126</v>
      </c>
      <c r="AF278" s="522" t="s">
        <v>126</v>
      </c>
      <c r="AG278" s="492" t="s">
        <v>126</v>
      </c>
      <c r="AH278" s="378" t="s">
        <v>126</v>
      </c>
      <c r="AI278" s="522" t="s">
        <v>126</v>
      </c>
      <c r="AJ278" s="522" t="s">
        <v>126</v>
      </c>
      <c r="AK278" s="522" t="s">
        <v>126</v>
      </c>
      <c r="AL278" s="492" t="s">
        <v>126</v>
      </c>
      <c r="AM278" s="378" t="s">
        <v>126</v>
      </c>
      <c r="AN278" s="522" t="s">
        <v>126</v>
      </c>
      <c r="AO278" s="522" t="s">
        <v>126</v>
      </c>
      <c r="AP278" s="522" t="s">
        <v>126</v>
      </c>
      <c r="AQ278" s="492" t="s">
        <v>126</v>
      </c>
      <c r="AR278" s="378" t="s">
        <v>126</v>
      </c>
      <c r="AS278" s="522" t="s">
        <v>126</v>
      </c>
      <c r="AT278" s="522" t="s">
        <v>126</v>
      </c>
      <c r="AU278" s="522" t="s">
        <v>126</v>
      </c>
      <c r="AV278" s="492" t="s">
        <v>126</v>
      </c>
      <c r="AW278" s="52">
        <f t="shared" ref="AW278:BG278" si="900">(1+AW276)/(1+AW277)-1</f>
        <v>-2.6499815973500263E-2</v>
      </c>
      <c r="AX278" s="52">
        <f t="shared" si="900"/>
        <v>-4.7221227672355481E-2</v>
      </c>
      <c r="AY278" s="52">
        <f t="shared" si="900"/>
        <v>-5.1073985680190837E-2</v>
      </c>
      <c r="AZ278" s="52">
        <f t="shared" si="900"/>
        <v>-5.6473829201101888E-2</v>
      </c>
      <c r="BA278" s="112">
        <f t="shared" si="900"/>
        <v>-4.8537120028919301E-2</v>
      </c>
      <c r="BB278" s="52">
        <f t="shared" si="900"/>
        <v>-1.1929913742434683E-2</v>
      </c>
      <c r="BC278" s="52">
        <f t="shared" si="900"/>
        <v>4.9017408857986E-2</v>
      </c>
      <c r="BD278" s="52">
        <f t="shared" si="900"/>
        <v>9.6487179960496938E-2</v>
      </c>
      <c r="BE278" s="52">
        <f t="shared" si="900"/>
        <v>0.1475064140863882</v>
      </c>
      <c r="BF278" s="112">
        <f t="shared" si="900"/>
        <v>6.7723038592347073E-2</v>
      </c>
      <c r="BG278" s="52">
        <f t="shared" si="900"/>
        <v>1.9204106315820368E-2</v>
      </c>
      <c r="BH278" s="52">
        <f>(1+BH276)/(1+BH277)-1</f>
        <v>-3.8036267138434332E-2</v>
      </c>
      <c r="BI278" s="52">
        <f>(1+BI276)/(1+BI277)-1</f>
        <v>-4.8455570194700592E-2</v>
      </c>
      <c r="BJ278" s="52">
        <f t="shared" ref="BJ278:BK278" si="901">(1+BJ276)/(1+BJ277)-1</f>
        <v>-8.5018653053210436E-2</v>
      </c>
      <c r="BK278" s="112">
        <f t="shared" si="901"/>
        <v>-3.9511330325955218E-2</v>
      </c>
      <c r="BL278" s="52">
        <f>(1+BL276)/(1+BL277)-1</f>
        <v>-4.6948540436239528E-2</v>
      </c>
      <c r="BM278" s="52">
        <f>(1+BM276)/(1+BM277)-1</f>
        <v>-3.8262400331365964E-2</v>
      </c>
      <c r="BN278" s="52">
        <f>(1+BN276)/(1+BN277)-1</f>
        <v>-1.8252933507170721E-2</v>
      </c>
      <c r="BO278" s="52">
        <f t="shared" ref="BO278:BP278" si="902">(1+BO276)/(1+BO277)-1</f>
        <v>-3.5727531215230646E-2</v>
      </c>
      <c r="BP278" s="112">
        <f t="shared" si="902"/>
        <v>-3.473962684489007E-2</v>
      </c>
      <c r="BQ278" s="52">
        <f>(1+BQ276)/(1+BQ277)-1</f>
        <v>9.2958626409727074E-3</v>
      </c>
      <c r="BR278" s="52">
        <f>(1+BR276)/(1+BR277)-1</f>
        <v>4.7644683714670233E-2</v>
      </c>
      <c r="BS278" s="52">
        <f>(1+BS276)/(1+BS277)-1</f>
        <v>6.7729083665338585E-2</v>
      </c>
      <c r="BT278" s="52">
        <f t="shared" ref="BT278" si="903">(1+BT276)/(1+BT277)-1</f>
        <v>8.6283625150386012E-2</v>
      </c>
      <c r="BU278" s="112">
        <f t="shared" ref="BU278" si="904">(1+BU276)/(1+BU277)-1</f>
        <v>5.128020194734928E-2</v>
      </c>
      <c r="BV278" s="52">
        <f>(1+BV276)/(1+BV277)-1</f>
        <v>5.0742214029300348E-2</v>
      </c>
      <c r="BW278" s="52">
        <f>(1+BW276)/(1+BW277)-1</f>
        <v>-1.3380131474336476E-3</v>
      </c>
      <c r="BX278" s="52">
        <f>(1+BX276)/(1+BX277)-1</f>
        <v>-6.1047222901884024E-2</v>
      </c>
      <c r="BY278" s="52">
        <f t="shared" ref="BY278" si="905">(1+BY276)/(1+BY277)-1</f>
        <v>-6.9394583667352183E-2</v>
      </c>
      <c r="BZ278" s="112">
        <f t="shared" ref="BZ278" si="906">(1+BZ276)/(1+BZ277)-1</f>
        <v>-2.1142557151720531E-2</v>
      </c>
      <c r="CA278" s="52">
        <f>(1+CA276)/(1+CA277)-1</f>
        <v>-0.13050169282856261</v>
      </c>
      <c r="CB278" s="52">
        <f>(1+CB276)/(1+CB277)-1</f>
        <v>-0.15925026968716283</v>
      </c>
      <c r="CC278" s="52">
        <f>(1+CC276)/(1+CC277)-1</f>
        <v>-7.4356150258946041E-2</v>
      </c>
      <c r="CD278" s="52">
        <f t="shared" ref="CD278:CE278" si="907">(1+CD276)/(1+CD277)-1</f>
        <v>-4.2127711518162858E-2</v>
      </c>
      <c r="CE278" s="112">
        <f t="shared" si="907"/>
        <v>-0.10258337213096125</v>
      </c>
      <c r="CF278" s="52">
        <f>(1+CF276)/(1+CF277)-1</f>
        <v>2.7717482050425568E-2</v>
      </c>
      <c r="CG278" s="52">
        <f>(1+CG276)/(1+CG277)-1</f>
        <v>7.0981570723006149E-2</v>
      </c>
      <c r="CH278" s="52">
        <f>(1+CH276)/(1+CH277)-1</f>
        <v>3.0239099859353136E-2</v>
      </c>
      <c r="CI278" s="52">
        <f t="shared" ref="CI278:CJ278" si="908">(1+CI276)/(1+CI277)-1</f>
        <v>-1.0853699309310127E-2</v>
      </c>
      <c r="CJ278" s="112">
        <f t="shared" si="908"/>
        <v>3.0433006535947715E-2</v>
      </c>
      <c r="CK278" s="52">
        <f>(1+CK276)/(1+CK277)-1</f>
        <v>-1.3182187430765824E-2</v>
      </c>
      <c r="CL278" s="52">
        <f>(1+CL276)/(1+CL277)-1</f>
        <v>3.4814555633309929E-2</v>
      </c>
      <c r="CM278" s="52">
        <f>(1+CM276)/(1+CM277)-1</f>
        <v>-3.6224014892956902E-2</v>
      </c>
      <c r="CN278" s="52">
        <f t="shared" ref="CN278" si="909">(1+CN276)/(1+CN277)-1</f>
        <v>6.5850406603360501E-3</v>
      </c>
      <c r="CO278" s="112">
        <f t="shared" ref="CO278" si="910">(1+CO276)/(1+CO277)-1</f>
        <v>-6.6072018500162866E-4</v>
      </c>
      <c r="CP278" s="52">
        <f>(1+CP276)/(1+CP277)-1</f>
        <v>6.4824950739406528E-2</v>
      </c>
      <c r="CQ278" s="52">
        <f>(1+CQ276)/(1+CQ277)-1</f>
        <v>4.9228329164887619E-2</v>
      </c>
      <c r="CR278" s="52">
        <f>(1+CR276)/(1+CR277)-1</f>
        <v>0.1043271120978746</v>
      </c>
      <c r="CS278" s="52">
        <f t="shared" ref="CS278:CT278" si="911">(1+CS276)/(1+CS277)-1</f>
        <v>-0.19141914191419129</v>
      </c>
      <c r="CT278" s="112">
        <f t="shared" si="911"/>
        <v>7.424627855743271E-4</v>
      </c>
      <c r="CU278" s="52">
        <f>(1+CU276)/(1+CU277)-1</f>
        <v>1.4868309260833712E-3</v>
      </c>
      <c r="CV278" s="376"/>
      <c r="CW278" s="376"/>
      <c r="CX278" s="376"/>
      <c r="CY278" s="375"/>
      <c r="CZ278" s="376"/>
      <c r="DA278" s="376"/>
      <c r="DB278" s="376"/>
      <c r="DC278" s="376"/>
      <c r="DD278" s="375"/>
      <c r="DE278" s="376"/>
      <c r="DF278" s="376"/>
      <c r="DG278" s="376"/>
      <c r="DH278" s="376"/>
      <c r="DI278" s="375"/>
    </row>
    <row r="279" spans="1:113" s="545" customFormat="1" ht="12" hidden="1" customHeight="1" outlineLevel="1">
      <c r="A279" s="490" t="str">
        <f t="shared" si="709"/>
        <v xml:space="preserve"> </v>
      </c>
      <c r="B279" s="537" t="s">
        <v>308</v>
      </c>
      <c r="C279" s="112"/>
      <c r="D279" s="52"/>
      <c r="E279" s="112"/>
      <c r="F279" s="52"/>
      <c r="G279" s="112"/>
      <c r="H279" s="52"/>
      <c r="I279" s="112"/>
      <c r="J279" s="52"/>
      <c r="K279" s="112"/>
      <c r="L279" s="52"/>
      <c r="M279" s="112"/>
      <c r="N279" s="52"/>
      <c r="O279" s="112"/>
      <c r="P279" s="52"/>
      <c r="Q279" s="112"/>
      <c r="R279" s="217" t="s">
        <v>126</v>
      </c>
      <c r="S279" s="52" t="s">
        <v>126</v>
      </c>
      <c r="T279" s="52" t="s">
        <v>126</v>
      </c>
      <c r="U279" s="52" t="s">
        <v>126</v>
      </c>
      <c r="V279" s="112" t="s">
        <v>126</v>
      </c>
      <c r="W279" s="217" t="s">
        <v>126</v>
      </c>
      <c r="X279" s="52" t="s">
        <v>126</v>
      </c>
      <c r="Y279" s="52" t="s">
        <v>126</v>
      </c>
      <c r="Z279" s="52" t="s">
        <v>126</v>
      </c>
      <c r="AA279" s="112" t="s">
        <v>126</v>
      </c>
      <c r="AB279" s="112"/>
      <c r="AC279" s="217" t="s">
        <v>126</v>
      </c>
      <c r="AD279" s="52" t="s">
        <v>126</v>
      </c>
      <c r="AE279" s="52" t="s">
        <v>126</v>
      </c>
      <c r="AF279" s="52" t="s">
        <v>126</v>
      </c>
      <c r="AG279" s="112" t="s">
        <v>126</v>
      </c>
      <c r="AH279" s="217" t="s">
        <v>126</v>
      </c>
      <c r="AI279" s="52" t="s">
        <v>126</v>
      </c>
      <c r="AJ279" s="52" t="s">
        <v>126</v>
      </c>
      <c r="AK279" s="52" t="s">
        <v>126</v>
      </c>
      <c r="AL279" s="112" t="s">
        <v>126</v>
      </c>
      <c r="AM279" s="217" t="s">
        <v>126</v>
      </c>
      <c r="AN279" s="52" t="s">
        <v>126</v>
      </c>
      <c r="AO279" s="52" t="s">
        <v>126</v>
      </c>
      <c r="AP279" s="52" t="s">
        <v>126</v>
      </c>
      <c r="AQ279" s="112" t="s">
        <v>126</v>
      </c>
      <c r="AR279" s="217" t="s">
        <v>126</v>
      </c>
      <c r="AS279" s="52" t="s">
        <v>126</v>
      </c>
      <c r="AT279" s="52" t="s">
        <v>126</v>
      </c>
      <c r="AU279" s="52" t="s">
        <v>126</v>
      </c>
      <c r="AV279" s="112" t="s">
        <v>126</v>
      </c>
      <c r="AW279" s="217" t="s">
        <v>126</v>
      </c>
      <c r="AX279" s="52" t="s">
        <v>126</v>
      </c>
      <c r="AY279" s="52" t="s">
        <v>126</v>
      </c>
      <c r="AZ279" s="52" t="s">
        <v>126</v>
      </c>
      <c r="BA279" s="112" t="s">
        <v>126</v>
      </c>
      <c r="BB279" s="52">
        <v>0.1</v>
      </c>
      <c r="BC279" s="52">
        <v>0.12</v>
      </c>
      <c r="BD279" s="52">
        <v>0.01</v>
      </c>
      <c r="BE279" s="52">
        <f>((BF279*SUM(AW275:AZ275))-BB279*AW275-BC279*AX275-BD279*AY275)/AZ275</f>
        <v>1.4288321167883193E-2</v>
      </c>
      <c r="BF279" s="112">
        <v>0.06</v>
      </c>
      <c r="BG279" s="217">
        <v>0.04</v>
      </c>
      <c r="BH279" s="217">
        <v>0.12</v>
      </c>
      <c r="BI279" s="52">
        <v>0.13</v>
      </c>
      <c r="BJ279" s="52">
        <f>((BK279*SUM(BB275:BE275))-BG279*BB275-BH279*BC275-BI279*BD275)/BE275</f>
        <v>0.1112404287901991</v>
      </c>
      <c r="BK279" s="112">
        <v>0.1</v>
      </c>
      <c r="BL279" s="52">
        <v>7.0000000000000007E-2</v>
      </c>
      <c r="BM279" s="52">
        <v>0.04</v>
      </c>
      <c r="BN279" s="52">
        <v>0.06</v>
      </c>
      <c r="BO279" s="52">
        <f>((BP279*SUM(BG275:BJ275))-BL279*BG275-BM279*BH275-BN279*BI275)/BJ275</f>
        <v>-0.75194563662374803</v>
      </c>
      <c r="BP279" s="492">
        <v>-0.15</v>
      </c>
      <c r="BQ279" s="52">
        <v>-0.11</v>
      </c>
      <c r="BR279" s="554">
        <v>-0.2</v>
      </c>
      <c r="BS279" s="554">
        <v>-0.44</v>
      </c>
      <c r="BT279" s="52">
        <f>((BU279*SUM(BL275:BO275))-BQ279*BL275-BR279*BM275-BS279*BN275)/BO275</f>
        <v>0.51836996336996333</v>
      </c>
      <c r="BU279" s="492">
        <v>-0.1</v>
      </c>
      <c r="BV279" s="52">
        <v>0.16</v>
      </c>
      <c r="BW279" s="554">
        <v>0.14000000000000001</v>
      </c>
      <c r="BX279" s="554">
        <v>0.44</v>
      </c>
      <c r="BY279" s="52">
        <f>((BZ279*SUM(BQ275:BT275))-BV279*BQ275-BW279*BR275-BX279*BS275)/BT275</f>
        <v>0.48741935483870963</v>
      </c>
      <c r="BZ279" s="492">
        <v>0.3</v>
      </c>
      <c r="CA279" s="52">
        <v>0.03</v>
      </c>
      <c r="CB279" s="522">
        <v>0.24</v>
      </c>
      <c r="CC279" s="554">
        <v>0.36</v>
      </c>
      <c r="CD279" s="52">
        <f>((CE279*SUM(BV275:BY275))-CA279*BV275-CB279*BW275-CC279*BX275)/BY275</f>
        <v>0.2726498127340824</v>
      </c>
      <c r="CE279" s="492">
        <v>0.22</v>
      </c>
      <c r="CF279" s="522">
        <v>0.14000000000000001</v>
      </c>
      <c r="CG279" s="522">
        <v>0.08</v>
      </c>
      <c r="CH279" s="522">
        <v>0.06</v>
      </c>
      <c r="CI279" s="52">
        <f>((CJ279*SUM(CA275:CD275))-CF279*CA275-CG279*CB275-CH279*CC275)/CD275</f>
        <v>1.0239880059970024E-2</v>
      </c>
      <c r="CJ279" s="492">
        <v>7.0000000000000007E-2</v>
      </c>
      <c r="CK279" s="522">
        <v>0.02</v>
      </c>
      <c r="CL279" s="522">
        <v>0.02</v>
      </c>
      <c r="CM279" s="522">
        <v>0.09</v>
      </c>
      <c r="CN279" s="52">
        <f>((CO279*SUM(CF275:CI275))-CK279*CF275-CL279*CG275-CM279*CH275)/CI275</f>
        <v>7.7139323990107173E-2</v>
      </c>
      <c r="CO279" s="492">
        <v>0.05</v>
      </c>
      <c r="CP279" s="522">
        <v>0.04</v>
      </c>
      <c r="CQ279" s="522">
        <v>-0.03</v>
      </c>
      <c r="CR279" s="522">
        <v>-0.19</v>
      </c>
      <c r="CS279" s="52">
        <f>((CT279*SUM(CK275:CN275))-CP279*CK275-CQ279*CL275-CR279*CM275)/CN275</f>
        <v>-0.11613751263902934</v>
      </c>
      <c r="CT279" s="492">
        <v>-7.0000000000000007E-2</v>
      </c>
      <c r="CU279" s="522"/>
      <c r="CV279" s="522"/>
      <c r="CW279" s="522"/>
      <c r="CX279" s="522"/>
      <c r="CY279" s="492"/>
      <c r="CZ279" s="522"/>
      <c r="DA279" s="522"/>
      <c r="DB279" s="522"/>
      <c r="DC279" s="522"/>
      <c r="DD279" s="492"/>
      <c r="DE279" s="522"/>
      <c r="DF279" s="522"/>
      <c r="DG279" s="522"/>
      <c r="DH279" s="522"/>
      <c r="DI279" s="492"/>
    </row>
    <row r="280" spans="1:113" s="545" customFormat="1" ht="12" hidden="1" customHeight="1" outlineLevel="1">
      <c r="A280" s="490" t="str">
        <f t="shared" si="709"/>
        <v xml:space="preserve"> </v>
      </c>
      <c r="B280" s="537" t="s">
        <v>323</v>
      </c>
      <c r="C280" s="112"/>
      <c r="D280" s="52"/>
      <c r="E280" s="112"/>
      <c r="F280" s="52"/>
      <c r="G280" s="112"/>
      <c r="H280" s="52"/>
      <c r="I280" s="112"/>
      <c r="J280" s="52"/>
      <c r="K280" s="112"/>
      <c r="L280" s="52"/>
      <c r="M280" s="112"/>
      <c r="N280" s="52"/>
      <c r="O280" s="112"/>
      <c r="P280" s="52"/>
      <c r="Q280" s="112"/>
      <c r="R280" s="217"/>
      <c r="S280" s="52"/>
      <c r="T280" s="52"/>
      <c r="U280" s="52"/>
      <c r="V280" s="112"/>
      <c r="W280" s="217"/>
      <c r="X280" s="52"/>
      <c r="Y280" s="52"/>
      <c r="Z280" s="52"/>
      <c r="AA280" s="112"/>
      <c r="AB280" s="112"/>
      <c r="AC280" s="217"/>
      <c r="AD280" s="52"/>
      <c r="AE280" s="52"/>
      <c r="AF280" s="52"/>
      <c r="AG280" s="112"/>
      <c r="AH280" s="217"/>
      <c r="AI280" s="52"/>
      <c r="AJ280" s="52"/>
      <c r="AK280" s="52"/>
      <c r="AL280" s="112"/>
      <c r="AM280" s="217"/>
      <c r="AN280" s="52"/>
      <c r="AO280" s="52"/>
      <c r="AP280" s="52"/>
      <c r="AQ280" s="112"/>
      <c r="AR280" s="217"/>
      <c r="AS280" s="52"/>
      <c r="AT280" s="52"/>
      <c r="AU280" s="52"/>
      <c r="AV280" s="112"/>
      <c r="AW280" s="217"/>
      <c r="AX280" s="52"/>
      <c r="AY280" s="52"/>
      <c r="AZ280" s="52"/>
      <c r="BA280" s="112"/>
      <c r="BB280" s="52"/>
      <c r="BC280" s="52"/>
      <c r="BD280" s="52"/>
      <c r="BE280" s="52"/>
      <c r="BF280" s="112"/>
      <c r="BG280" s="217"/>
      <c r="BH280" s="217"/>
      <c r="BI280" s="52"/>
      <c r="BJ280" s="52"/>
      <c r="BK280" s="112"/>
      <c r="BL280" s="52">
        <v>0.28999999999999998</v>
      </c>
      <c r="BM280" s="52">
        <v>0.27</v>
      </c>
      <c r="BN280" s="114">
        <v>0.43</v>
      </c>
      <c r="BO280" s="217" t="s">
        <v>126</v>
      </c>
      <c r="BP280" s="492">
        <v>0.5</v>
      </c>
      <c r="BQ280" s="52">
        <v>1.1599999999999999</v>
      </c>
      <c r="BR280" s="114">
        <v>0.96</v>
      </c>
      <c r="BS280" s="114">
        <v>0.6</v>
      </c>
      <c r="BT280" s="217" t="s">
        <v>126</v>
      </c>
      <c r="BU280" s="492">
        <v>0.67</v>
      </c>
      <c r="BV280" s="52">
        <v>0.02</v>
      </c>
      <c r="BW280" s="114">
        <v>-0.01</v>
      </c>
      <c r="BX280" s="114">
        <v>0.11</v>
      </c>
      <c r="BY280" s="217" t="s">
        <v>126</v>
      </c>
      <c r="BZ280" s="492">
        <v>0.08</v>
      </c>
      <c r="CA280" s="52">
        <v>0.46</v>
      </c>
      <c r="CB280" s="52">
        <v>0.62</v>
      </c>
      <c r="CC280" s="52">
        <v>0.43</v>
      </c>
      <c r="CD280" s="218">
        <v>0.24</v>
      </c>
      <c r="CE280" s="492">
        <v>0.43</v>
      </c>
      <c r="CF280" s="52">
        <v>-0.02</v>
      </c>
      <c r="CG280" s="52">
        <v>7.0000000000000007E-2</v>
      </c>
      <c r="CH280" s="52">
        <v>-0.1</v>
      </c>
      <c r="CI280" s="58" t="s">
        <v>126</v>
      </c>
      <c r="CJ280" s="492">
        <v>-0.05</v>
      </c>
      <c r="CK280" s="52">
        <v>-0.24</v>
      </c>
      <c r="CL280" s="52">
        <v>-0.32</v>
      </c>
      <c r="CM280" s="52">
        <v>-0.25</v>
      </c>
      <c r="CN280" s="52">
        <v>-0.36</v>
      </c>
      <c r="CO280" s="492">
        <v>-0.3</v>
      </c>
      <c r="CP280" s="52">
        <v>-0.13</v>
      </c>
      <c r="CQ280" s="52">
        <v>-0.02</v>
      </c>
      <c r="CR280" s="52">
        <v>-0.06</v>
      </c>
      <c r="CS280" s="52">
        <v>-0.24</v>
      </c>
      <c r="CT280" s="492">
        <v>-0.1</v>
      </c>
      <c r="CU280" s="52"/>
      <c r="CV280" s="52"/>
      <c r="CW280" s="52"/>
      <c r="CX280" s="52"/>
      <c r="CY280" s="492"/>
      <c r="CZ280" s="52"/>
      <c r="DA280" s="52"/>
      <c r="DB280" s="52"/>
      <c r="DC280" s="52"/>
      <c r="DD280" s="492"/>
      <c r="DE280" s="52"/>
      <c r="DF280" s="52"/>
      <c r="DG280" s="52"/>
      <c r="DH280" s="52"/>
      <c r="DI280" s="492"/>
    </row>
    <row r="281" spans="1:113" ht="12" hidden="1" customHeight="1" outlineLevel="1">
      <c r="A281" s="219"/>
      <c r="B281" s="491"/>
      <c r="C281" s="550"/>
      <c r="D281" s="549"/>
      <c r="E281" s="550"/>
      <c r="F281" s="549"/>
      <c r="G281" s="550"/>
      <c r="H281" s="549"/>
      <c r="I281" s="550"/>
      <c r="J281" s="549"/>
      <c r="K281" s="550"/>
      <c r="L281" s="549"/>
      <c r="M281" s="550"/>
      <c r="N281" s="549"/>
      <c r="O281" s="550"/>
      <c r="P281" s="549"/>
      <c r="Q281" s="550"/>
      <c r="R281" s="6"/>
      <c r="S281" s="6"/>
      <c r="T281" s="6"/>
      <c r="U281" s="6"/>
      <c r="V281" s="79"/>
      <c r="W281" s="6"/>
      <c r="X281" s="6"/>
      <c r="Y281" s="6"/>
      <c r="Z281" s="6"/>
      <c r="AA281" s="79"/>
      <c r="AB281" s="79"/>
      <c r="AC281" s="6"/>
      <c r="AD281" s="6"/>
      <c r="AE281" s="6"/>
      <c r="AF281" s="6"/>
      <c r="AG281" s="79"/>
      <c r="AH281" s="6"/>
      <c r="AI281" s="6"/>
      <c r="AJ281" s="6"/>
      <c r="AK281" s="6"/>
      <c r="AL281" s="79"/>
      <c r="AM281" s="6"/>
      <c r="AN281" s="6"/>
      <c r="AO281" s="6"/>
      <c r="AP281" s="6"/>
      <c r="AQ281" s="79"/>
      <c r="AR281" s="6"/>
      <c r="AS281" s="6"/>
      <c r="AT281" s="6"/>
      <c r="AU281" s="6"/>
      <c r="AV281" s="79"/>
      <c r="AW281" s="6"/>
      <c r="AX281" s="6"/>
      <c r="AY281" s="6"/>
      <c r="AZ281" s="6"/>
      <c r="BA281" s="79"/>
      <c r="BB281" s="6"/>
      <c r="BC281" s="6"/>
      <c r="BD281" s="6"/>
      <c r="BE281" s="6"/>
      <c r="BF281" s="79"/>
      <c r="BG281" s="6"/>
      <c r="BH281" s="6"/>
      <c r="BI281" s="6"/>
      <c r="BJ281" s="6"/>
      <c r="BK281" s="79"/>
      <c r="BL281" s="6"/>
      <c r="BM281" s="6"/>
      <c r="BN281" s="6"/>
      <c r="BO281" s="6"/>
      <c r="BP281" s="375"/>
      <c r="BQ281" s="376"/>
      <c r="BR281" s="376"/>
      <c r="BS281" s="376"/>
      <c r="BT281" s="6"/>
      <c r="BU281" s="375"/>
      <c r="BV281" s="376"/>
      <c r="BW281" s="376"/>
      <c r="BX281" s="376"/>
      <c r="BY281" s="6"/>
      <c r="BZ281" s="375"/>
      <c r="CA281" s="376"/>
      <c r="CB281" s="376"/>
      <c r="CC281" s="376"/>
      <c r="CD281" s="376"/>
      <c r="CE281" s="375"/>
      <c r="CF281" s="376"/>
      <c r="CG281" s="376"/>
      <c r="CH281" s="376"/>
      <c r="CI281" s="376"/>
      <c r="CJ281" s="375"/>
      <c r="CK281" s="376"/>
      <c r="CL281" s="376"/>
      <c r="CM281" s="376"/>
      <c r="CN281" s="376"/>
      <c r="CO281" s="375"/>
      <c r="CP281" s="376"/>
      <c r="CQ281" s="376"/>
      <c r="CR281" s="376"/>
      <c r="CS281" s="376"/>
      <c r="CT281" s="375"/>
      <c r="CU281" s="376"/>
      <c r="CV281" s="376"/>
      <c r="CW281" s="376"/>
      <c r="CX281" s="376"/>
      <c r="CY281" s="375"/>
      <c r="CZ281" s="376"/>
      <c r="DA281" s="376"/>
      <c r="DB281" s="376"/>
      <c r="DC281" s="376"/>
      <c r="DD281" s="375"/>
      <c r="DE281" s="376"/>
      <c r="DF281" s="376"/>
      <c r="DG281" s="376"/>
      <c r="DH281" s="376"/>
      <c r="DI281" s="375"/>
    </row>
    <row r="282" spans="1:113" s="7" customFormat="1" ht="12" hidden="1" customHeight="1" outlineLevel="1">
      <c r="A282" s="239" t="str">
        <f t="shared" si="709"/>
        <v xml:space="preserve"> </v>
      </c>
      <c r="B282" s="551" t="s">
        <v>178</v>
      </c>
      <c r="C282" s="36"/>
      <c r="D282" s="43"/>
      <c r="E282" s="36"/>
      <c r="F282" s="43"/>
      <c r="G282" s="36"/>
      <c r="H282" s="43"/>
      <c r="I282" s="36"/>
      <c r="J282" s="43"/>
      <c r="K282" s="36"/>
      <c r="L282" s="43"/>
      <c r="M282" s="36"/>
      <c r="N282" s="43"/>
      <c r="O282" s="36"/>
      <c r="P282" s="43"/>
      <c r="Q282" s="36"/>
      <c r="R282" s="39" t="s">
        <v>126</v>
      </c>
      <c r="S282" s="43" t="s">
        <v>126</v>
      </c>
      <c r="T282" s="43" t="s">
        <v>126</v>
      </c>
      <c r="U282" s="43" t="s">
        <v>126</v>
      </c>
      <c r="V282" s="36" t="s">
        <v>126</v>
      </c>
      <c r="W282" s="39" t="s">
        <v>126</v>
      </c>
      <c r="X282" s="43" t="s">
        <v>126</v>
      </c>
      <c r="Y282" s="43" t="s">
        <v>126</v>
      </c>
      <c r="Z282" s="43" t="s">
        <v>126</v>
      </c>
      <c r="AA282" s="36" t="s">
        <v>126</v>
      </c>
      <c r="AB282" s="36"/>
      <c r="AC282" s="39" t="s">
        <v>126</v>
      </c>
      <c r="AD282" s="43" t="s">
        <v>126</v>
      </c>
      <c r="AE282" s="43" t="s">
        <v>126</v>
      </c>
      <c r="AF282" s="43" t="s">
        <v>126</v>
      </c>
      <c r="AG282" s="36" t="s">
        <v>126</v>
      </c>
      <c r="AH282" s="39" t="s">
        <v>126</v>
      </c>
      <c r="AI282" s="43" t="s">
        <v>126</v>
      </c>
      <c r="AJ282" s="43" t="s">
        <v>126</v>
      </c>
      <c r="AK282" s="43" t="s">
        <v>126</v>
      </c>
      <c r="AL282" s="36" t="s">
        <v>126</v>
      </c>
      <c r="AM282" s="39" t="s">
        <v>126</v>
      </c>
      <c r="AN282" s="43" t="s">
        <v>126</v>
      </c>
      <c r="AO282" s="43" t="s">
        <v>126</v>
      </c>
      <c r="AP282" s="43" t="s">
        <v>126</v>
      </c>
      <c r="AQ282" s="36" t="s">
        <v>126</v>
      </c>
      <c r="AR282" s="43">
        <v>1686</v>
      </c>
      <c r="AS282" s="43">
        <v>1329</v>
      </c>
      <c r="AT282" s="43">
        <v>1434</v>
      </c>
      <c r="AU282" s="43">
        <v>1420</v>
      </c>
      <c r="AV282" s="36">
        <f>SUM(AR282:AU282)</f>
        <v>5869</v>
      </c>
      <c r="AW282" s="43">
        <v>1733</v>
      </c>
      <c r="AX282" s="43">
        <v>1313</v>
      </c>
      <c r="AY282" s="43">
        <v>1428</v>
      </c>
      <c r="AZ282" s="43">
        <v>1443</v>
      </c>
      <c r="BA282" s="36">
        <f>SUM(AW282:AZ282)</f>
        <v>5917</v>
      </c>
      <c r="BB282" s="43">
        <v>1722</v>
      </c>
      <c r="BC282" s="43">
        <v>1525</v>
      </c>
      <c r="BD282" s="43">
        <v>1705</v>
      </c>
      <c r="BE282" s="43">
        <f>BF282-SUM(BB282:BD282)</f>
        <v>1813</v>
      </c>
      <c r="BF282" s="36">
        <v>6765</v>
      </c>
      <c r="BG282" s="43">
        <v>1916</v>
      </c>
      <c r="BH282" s="43">
        <v>1617</v>
      </c>
      <c r="BI282" s="43">
        <v>1785</v>
      </c>
      <c r="BJ282" s="43">
        <f>BK282-SUM(BG282:BI282)</f>
        <v>1758</v>
      </c>
      <c r="BK282" s="36">
        <v>7076</v>
      </c>
      <c r="BL282" s="43">
        <v>2042</v>
      </c>
      <c r="BM282" s="43">
        <v>1794</v>
      </c>
      <c r="BN282" s="43">
        <v>1956</v>
      </c>
      <c r="BO282" s="43">
        <f>BP282-SUM(BL282:BN282)</f>
        <v>782</v>
      </c>
      <c r="BP282" s="36">
        <v>6574</v>
      </c>
      <c r="BQ282" s="43">
        <v>1973</v>
      </c>
      <c r="BR282" s="257">
        <v>1985</v>
      </c>
      <c r="BS282" s="258">
        <v>1805</v>
      </c>
      <c r="BT282" s="43">
        <f>BU282-SUM(BQ282:BS282)</f>
        <v>2049</v>
      </c>
      <c r="BU282" s="36">
        <v>7812</v>
      </c>
      <c r="BV282" s="43">
        <v>2224</v>
      </c>
      <c r="BW282" s="257">
        <v>2112</v>
      </c>
      <c r="BX282" s="258">
        <v>1858</v>
      </c>
      <c r="BY282" s="43">
        <f>BZ282-SUM(BV282:BX282)</f>
        <v>2183</v>
      </c>
      <c r="BZ282" s="36">
        <v>8377</v>
      </c>
      <c r="CA282" s="43">
        <v>2203</v>
      </c>
      <c r="CB282" s="257">
        <v>2242</v>
      </c>
      <c r="CC282" s="369">
        <v>2061</v>
      </c>
      <c r="CD282" s="43">
        <f>CE282-SUM(CA282:CC282)</f>
        <v>2016</v>
      </c>
      <c r="CE282" s="15">
        <v>8522</v>
      </c>
      <c r="CF282" s="257">
        <v>2379</v>
      </c>
      <c r="CG282" s="257">
        <v>2138</v>
      </c>
      <c r="CH282" s="257">
        <v>1966</v>
      </c>
      <c r="CI282" s="43">
        <f>CJ282-SUM(CF282:CH282)</f>
        <v>2079</v>
      </c>
      <c r="CJ282" s="15">
        <v>8562</v>
      </c>
      <c r="CK282" s="257">
        <v>2074</v>
      </c>
      <c r="CL282" s="257">
        <v>2120</v>
      </c>
      <c r="CM282" s="257">
        <v>1817</v>
      </c>
      <c r="CN282" s="43">
        <f>CO282-SUM(CK282:CM282)</f>
        <v>2011</v>
      </c>
      <c r="CO282" s="15">
        <v>8022</v>
      </c>
      <c r="CP282" s="257">
        <v>2261</v>
      </c>
      <c r="CQ282" s="257">
        <v>2188</v>
      </c>
      <c r="CR282" s="257">
        <v>1919</v>
      </c>
      <c r="CS282" s="43">
        <f>CT282-SUM(CP282:CR282)</f>
        <v>2093</v>
      </c>
      <c r="CT282" s="15">
        <v>8461</v>
      </c>
      <c r="CU282" s="237">
        <v>2233</v>
      </c>
      <c r="CV282" s="237"/>
      <c r="CW282" s="237"/>
      <c r="CX282" s="237"/>
      <c r="CY282" s="36"/>
      <c r="CZ282" s="237"/>
      <c r="DA282" s="237"/>
      <c r="DB282" s="237"/>
      <c r="DC282" s="237"/>
      <c r="DD282" s="36"/>
      <c r="DE282" s="237"/>
      <c r="DF282" s="237"/>
      <c r="DG282" s="237"/>
      <c r="DH282" s="237"/>
      <c r="DI282" s="36"/>
    </row>
    <row r="283" spans="1:113" ht="12" hidden="1" customHeight="1" outlineLevel="1">
      <c r="A283" s="219" t="str">
        <f t="shared" si="709"/>
        <v xml:space="preserve"> </v>
      </c>
      <c r="B283" s="491" t="s">
        <v>171</v>
      </c>
      <c r="C283" s="492"/>
      <c r="D283" s="522"/>
      <c r="E283" s="492"/>
      <c r="F283" s="522"/>
      <c r="G283" s="492"/>
      <c r="H283" s="522"/>
      <c r="I283" s="492"/>
      <c r="J283" s="522"/>
      <c r="K283" s="492"/>
      <c r="L283" s="522"/>
      <c r="M283" s="492"/>
      <c r="N283" s="522"/>
      <c r="O283" s="492"/>
      <c r="P283" s="522"/>
      <c r="Q283" s="492"/>
      <c r="R283" s="378" t="s">
        <v>126</v>
      </c>
      <c r="S283" s="522" t="s">
        <v>126</v>
      </c>
      <c r="T283" s="522" t="s">
        <v>126</v>
      </c>
      <c r="U283" s="522" t="s">
        <v>126</v>
      </c>
      <c r="V283" s="492" t="s">
        <v>126</v>
      </c>
      <c r="W283" s="378" t="s">
        <v>126</v>
      </c>
      <c r="X283" s="522" t="s">
        <v>126</v>
      </c>
      <c r="Y283" s="522" t="s">
        <v>126</v>
      </c>
      <c r="Z283" s="522" t="s">
        <v>126</v>
      </c>
      <c r="AA283" s="492" t="s">
        <v>126</v>
      </c>
      <c r="AB283" s="492"/>
      <c r="AC283" s="378" t="s">
        <v>126</v>
      </c>
      <c r="AD283" s="522" t="s">
        <v>126</v>
      </c>
      <c r="AE283" s="522" t="s">
        <v>126</v>
      </c>
      <c r="AF283" s="522" t="s">
        <v>126</v>
      </c>
      <c r="AG283" s="492" t="s">
        <v>126</v>
      </c>
      <c r="AH283" s="378" t="s">
        <v>126</v>
      </c>
      <c r="AI283" s="522" t="s">
        <v>126</v>
      </c>
      <c r="AJ283" s="522" t="s">
        <v>126</v>
      </c>
      <c r="AK283" s="522" t="s">
        <v>126</v>
      </c>
      <c r="AL283" s="492" t="s">
        <v>126</v>
      </c>
      <c r="AM283" s="378" t="s">
        <v>126</v>
      </c>
      <c r="AN283" s="522" t="s">
        <v>126</v>
      </c>
      <c r="AO283" s="522" t="s">
        <v>126</v>
      </c>
      <c r="AP283" s="522" t="s">
        <v>126</v>
      </c>
      <c r="AQ283" s="492" t="s">
        <v>126</v>
      </c>
      <c r="AR283" s="378" t="s">
        <v>126</v>
      </c>
      <c r="AS283" s="522" t="s">
        <v>126</v>
      </c>
      <c r="AT283" s="522" t="s">
        <v>126</v>
      </c>
      <c r="AU283" s="522" t="s">
        <v>126</v>
      </c>
      <c r="AV283" s="492" t="s">
        <v>126</v>
      </c>
      <c r="AW283" s="52">
        <f t="shared" ref="AW283:BD283" si="912">+AW282/AR282-1</f>
        <v>2.787663107947802E-2</v>
      </c>
      <c r="AX283" s="52">
        <f t="shared" si="912"/>
        <v>-1.2039127163280705E-2</v>
      </c>
      <c r="AY283" s="52">
        <f t="shared" si="912"/>
        <v>-4.1841004184099972E-3</v>
      </c>
      <c r="AZ283" s="52">
        <f t="shared" si="912"/>
        <v>1.6197183098591639E-2</v>
      </c>
      <c r="BA283" s="112">
        <f t="shared" si="912"/>
        <v>8.1785653433292804E-3</v>
      </c>
      <c r="BB283" s="52">
        <f t="shared" si="912"/>
        <v>-6.3473744950952593E-3</v>
      </c>
      <c r="BC283" s="52">
        <f t="shared" si="912"/>
        <v>0.16146230007616147</v>
      </c>
      <c r="BD283" s="52">
        <f t="shared" si="912"/>
        <v>0.19397759103641454</v>
      </c>
      <c r="BE283" s="52">
        <f t="shared" ref="BE283:BN283" si="913">+BE282/AZ282-1</f>
        <v>0.25641025641025639</v>
      </c>
      <c r="BF283" s="112">
        <f t="shared" si="913"/>
        <v>0.1433158695284773</v>
      </c>
      <c r="BG283" s="52">
        <f t="shared" si="913"/>
        <v>0.11265969802555165</v>
      </c>
      <c r="BH283" s="52">
        <f t="shared" si="913"/>
        <v>6.032786885245911E-2</v>
      </c>
      <c r="BI283" s="52">
        <f t="shared" si="913"/>
        <v>4.692082111436946E-2</v>
      </c>
      <c r="BJ283" s="52">
        <f t="shared" si="913"/>
        <v>-3.0336458907887498E-2</v>
      </c>
      <c r="BK283" s="112">
        <f t="shared" si="913"/>
        <v>4.5971914264597125E-2</v>
      </c>
      <c r="BL283" s="52">
        <f t="shared" si="913"/>
        <v>6.5762004175365263E-2</v>
      </c>
      <c r="BM283" s="52">
        <f t="shared" si="913"/>
        <v>0.10946196660482377</v>
      </c>
      <c r="BN283" s="52">
        <f t="shared" si="913"/>
        <v>9.5798319327731196E-2</v>
      </c>
      <c r="BO283" s="52">
        <f t="shared" ref="BO283" si="914">+BO282/BJ282-1</f>
        <v>-0.55517633674630262</v>
      </c>
      <c r="BP283" s="112">
        <f t="shared" ref="BP283:CH283" si="915">+BP282/BK282-1</f>
        <v>-7.0944036178631986E-2</v>
      </c>
      <c r="BQ283" s="52">
        <f t="shared" si="915"/>
        <v>-3.3790401567091122E-2</v>
      </c>
      <c r="BR283" s="52">
        <f t="shared" si="915"/>
        <v>0.10646599777034549</v>
      </c>
      <c r="BS283" s="52">
        <f t="shared" si="915"/>
        <v>-7.7198364008179921E-2</v>
      </c>
      <c r="BT283" s="52">
        <f t="shared" si="915"/>
        <v>1.6202046035805626</v>
      </c>
      <c r="BU283" s="112">
        <f t="shared" si="915"/>
        <v>0.18831761484636456</v>
      </c>
      <c r="BV283" s="52">
        <f t="shared" si="915"/>
        <v>0.12721743537759767</v>
      </c>
      <c r="BW283" s="49">
        <f t="shared" ref="BW283" si="916">+BW282/BR282-1</f>
        <v>6.3979848866498656E-2</v>
      </c>
      <c r="BX283" s="52">
        <f t="shared" si="915"/>
        <v>2.9362880886426579E-2</v>
      </c>
      <c r="BY283" s="52">
        <f t="shared" si="915"/>
        <v>6.5397755002440272E-2</v>
      </c>
      <c r="BZ283" s="112">
        <f t="shared" si="915"/>
        <v>7.2324628776241573E-2</v>
      </c>
      <c r="CA283" s="52">
        <f t="shared" si="915"/>
        <v>-9.4424460431654644E-3</v>
      </c>
      <c r="CB283" s="49">
        <f t="shared" si="915"/>
        <v>6.1553030303030276E-2</v>
      </c>
      <c r="CC283" s="52">
        <f t="shared" si="915"/>
        <v>0.10925726587728746</v>
      </c>
      <c r="CD283" s="52">
        <f t="shared" si="915"/>
        <v>-7.6500229042601897E-2</v>
      </c>
      <c r="CE283" s="112">
        <f t="shared" si="915"/>
        <v>1.7309299271815792E-2</v>
      </c>
      <c r="CF283" s="52">
        <f t="shared" si="915"/>
        <v>7.989105764866089E-2</v>
      </c>
      <c r="CG283" s="52">
        <f t="shared" si="915"/>
        <v>-4.6387154326494207E-2</v>
      </c>
      <c r="CH283" s="52">
        <f t="shared" si="915"/>
        <v>-4.6094129063561362E-2</v>
      </c>
      <c r="CI283" s="52">
        <f t="shared" ref="CI283" si="917">+CI282/CD282-1</f>
        <v>3.125E-2</v>
      </c>
      <c r="CJ283" s="112">
        <f t="shared" ref="CJ283:CU283" si="918">+CJ282/CE282-1</f>
        <v>4.6937338652899285E-3</v>
      </c>
      <c r="CK283" s="52">
        <f t="shared" si="918"/>
        <v>-0.12820512820512819</v>
      </c>
      <c r="CL283" s="52">
        <f t="shared" si="918"/>
        <v>-8.4190832553788786E-3</v>
      </c>
      <c r="CM283" s="52">
        <f t="shared" si="918"/>
        <v>-7.5788402848423142E-2</v>
      </c>
      <c r="CN283" s="52">
        <f t="shared" si="918"/>
        <v>-3.2708032708032686E-2</v>
      </c>
      <c r="CO283" s="112">
        <f t="shared" si="918"/>
        <v>-6.306937631394538E-2</v>
      </c>
      <c r="CP283" s="52">
        <f t="shared" si="918"/>
        <v>9.0163934426229497E-2</v>
      </c>
      <c r="CQ283" s="52">
        <f t="shared" si="918"/>
        <v>3.2075471698113311E-2</v>
      </c>
      <c r="CR283" s="52">
        <f t="shared" si="918"/>
        <v>5.6136488717666522E-2</v>
      </c>
      <c r="CS283" s="52">
        <f t="shared" si="918"/>
        <v>4.0775733465937325E-2</v>
      </c>
      <c r="CT283" s="112">
        <f t="shared" si="918"/>
        <v>5.4724507604088757E-2</v>
      </c>
      <c r="CU283" s="52">
        <f t="shared" si="918"/>
        <v>-1.2383900928792602E-2</v>
      </c>
      <c r="CV283" s="376"/>
      <c r="CW283" s="376"/>
      <c r="CX283" s="376"/>
      <c r="CY283" s="375"/>
      <c r="CZ283" s="376"/>
      <c r="DA283" s="376"/>
      <c r="DB283" s="376"/>
      <c r="DC283" s="376"/>
      <c r="DD283" s="375"/>
      <c r="DE283" s="376"/>
      <c r="DF283" s="376"/>
      <c r="DG283" s="376"/>
      <c r="DH283" s="376"/>
      <c r="DI283" s="375"/>
    </row>
    <row r="284" spans="1:113" s="529" customFormat="1" ht="12" hidden="1" customHeight="1" outlineLevel="1">
      <c r="A284" s="490" t="str">
        <f t="shared" si="709"/>
        <v xml:space="preserve"> </v>
      </c>
      <c r="B284" s="526" t="s">
        <v>173</v>
      </c>
      <c r="C284" s="112"/>
      <c r="D284" s="52"/>
      <c r="E284" s="112"/>
      <c r="F284" s="52"/>
      <c r="G284" s="112"/>
      <c r="H284" s="52"/>
      <c r="I284" s="112"/>
      <c r="J284" s="52"/>
      <c r="K284" s="112"/>
      <c r="L284" s="52"/>
      <c r="M284" s="112"/>
      <c r="N284" s="52"/>
      <c r="O284" s="112"/>
      <c r="P284" s="52"/>
      <c r="Q284" s="112"/>
      <c r="R284" s="217" t="s">
        <v>126</v>
      </c>
      <c r="S284" s="52" t="s">
        <v>126</v>
      </c>
      <c r="T284" s="52" t="s">
        <v>126</v>
      </c>
      <c r="U284" s="52" t="s">
        <v>126</v>
      </c>
      <c r="V284" s="112" t="s">
        <v>126</v>
      </c>
      <c r="W284" s="217" t="s">
        <v>126</v>
      </c>
      <c r="X284" s="52" t="s">
        <v>126</v>
      </c>
      <c r="Y284" s="52" t="s">
        <v>126</v>
      </c>
      <c r="Z284" s="52" t="s">
        <v>126</v>
      </c>
      <c r="AA284" s="112" t="s">
        <v>126</v>
      </c>
      <c r="AB284" s="112"/>
      <c r="AC284" s="217" t="s">
        <v>126</v>
      </c>
      <c r="AD284" s="52" t="s">
        <v>126</v>
      </c>
      <c r="AE284" s="52" t="s">
        <v>126</v>
      </c>
      <c r="AF284" s="52" t="s">
        <v>126</v>
      </c>
      <c r="AG284" s="112" t="s">
        <v>126</v>
      </c>
      <c r="AH284" s="217" t="s">
        <v>126</v>
      </c>
      <c r="AI284" s="52" t="s">
        <v>126</v>
      </c>
      <c r="AJ284" s="52" t="s">
        <v>126</v>
      </c>
      <c r="AK284" s="52" t="s">
        <v>126</v>
      </c>
      <c r="AL284" s="112" t="s">
        <v>126</v>
      </c>
      <c r="AM284" s="217" t="s">
        <v>126</v>
      </c>
      <c r="AN284" s="52" t="s">
        <v>126</v>
      </c>
      <c r="AO284" s="52" t="s">
        <v>126</v>
      </c>
      <c r="AP284" s="52" t="s">
        <v>126</v>
      </c>
      <c r="AQ284" s="112" t="s">
        <v>126</v>
      </c>
      <c r="AR284" s="217" t="s">
        <v>126</v>
      </c>
      <c r="AS284" s="52" t="s">
        <v>126</v>
      </c>
      <c r="AT284" s="52" t="s">
        <v>126</v>
      </c>
      <c r="AU284" s="52" t="s">
        <v>126</v>
      </c>
      <c r="AV284" s="112" t="s">
        <v>126</v>
      </c>
      <c r="AW284" s="52">
        <v>0.06</v>
      </c>
      <c r="AX284" s="52">
        <v>0.03</v>
      </c>
      <c r="AY284" s="52">
        <v>0.04</v>
      </c>
      <c r="AZ284" s="52">
        <v>7.0000000000000007E-2</v>
      </c>
      <c r="BA284" s="112">
        <v>0.05</v>
      </c>
      <c r="BB284" s="52">
        <v>0</v>
      </c>
      <c r="BC284" s="52">
        <v>0.12</v>
      </c>
      <c r="BD284" s="52">
        <v>0.09</v>
      </c>
      <c r="BE284" s="52">
        <f>((BF284*SUM(AW282:AZ282))-BB284*AW282-BC284*AX282-BD284*AY282)/AZ282</f>
        <v>0.1297851697851698</v>
      </c>
      <c r="BF284" s="112">
        <v>0.08</v>
      </c>
      <c r="BG284" s="52">
        <v>0.1</v>
      </c>
      <c r="BH284" s="52">
        <v>0.11</v>
      </c>
      <c r="BI284" s="52">
        <v>0.11</v>
      </c>
      <c r="BJ284" s="52">
        <f>((BK284*SUM(BB282:BE282))-BG284*BB282-BH284*BC282-BI284*BD282)/BE282</f>
        <v>4.4870380584666282E-2</v>
      </c>
      <c r="BK284" s="112">
        <v>0.09</v>
      </c>
      <c r="BL284" s="52">
        <v>0.12</v>
      </c>
      <c r="BM284" s="52">
        <v>0.15</v>
      </c>
      <c r="BN284" s="52">
        <v>0.11</v>
      </c>
      <c r="BO284" s="52">
        <f>((BP284*SUM(BG282:BJ282))-BL284*BG282-BM284*BH282-BN284*BI282)/BJ282</f>
        <v>-0.54144482366325375</v>
      </c>
      <c r="BP284" s="112">
        <v>-0.04</v>
      </c>
      <c r="BQ284" s="52">
        <v>-0.04</v>
      </c>
      <c r="BR284" s="554">
        <v>0.06</v>
      </c>
      <c r="BS284" s="554">
        <v>-0.12</v>
      </c>
      <c r="BT284" s="52">
        <f>((BU284*SUM(BL282:BO282))-BQ284*BL282-BR284*BM282-BS284*BN282)/BO282</f>
        <v>1.4438874680306908</v>
      </c>
      <c r="BU284" s="112">
        <v>0.14000000000000001</v>
      </c>
      <c r="BV284" s="52">
        <v>7.0000000000000007E-2</v>
      </c>
      <c r="BW284" s="554">
        <v>0.06</v>
      </c>
      <c r="BX284" s="554">
        <v>0.1</v>
      </c>
      <c r="BY284" s="52">
        <f>((BZ284*SUM(BQ282:BT282))-BV284*BQ282-BW284*BR282-BX284*BS282)/BT282</f>
        <v>0.1676378721327477</v>
      </c>
      <c r="BZ284" s="112">
        <v>0.1</v>
      </c>
      <c r="CA284" s="52">
        <v>0.15</v>
      </c>
      <c r="CB284" s="554">
        <v>0.28000000000000003</v>
      </c>
      <c r="CC284" s="554">
        <v>0.2</v>
      </c>
      <c r="CD284" s="52">
        <f>((CE284*SUM(BV282:BY282))-CA284*BV282-CB284*BW282-CC284*BX282)/BY282</f>
        <v>-1.8327989005955104E-2</v>
      </c>
      <c r="CE284" s="583">
        <v>0.15</v>
      </c>
      <c r="CF284" s="554">
        <v>7.0000000000000007E-2</v>
      </c>
      <c r="CG284" s="554">
        <v>-0.08</v>
      </c>
      <c r="CH284" s="554">
        <v>-0.05</v>
      </c>
      <c r="CI284" s="52">
        <f>((CJ284*SUM(CA282:CD282))-CF284*CA282-CG284*CB282-CH284*CC282)/CD282</f>
        <v>6.3591269841269851E-2</v>
      </c>
      <c r="CJ284" s="583">
        <v>0</v>
      </c>
      <c r="CK284" s="554">
        <v>-0.11</v>
      </c>
      <c r="CL284" s="554">
        <v>-0.04</v>
      </c>
      <c r="CM284" s="554">
        <v>-0.03</v>
      </c>
      <c r="CN284" s="554">
        <v>-0.04</v>
      </c>
      <c r="CO284" s="583">
        <v>-0.06</v>
      </c>
      <c r="CP284" s="554">
        <v>0.04</v>
      </c>
      <c r="CQ284" s="554">
        <v>0</v>
      </c>
      <c r="CR284" s="554">
        <v>-0.04</v>
      </c>
      <c r="CS284" s="52">
        <f>((CT284*SUM(CK282:CN282))-CP284*CK282-CQ284*CL282-CR284*CM282)/CN282</f>
        <v>-5.1118846345101941E-3</v>
      </c>
      <c r="CT284" s="583">
        <v>0</v>
      </c>
      <c r="CU284" s="554">
        <v>-0.01</v>
      </c>
      <c r="CV284" s="586"/>
      <c r="CW284" s="586"/>
      <c r="CX284" s="586"/>
      <c r="CY284" s="587"/>
      <c r="CZ284" s="586"/>
      <c r="DA284" s="586"/>
      <c r="DB284" s="586"/>
      <c r="DC284" s="586"/>
      <c r="DD284" s="587"/>
      <c r="DE284" s="586"/>
      <c r="DF284" s="586"/>
      <c r="DG284" s="586"/>
      <c r="DH284" s="586"/>
      <c r="DI284" s="587"/>
    </row>
    <row r="285" spans="1:113" ht="12" hidden="1" customHeight="1" outlineLevel="1">
      <c r="A285" s="219" t="str">
        <f t="shared" si="709"/>
        <v xml:space="preserve"> </v>
      </c>
      <c r="B285" s="491" t="s">
        <v>141</v>
      </c>
      <c r="C285" s="492"/>
      <c r="D285" s="522"/>
      <c r="E285" s="492"/>
      <c r="F285" s="522"/>
      <c r="G285" s="492"/>
      <c r="H285" s="522"/>
      <c r="I285" s="492"/>
      <c r="J285" s="522"/>
      <c r="K285" s="492"/>
      <c r="L285" s="522"/>
      <c r="M285" s="492"/>
      <c r="N285" s="522"/>
      <c r="O285" s="492"/>
      <c r="P285" s="522"/>
      <c r="Q285" s="492"/>
      <c r="R285" s="378" t="s">
        <v>126</v>
      </c>
      <c r="S285" s="522" t="s">
        <v>126</v>
      </c>
      <c r="T285" s="522" t="s">
        <v>126</v>
      </c>
      <c r="U285" s="522" t="s">
        <v>126</v>
      </c>
      <c r="V285" s="492" t="s">
        <v>126</v>
      </c>
      <c r="W285" s="378" t="s">
        <v>126</v>
      </c>
      <c r="X285" s="522" t="s">
        <v>126</v>
      </c>
      <c r="Y285" s="522" t="s">
        <v>126</v>
      </c>
      <c r="Z285" s="522" t="s">
        <v>126</v>
      </c>
      <c r="AA285" s="492" t="s">
        <v>126</v>
      </c>
      <c r="AB285" s="492"/>
      <c r="AC285" s="378" t="s">
        <v>126</v>
      </c>
      <c r="AD285" s="522" t="s">
        <v>126</v>
      </c>
      <c r="AE285" s="522" t="s">
        <v>126</v>
      </c>
      <c r="AF285" s="522" t="s">
        <v>126</v>
      </c>
      <c r="AG285" s="492" t="s">
        <v>126</v>
      </c>
      <c r="AH285" s="378" t="s">
        <v>126</v>
      </c>
      <c r="AI285" s="522" t="s">
        <v>126</v>
      </c>
      <c r="AJ285" s="522" t="s">
        <v>126</v>
      </c>
      <c r="AK285" s="522" t="s">
        <v>126</v>
      </c>
      <c r="AL285" s="492" t="s">
        <v>126</v>
      </c>
      <c r="AM285" s="378" t="s">
        <v>126</v>
      </c>
      <c r="AN285" s="522" t="s">
        <v>126</v>
      </c>
      <c r="AO285" s="522" t="s">
        <v>126</v>
      </c>
      <c r="AP285" s="522" t="s">
        <v>126</v>
      </c>
      <c r="AQ285" s="492" t="s">
        <v>126</v>
      </c>
      <c r="AR285" s="378" t="s">
        <v>126</v>
      </c>
      <c r="AS285" s="522" t="s">
        <v>126</v>
      </c>
      <c r="AT285" s="522" t="s">
        <v>126</v>
      </c>
      <c r="AU285" s="522" t="s">
        <v>126</v>
      </c>
      <c r="AV285" s="492" t="s">
        <v>126</v>
      </c>
      <c r="AW285" s="52">
        <f t="shared" ref="AW285:BG285" si="919">(1+AW283)/(1+AW284)-1</f>
        <v>-3.0305065019360367E-2</v>
      </c>
      <c r="AX285" s="52">
        <f t="shared" si="919"/>
        <v>-4.0814686566291947E-2</v>
      </c>
      <c r="AY285" s="52">
        <f t="shared" si="919"/>
        <v>-4.2484711940778852E-2</v>
      </c>
      <c r="AZ285" s="52">
        <f t="shared" si="919"/>
        <v>-5.0283006449914458E-2</v>
      </c>
      <c r="BA285" s="112">
        <f t="shared" si="919"/>
        <v>-3.9829937768257828E-2</v>
      </c>
      <c r="BB285" s="52">
        <f t="shared" si="919"/>
        <v>-6.3473744950952593E-3</v>
      </c>
      <c r="BC285" s="52">
        <f t="shared" si="919"/>
        <v>3.7019910782286836E-2</v>
      </c>
      <c r="BD285" s="52">
        <f t="shared" si="919"/>
        <v>9.539228535450861E-2</v>
      </c>
      <c r="BE285" s="52">
        <f t="shared" si="919"/>
        <v>0.11207890669087517</v>
      </c>
      <c r="BF285" s="112">
        <f t="shared" si="919"/>
        <v>5.8625805118960317E-2</v>
      </c>
      <c r="BG285" s="52">
        <f t="shared" si="919"/>
        <v>1.1508816386865073E-2</v>
      </c>
      <c r="BH285" s="52">
        <f>(1+BH283)/(1+BH284)-1</f>
        <v>-4.4749667700487383E-2</v>
      </c>
      <c r="BI285" s="52">
        <f>(1+BI283)/(1+BI284)-1</f>
        <v>-5.6828089086153777E-2</v>
      </c>
      <c r="BJ285" s="52">
        <f t="shared" ref="BJ285" si="920">(1+BJ283)/(1+BJ284)-1</f>
        <v>-7.1977195344049338E-2</v>
      </c>
      <c r="BK285" s="112">
        <f t="shared" ref="BK285:BL285" si="921">(1+BK283)/(1+BK284)-1</f>
        <v>-4.039273920679165E-2</v>
      </c>
      <c r="BL285" s="52">
        <f t="shared" si="921"/>
        <v>-4.8426781986281142E-2</v>
      </c>
      <c r="BM285" s="52">
        <f>(1+BM283)/(1+BM284)-1</f>
        <v>-3.5250463821892342E-2</v>
      </c>
      <c r="BN285" s="52">
        <f>(1+BN283)/(1+BN284)-1</f>
        <v>-1.2794306911953934E-2</v>
      </c>
      <c r="BO285" s="52">
        <f t="shared" ref="BO285:BS285" si="922">(1+BO283)/(1+BO284)-1</f>
        <v>-2.9945170814002386E-2</v>
      </c>
      <c r="BP285" s="112">
        <f t="shared" si="922"/>
        <v>-3.2233371019408263E-2</v>
      </c>
      <c r="BQ285" s="52">
        <f t="shared" si="922"/>
        <v>6.4683317009468499E-3</v>
      </c>
      <c r="BR285" s="52">
        <f t="shared" si="922"/>
        <v>4.3835846953156121E-2</v>
      </c>
      <c r="BS285" s="52">
        <f t="shared" si="922"/>
        <v>4.8638222717977353E-2</v>
      </c>
      <c r="BT285" s="52">
        <f t="shared" ref="BT285" si="923">(1+BT283)/(1+BT284)-1</f>
        <v>7.2146176064297185E-2</v>
      </c>
      <c r="BU285" s="112">
        <f t="shared" ref="BU285:CU285" si="924">(1+BU283)/(1+BU284)-1</f>
        <v>4.2383872672249412E-2</v>
      </c>
      <c r="BV285" s="52">
        <f t="shared" si="924"/>
        <v>5.347423867065193E-2</v>
      </c>
      <c r="BW285" s="52">
        <f t="shared" si="924"/>
        <v>3.7545744023572691E-3</v>
      </c>
      <c r="BX285" s="52">
        <f t="shared" si="924"/>
        <v>-6.4215562830521322E-2</v>
      </c>
      <c r="BY285" s="52">
        <f t="shared" si="924"/>
        <v>-8.7561494509903803E-2</v>
      </c>
      <c r="BZ285" s="112">
        <f t="shared" si="924"/>
        <v>-2.5159428385234994E-2</v>
      </c>
      <c r="CA285" s="52">
        <f t="shared" si="924"/>
        <v>-0.13864560525492642</v>
      </c>
      <c r="CB285" s="52">
        <f t="shared" si="924"/>
        <v>-0.17066169507575757</v>
      </c>
      <c r="CC285" s="52">
        <f t="shared" si="924"/>
        <v>-7.5618945102260415E-2</v>
      </c>
      <c r="CD285" s="52">
        <f t="shared" ref="CD285" si="925">(1+CD283)/(1+CD284)-1</f>
        <v>-5.9258325983788995E-2</v>
      </c>
      <c r="CE285" s="112">
        <f t="shared" si="924"/>
        <v>-0.11538321802450791</v>
      </c>
      <c r="CF285" s="52">
        <f t="shared" si="924"/>
        <v>9.2439791108980263E-3</v>
      </c>
      <c r="CG285" s="52">
        <f t="shared" si="924"/>
        <v>3.6535701819027988E-2</v>
      </c>
      <c r="CH285" s="52">
        <f t="shared" si="924"/>
        <v>4.1114430909880983E-3</v>
      </c>
      <c r="CI285" s="52">
        <f t="shared" si="924"/>
        <v>-3.0407611230295783E-2</v>
      </c>
      <c r="CJ285" s="112">
        <f t="shared" ref="CJ285" si="926">(1+CJ283)/(1+CJ284)-1</f>
        <v>4.6937338652899285E-3</v>
      </c>
      <c r="CK285" s="52">
        <f t="shared" si="924"/>
        <v>-2.0455200230481085E-2</v>
      </c>
      <c r="CL285" s="52">
        <f t="shared" si="924"/>
        <v>3.2896788275647015E-2</v>
      </c>
      <c r="CM285" s="52">
        <f t="shared" si="924"/>
        <v>-4.7204539018992908E-2</v>
      </c>
      <c r="CN285" s="52">
        <f t="shared" si="924"/>
        <v>7.5957992624660076E-3</v>
      </c>
      <c r="CO285" s="112">
        <f t="shared" ref="CO285" si="927">(1+CO283)/(1+CO284)-1</f>
        <v>-3.2652939510057211E-3</v>
      </c>
      <c r="CP285" s="52">
        <f t="shared" si="924"/>
        <v>4.823455233291285E-2</v>
      </c>
      <c r="CQ285" s="52">
        <f t="shared" si="924"/>
        <v>3.2075471698113311E-2</v>
      </c>
      <c r="CR285" s="52">
        <f t="shared" si="924"/>
        <v>0.10014217574756934</v>
      </c>
      <c r="CS285" s="52">
        <f t="shared" si="924"/>
        <v>4.612339557759193E-2</v>
      </c>
      <c r="CT285" s="112">
        <f t="shared" si="924"/>
        <v>5.4724507604088757E-2</v>
      </c>
      <c r="CU285" s="52">
        <f t="shared" si="924"/>
        <v>-2.4079807361541139E-3</v>
      </c>
      <c r="CV285" s="376"/>
      <c r="CW285" s="376"/>
      <c r="CX285" s="376"/>
      <c r="CY285" s="375"/>
      <c r="CZ285" s="376"/>
      <c r="DA285" s="376"/>
      <c r="DB285" s="376"/>
      <c r="DC285" s="376"/>
      <c r="DD285" s="375"/>
      <c r="DE285" s="376"/>
      <c r="DF285" s="376"/>
      <c r="DG285" s="376"/>
      <c r="DH285" s="376"/>
      <c r="DI285" s="375"/>
    </row>
    <row r="286" spans="1:113" ht="12" hidden="1" customHeight="1" outlineLevel="1">
      <c r="A286" s="219"/>
      <c r="B286" s="17"/>
      <c r="C286" s="79"/>
      <c r="D286" s="6"/>
      <c r="E286" s="79"/>
      <c r="F286" s="6"/>
      <c r="G286" s="79"/>
      <c r="H286" s="6"/>
      <c r="I286" s="79"/>
      <c r="J286" s="6"/>
      <c r="K286" s="79"/>
      <c r="L286" s="6"/>
      <c r="M286" s="79"/>
      <c r="N286" s="6"/>
      <c r="O286" s="79"/>
      <c r="P286" s="6"/>
      <c r="Q286" s="79"/>
      <c r="R286" s="6"/>
      <c r="S286" s="6"/>
      <c r="T286" s="6"/>
      <c r="U286" s="6"/>
      <c r="V286" s="79"/>
      <c r="W286" s="6"/>
      <c r="X286" s="6"/>
      <c r="Y286" s="6"/>
      <c r="Z286" s="6"/>
      <c r="AA286" s="79"/>
      <c r="AB286" s="79"/>
      <c r="AC286" s="6"/>
      <c r="AD286" s="6"/>
      <c r="AE286" s="6"/>
      <c r="AF286" s="6"/>
      <c r="AG286" s="79"/>
      <c r="AH286" s="6"/>
      <c r="AI286" s="6"/>
      <c r="AJ286" s="6"/>
      <c r="AK286" s="6"/>
      <c r="AL286" s="79"/>
      <c r="AM286" s="6"/>
      <c r="AN286" s="6"/>
      <c r="AO286" s="6"/>
      <c r="AP286" s="6"/>
      <c r="AQ286" s="79"/>
      <c r="AR286" s="6"/>
      <c r="AS286" s="6"/>
      <c r="AT286" s="6"/>
      <c r="AU286" s="6"/>
      <c r="AV286" s="79"/>
      <c r="AW286" s="6"/>
      <c r="AX286" s="6"/>
      <c r="AY286" s="6"/>
      <c r="AZ286" s="6"/>
      <c r="BA286" s="79"/>
      <c r="BB286" s="6"/>
      <c r="BC286" s="6"/>
      <c r="BD286" s="6"/>
      <c r="BE286" s="6"/>
      <c r="BF286" s="79"/>
      <c r="BG286" s="6"/>
      <c r="BH286" s="6"/>
      <c r="BI286" s="6"/>
      <c r="BJ286" s="6"/>
      <c r="BK286" s="79"/>
      <c r="BL286" s="6"/>
      <c r="BM286" s="6"/>
      <c r="BN286" s="6"/>
      <c r="BO286" s="6"/>
      <c r="BP286" s="79"/>
      <c r="BQ286" s="6"/>
      <c r="BR286" s="6"/>
      <c r="BS286" s="6"/>
      <c r="BT286" s="6"/>
      <c r="BU286" s="79"/>
      <c r="BV286" s="6"/>
      <c r="BW286" s="6"/>
      <c r="BX286" s="6"/>
      <c r="BY286" s="6"/>
      <c r="BZ286" s="79"/>
      <c r="CA286" s="6"/>
      <c r="CB286" s="6"/>
      <c r="CC286" s="6"/>
      <c r="CD286" s="6"/>
      <c r="CE286" s="79"/>
      <c r="CF286" s="6"/>
      <c r="CG286" s="6"/>
      <c r="CH286" s="6"/>
      <c r="CI286" s="6"/>
      <c r="CJ286" s="79"/>
      <c r="CK286" s="6"/>
      <c r="CL286" s="6"/>
      <c r="CM286" s="6"/>
      <c r="CN286" s="6"/>
      <c r="CO286" s="79"/>
      <c r="CP286" s="6"/>
      <c r="CQ286" s="6"/>
      <c r="CR286" s="6"/>
      <c r="CS286" s="6"/>
      <c r="CT286" s="79"/>
      <c r="CU286" s="6"/>
      <c r="CV286" s="6"/>
      <c r="CW286" s="6"/>
      <c r="CX286" s="6"/>
      <c r="CY286" s="79"/>
      <c r="CZ286" s="6"/>
      <c r="DA286" s="6"/>
      <c r="DB286" s="6"/>
      <c r="DC286" s="6"/>
      <c r="DD286" s="79"/>
      <c r="DE286" s="6"/>
      <c r="DF286" s="6"/>
      <c r="DG286" s="6"/>
      <c r="DH286" s="6"/>
      <c r="DI286" s="79"/>
    </row>
    <row r="287" spans="1:113" ht="12" hidden="1" customHeight="1" outlineLevel="1">
      <c r="A287" s="219" t="str">
        <f t="shared" si="709"/>
        <v xml:space="preserve"> </v>
      </c>
      <c r="B287" s="17" t="s">
        <v>307</v>
      </c>
      <c r="C287" s="41"/>
      <c r="D287" s="9"/>
      <c r="E287" s="41"/>
      <c r="F287" s="9"/>
      <c r="G287" s="41"/>
      <c r="H287" s="9"/>
      <c r="I287" s="41"/>
      <c r="J287" s="9"/>
      <c r="K287" s="41"/>
      <c r="L287" s="9"/>
      <c r="M287" s="41"/>
      <c r="N287" s="9"/>
      <c r="O287" s="41"/>
      <c r="P287" s="9"/>
      <c r="Q287" s="41"/>
      <c r="R287" s="601" t="s">
        <v>126</v>
      </c>
      <c r="S287" s="602" t="s">
        <v>126</v>
      </c>
      <c r="T287" s="602" t="s">
        <v>126</v>
      </c>
      <c r="U287" s="602" t="s">
        <v>126</v>
      </c>
      <c r="V287" s="603" t="s">
        <v>126</v>
      </c>
      <c r="W287" s="601" t="s">
        <v>126</v>
      </c>
      <c r="X287" s="602" t="s">
        <v>126</v>
      </c>
      <c r="Y287" s="602" t="s">
        <v>126</v>
      </c>
      <c r="Z287" s="602" t="s">
        <v>126</v>
      </c>
      <c r="AA287" s="603" t="s">
        <v>126</v>
      </c>
      <c r="AB287" s="603"/>
      <c r="AC287" s="601" t="s">
        <v>126</v>
      </c>
      <c r="AD287" s="602" t="s">
        <v>126</v>
      </c>
      <c r="AE287" s="602" t="s">
        <v>126</v>
      </c>
      <c r="AF287" s="602" t="s">
        <v>126</v>
      </c>
      <c r="AG287" s="603" t="s">
        <v>126</v>
      </c>
      <c r="AH287" s="601" t="s">
        <v>126</v>
      </c>
      <c r="AI287" s="602" t="s">
        <v>126</v>
      </c>
      <c r="AJ287" s="602" t="s">
        <v>126</v>
      </c>
      <c r="AK287" s="602" t="s">
        <v>126</v>
      </c>
      <c r="AL287" s="603" t="s">
        <v>126</v>
      </c>
      <c r="AM287" s="601" t="s">
        <v>126</v>
      </c>
      <c r="AN287" s="602" t="s">
        <v>126</v>
      </c>
      <c r="AO287" s="602" t="s">
        <v>126</v>
      </c>
      <c r="AP287" s="602" t="s">
        <v>126</v>
      </c>
      <c r="AQ287" s="603" t="s">
        <v>126</v>
      </c>
      <c r="AR287" s="601" t="s">
        <v>126</v>
      </c>
      <c r="AS287" s="602" t="s">
        <v>126</v>
      </c>
      <c r="AT287" s="602" t="s">
        <v>126</v>
      </c>
      <c r="AU287" s="602" t="s">
        <v>126</v>
      </c>
      <c r="AV287" s="603" t="s">
        <v>126</v>
      </c>
      <c r="AW287" s="601" t="s">
        <v>126</v>
      </c>
      <c r="AX287" s="602" t="s">
        <v>126</v>
      </c>
      <c r="AY287" s="602" t="s">
        <v>126</v>
      </c>
      <c r="AZ287" s="602" t="s">
        <v>126</v>
      </c>
      <c r="BA287" s="603" t="s">
        <v>126</v>
      </c>
      <c r="BB287" s="9">
        <v>-2.7</v>
      </c>
      <c r="BC287" s="9">
        <v>-2.4</v>
      </c>
      <c r="BD287" s="9">
        <v>-1.1000000000000001</v>
      </c>
      <c r="BE287" s="9">
        <f>+BF287*4-BD287-BC287-BB287</f>
        <v>-0.99999999999999956</v>
      </c>
      <c r="BF287" s="41">
        <v>-1.8</v>
      </c>
      <c r="BG287" s="9">
        <v>-0.1</v>
      </c>
      <c r="BH287" s="9">
        <v>2.5</v>
      </c>
      <c r="BI287" s="9">
        <v>3.8</v>
      </c>
      <c r="BJ287" s="9">
        <f>+BK287*4-BI287-BH287-BG287</f>
        <v>4.9999999999999991</v>
      </c>
      <c r="BK287" s="41">
        <v>2.8</v>
      </c>
      <c r="BL287" s="9">
        <v>3</v>
      </c>
      <c r="BM287" s="9">
        <v>-1</v>
      </c>
      <c r="BN287" s="9">
        <v>-3</v>
      </c>
      <c r="BO287" s="9" t="s">
        <v>322</v>
      </c>
      <c r="BP287" s="79">
        <v>-0.24</v>
      </c>
      <c r="BQ287" s="9">
        <v>-3.6</v>
      </c>
      <c r="BR287" s="6">
        <v>-2</v>
      </c>
      <c r="BS287" s="582">
        <v>-1.1000000000000001</v>
      </c>
      <c r="BT287" s="9" t="s">
        <v>322</v>
      </c>
      <c r="BU287" s="79">
        <v>-1.1000000000000001</v>
      </c>
      <c r="BV287" s="9">
        <v>2.6</v>
      </c>
      <c r="BW287" s="6">
        <v>6.7</v>
      </c>
      <c r="BX287" s="582">
        <v>5.9</v>
      </c>
      <c r="BY287" s="9" t="s">
        <v>322</v>
      </c>
      <c r="BZ287" s="79">
        <v>5.7</v>
      </c>
      <c r="CA287" s="9">
        <v>3.8</v>
      </c>
      <c r="CB287" s="6">
        <v>-0.7</v>
      </c>
      <c r="CC287" s="6">
        <v>-2.5</v>
      </c>
      <c r="CD287" s="9" t="s">
        <v>322</v>
      </c>
      <c r="CE287" s="79">
        <v>-0.6</v>
      </c>
      <c r="CF287" s="588">
        <v>-3.1</v>
      </c>
      <c r="CG287" s="588">
        <v>-1.4</v>
      </c>
      <c r="CH287" s="604">
        <v>0</v>
      </c>
      <c r="CI287" s="9" t="s">
        <v>322</v>
      </c>
      <c r="CJ287" s="79">
        <v>-1.1000000000000001</v>
      </c>
      <c r="CK287" s="588" t="s">
        <v>360</v>
      </c>
      <c r="CL287" s="588" t="s">
        <v>364</v>
      </c>
      <c r="CM287" s="588" t="s">
        <v>371</v>
      </c>
      <c r="CN287" s="9" t="s">
        <v>322</v>
      </c>
      <c r="CO287" s="590">
        <v>-1</v>
      </c>
      <c r="CP287" s="6"/>
      <c r="CQ287" s="6"/>
      <c r="CR287" s="6"/>
      <c r="CS287" s="6"/>
      <c r="CT287" s="79">
        <v>-1.4</v>
      </c>
      <c r="CU287" s="6"/>
      <c r="CV287" s="6"/>
      <c r="CW287" s="6"/>
      <c r="CX287" s="6"/>
      <c r="CY287" s="79"/>
      <c r="CZ287" s="6"/>
      <c r="DA287" s="6"/>
      <c r="DB287" s="6"/>
      <c r="DC287" s="6"/>
      <c r="DD287" s="79"/>
      <c r="DE287" s="6"/>
      <c r="DF287" s="6"/>
      <c r="DG287" s="6"/>
      <c r="DH287" s="6"/>
      <c r="DI287" s="79"/>
    </row>
    <row r="288" spans="1:113" ht="12" hidden="1" customHeight="1" outlineLevel="1">
      <c r="A288" s="219" t="str">
        <f t="shared" si="709"/>
        <v xml:space="preserve"> </v>
      </c>
      <c r="B288" s="17" t="s">
        <v>168</v>
      </c>
      <c r="C288" s="79"/>
      <c r="D288" s="6"/>
      <c r="E288" s="79"/>
      <c r="F288" s="6"/>
      <c r="G288" s="79"/>
      <c r="H288" s="6"/>
      <c r="I288" s="79"/>
      <c r="J288" s="6"/>
      <c r="K288" s="79"/>
      <c r="L288" s="6"/>
      <c r="M288" s="79"/>
      <c r="N288" s="6"/>
      <c r="O288" s="79"/>
      <c r="P288" s="6"/>
      <c r="Q288" s="79"/>
      <c r="R288" s="548" t="s">
        <v>126</v>
      </c>
      <c r="S288" s="549" t="s">
        <v>126</v>
      </c>
      <c r="T288" s="549" t="s">
        <v>126</v>
      </c>
      <c r="U288" s="549" t="s">
        <v>126</v>
      </c>
      <c r="V288" s="550" t="s">
        <v>126</v>
      </c>
      <c r="W288" s="548" t="s">
        <v>126</v>
      </c>
      <c r="X288" s="549" t="s">
        <v>126</v>
      </c>
      <c r="Y288" s="549" t="s">
        <v>126</v>
      </c>
      <c r="Z288" s="549" t="s">
        <v>126</v>
      </c>
      <c r="AA288" s="550" t="s">
        <v>126</v>
      </c>
      <c r="AB288" s="550"/>
      <c r="AC288" s="548" t="s">
        <v>126</v>
      </c>
      <c r="AD288" s="549" t="s">
        <v>126</v>
      </c>
      <c r="AE288" s="549" t="s">
        <v>126</v>
      </c>
      <c r="AF288" s="549" t="s">
        <v>126</v>
      </c>
      <c r="AG288" s="550" t="s">
        <v>126</v>
      </c>
      <c r="AH288" s="548" t="s">
        <v>126</v>
      </c>
      <c r="AI288" s="549" t="s">
        <v>126</v>
      </c>
      <c r="AJ288" s="549" t="s">
        <v>126</v>
      </c>
      <c r="AK288" s="549" t="s">
        <v>126</v>
      </c>
      <c r="AL288" s="550" t="s">
        <v>126</v>
      </c>
      <c r="AM288" s="548" t="s">
        <v>126</v>
      </c>
      <c r="AN288" s="549" t="s">
        <v>126</v>
      </c>
      <c r="AO288" s="549" t="s">
        <v>126</v>
      </c>
      <c r="AP288" s="549" t="s">
        <v>126</v>
      </c>
      <c r="AQ288" s="550" t="s">
        <v>126</v>
      </c>
      <c r="AR288" s="548" t="s">
        <v>126</v>
      </c>
      <c r="AS288" s="549" t="s">
        <v>126</v>
      </c>
      <c r="AT288" s="549" t="s">
        <v>126</v>
      </c>
      <c r="AU288" s="549" t="s">
        <v>126</v>
      </c>
      <c r="AV288" s="550" t="s">
        <v>126</v>
      </c>
      <c r="AW288" s="548" t="s">
        <v>126</v>
      </c>
      <c r="AX288" s="549" t="s">
        <v>126</v>
      </c>
      <c r="AY288" s="549" t="s">
        <v>126</v>
      </c>
      <c r="AZ288" s="549" t="s">
        <v>126</v>
      </c>
      <c r="BA288" s="550" t="s">
        <v>126</v>
      </c>
      <c r="BB288" s="6" t="s">
        <v>161</v>
      </c>
      <c r="BC288" s="6" t="s">
        <v>161</v>
      </c>
      <c r="BD288" s="6" t="s">
        <v>163</v>
      </c>
      <c r="BE288" s="605">
        <f>((BE310/BE251)-(AZ310/AZ251))*100-BE287</f>
        <v>-0.98798078783560861</v>
      </c>
      <c r="BF288" s="590">
        <f>((BF310/BF251)-(BA310/BA251))*100-BF287</f>
        <v>6.3201352616130801E-2</v>
      </c>
      <c r="BG288" s="6" t="s">
        <v>309</v>
      </c>
      <c r="BH288" s="6" t="s">
        <v>309</v>
      </c>
      <c r="BI288" s="6" t="s">
        <v>163</v>
      </c>
      <c r="BJ288" s="605">
        <f>((BJ310/BJ251)-(BE310/BE251))*100-BJ287</f>
        <v>0.10354743931386423</v>
      </c>
      <c r="BK288" s="590">
        <f>((BK310/BK251)-(BF310/BF251))*100-BK287</f>
        <v>0.36063835202433392</v>
      </c>
      <c r="BL288" s="6" t="s">
        <v>163</v>
      </c>
      <c r="BM288" s="6" t="s">
        <v>309</v>
      </c>
      <c r="BN288" s="6" t="s">
        <v>278</v>
      </c>
      <c r="BO288" s="605" t="s">
        <v>322</v>
      </c>
      <c r="BP288" s="590" t="s">
        <v>163</v>
      </c>
      <c r="BQ288" s="6" t="s">
        <v>309</v>
      </c>
      <c r="BR288" s="6" t="s">
        <v>309</v>
      </c>
      <c r="BS288" s="582" t="s">
        <v>309</v>
      </c>
      <c r="BT288" s="605" t="s">
        <v>322</v>
      </c>
      <c r="BU288" s="79" t="s">
        <v>309</v>
      </c>
      <c r="BV288" s="6" t="s">
        <v>163</v>
      </c>
      <c r="BW288" s="6" t="s">
        <v>163</v>
      </c>
      <c r="BX288" s="582" t="s">
        <v>163</v>
      </c>
      <c r="BY288" s="605" t="s">
        <v>322</v>
      </c>
      <c r="BZ288" s="79" t="s">
        <v>163</v>
      </c>
      <c r="CA288" s="6" t="s">
        <v>163</v>
      </c>
      <c r="CB288" s="6" t="s">
        <v>309</v>
      </c>
      <c r="CC288" s="6" t="s">
        <v>163</v>
      </c>
      <c r="CD288" s="605" t="s">
        <v>322</v>
      </c>
      <c r="CE288" s="81">
        <v>0.04</v>
      </c>
      <c r="CF288" s="6" t="s">
        <v>163</v>
      </c>
      <c r="CG288" s="6" t="s">
        <v>163</v>
      </c>
      <c r="CH288" s="6" t="s">
        <v>163</v>
      </c>
      <c r="CI288" s="605" t="s">
        <v>322</v>
      </c>
      <c r="CJ288" s="81">
        <v>0.03</v>
      </c>
      <c r="CK288" s="6" t="s">
        <v>309</v>
      </c>
      <c r="CL288" s="606">
        <v>-0.01</v>
      </c>
      <c r="CM288" s="606" t="s">
        <v>372</v>
      </c>
      <c r="CN288" s="605" t="s">
        <v>322</v>
      </c>
      <c r="CO288" s="81"/>
      <c r="CP288" s="6"/>
      <c r="CQ288" s="6"/>
      <c r="CR288" s="6"/>
      <c r="CS288" s="6"/>
      <c r="CT288" s="81"/>
      <c r="CU288" s="6"/>
      <c r="CV288" s="6"/>
      <c r="CW288" s="6"/>
      <c r="CX288" s="6"/>
      <c r="CY288" s="79"/>
      <c r="CZ288" s="6"/>
      <c r="DA288" s="6"/>
      <c r="DB288" s="6"/>
      <c r="DC288" s="6"/>
      <c r="DD288" s="79"/>
      <c r="DE288" s="6"/>
      <c r="DF288" s="6"/>
      <c r="DG288" s="6"/>
      <c r="DH288" s="6"/>
      <c r="DI288" s="79"/>
    </row>
    <row r="289" spans="1:113" ht="12" hidden="1" customHeight="1" outlineLevel="1">
      <c r="A289" s="219"/>
      <c r="B289" s="17"/>
      <c r="C289" s="79"/>
      <c r="D289" s="6"/>
      <c r="E289" s="79"/>
      <c r="F289" s="6"/>
      <c r="G289" s="79"/>
      <c r="H289" s="6"/>
      <c r="I289" s="79"/>
      <c r="J289" s="6"/>
      <c r="K289" s="79"/>
      <c r="L289" s="6"/>
      <c r="M289" s="79"/>
      <c r="N289" s="6"/>
      <c r="O289" s="79"/>
      <c r="P289" s="6"/>
      <c r="Q289" s="79"/>
      <c r="R289" s="6"/>
      <c r="S289" s="6"/>
      <c r="T289" s="6"/>
      <c r="U289" s="6"/>
      <c r="V289" s="79"/>
      <c r="W289" s="6"/>
      <c r="X289" s="6"/>
      <c r="Y289" s="6"/>
      <c r="Z289" s="6"/>
      <c r="AA289" s="79"/>
      <c r="AB289" s="79"/>
      <c r="AC289" s="6"/>
      <c r="AD289" s="6"/>
      <c r="AE289" s="6"/>
      <c r="AF289" s="6"/>
      <c r="AG289" s="79"/>
      <c r="AH289" s="6"/>
      <c r="AI289" s="6"/>
      <c r="AJ289" s="6"/>
      <c r="AK289" s="6"/>
      <c r="AL289" s="79"/>
      <c r="AM289" s="6"/>
      <c r="AN289" s="6"/>
      <c r="AO289" s="6"/>
      <c r="AP289" s="6"/>
      <c r="AQ289" s="79"/>
      <c r="AR289" s="6"/>
      <c r="AS289" s="6"/>
      <c r="AT289" s="6"/>
      <c r="AU289" s="6"/>
      <c r="AV289" s="79"/>
      <c r="AW289" s="6"/>
      <c r="AX289" s="6"/>
      <c r="AY289" s="6"/>
      <c r="AZ289" s="6"/>
      <c r="BA289" s="79"/>
      <c r="BB289" s="6"/>
      <c r="BC289" s="6"/>
      <c r="BD289" s="6"/>
      <c r="BE289" s="6"/>
      <c r="BF289" s="79"/>
      <c r="BG289" s="6"/>
      <c r="BH289" s="6"/>
      <c r="BI289" s="6"/>
      <c r="BJ289" s="6"/>
      <c r="BK289" s="79"/>
      <c r="BL289" s="6"/>
      <c r="BM289" s="6"/>
      <c r="BN289" s="6"/>
      <c r="BO289" s="6"/>
      <c r="BP289" s="79"/>
      <c r="BQ289" s="6"/>
      <c r="BR289" s="6"/>
      <c r="BS289" s="6"/>
      <c r="BT289" s="6"/>
      <c r="BU289" s="79"/>
      <c r="BV289" s="6"/>
      <c r="BW289" s="6"/>
      <c r="BX289" s="6"/>
      <c r="BY289" s="6"/>
      <c r="BZ289" s="79"/>
      <c r="CA289" s="6"/>
      <c r="CB289" s="6"/>
      <c r="CC289" s="6"/>
      <c r="CD289" s="6"/>
      <c r="CE289" s="79"/>
      <c r="CF289" s="6"/>
      <c r="CG289" s="6"/>
      <c r="CH289" s="6"/>
      <c r="CI289" s="6"/>
      <c r="CJ289" s="79"/>
      <c r="CK289" s="6"/>
      <c r="CL289" s="6"/>
      <c r="CM289" s="6"/>
      <c r="CN289" s="6"/>
      <c r="CO289" s="79"/>
      <c r="CP289" s="6"/>
      <c r="CS289" s="591"/>
      <c r="CT289" s="590"/>
      <c r="CU289" s="591"/>
      <c r="CV289" s="591"/>
      <c r="CW289" s="591"/>
      <c r="CX289" s="591"/>
      <c r="CY289" s="590"/>
      <c r="CZ289" s="591"/>
      <c r="DA289" s="591"/>
      <c r="DB289" s="6"/>
      <c r="DC289" s="6"/>
      <c r="DD289" s="79"/>
      <c r="DE289" s="591"/>
      <c r="DF289" s="591"/>
      <c r="DG289" s="6"/>
      <c r="DH289" s="6"/>
      <c r="DI289" s="79"/>
    </row>
    <row r="290" spans="1:113" ht="12" hidden="1" customHeight="1" outlineLevel="1">
      <c r="A290" s="219"/>
      <c r="B290" s="17" t="s">
        <v>402</v>
      </c>
      <c r="C290" s="79"/>
      <c r="D290" s="6"/>
      <c r="E290" s="79"/>
      <c r="F290" s="6"/>
      <c r="G290" s="79"/>
      <c r="H290" s="6"/>
      <c r="I290" s="79"/>
      <c r="J290" s="6"/>
      <c r="K290" s="79"/>
      <c r="L290" s="6"/>
      <c r="M290" s="79"/>
      <c r="N290" s="6"/>
      <c r="O290" s="79"/>
      <c r="P290" s="6"/>
      <c r="Q290" s="79"/>
      <c r="R290" s="6"/>
      <c r="S290" s="6"/>
      <c r="T290" s="6"/>
      <c r="U290" s="6"/>
      <c r="V290" s="79"/>
      <c r="W290" s="6"/>
      <c r="X290" s="6"/>
      <c r="Y290" s="6"/>
      <c r="Z290" s="6"/>
      <c r="AA290" s="79"/>
      <c r="AB290" s="79"/>
      <c r="AC290" s="6"/>
      <c r="AD290" s="6"/>
      <c r="AE290" s="6"/>
      <c r="AF290" s="6"/>
      <c r="AG290" s="79"/>
      <c r="AH290" s="6"/>
      <c r="AI290" s="6"/>
      <c r="AJ290" s="6"/>
      <c r="AK290" s="6"/>
      <c r="AL290" s="79"/>
      <c r="AM290" s="6"/>
      <c r="AN290" s="6"/>
      <c r="AO290" s="6"/>
      <c r="AP290" s="6"/>
      <c r="AQ290" s="79"/>
      <c r="AR290" s="6"/>
      <c r="AS290" s="6"/>
      <c r="AT290" s="6"/>
      <c r="AU290" s="6"/>
      <c r="AV290" s="79"/>
      <c r="AW290" s="6"/>
      <c r="AX290" s="6"/>
      <c r="AY290" s="6"/>
      <c r="AZ290" s="6"/>
      <c r="BA290" s="79"/>
      <c r="BB290" s="6"/>
      <c r="BC290" s="6"/>
      <c r="BD290" s="6"/>
      <c r="BE290" s="6"/>
      <c r="BF290" s="79"/>
      <c r="BG290" s="6"/>
      <c r="BH290" s="6"/>
      <c r="BI290" s="6"/>
      <c r="BJ290" s="6"/>
      <c r="BK290" s="79"/>
      <c r="BL290" s="6"/>
      <c r="BM290" s="6"/>
      <c r="BN290" s="6"/>
      <c r="BO290" s="6"/>
      <c r="BP290" s="79"/>
      <c r="BQ290" s="6"/>
      <c r="BR290" s="6"/>
      <c r="BS290" s="6"/>
      <c r="BT290" s="6"/>
      <c r="BU290" s="79"/>
      <c r="BV290" s="6"/>
      <c r="BW290" s="6"/>
      <c r="BX290" s="6"/>
      <c r="BY290" s="6"/>
      <c r="BZ290" s="79"/>
      <c r="CA290" s="6"/>
      <c r="CB290" s="6"/>
      <c r="CC290" s="6"/>
      <c r="CD290" s="6"/>
      <c r="CE290" s="36">
        <v>6078</v>
      </c>
      <c r="CF290" s="43"/>
      <c r="CG290" s="43"/>
      <c r="CH290" s="43"/>
      <c r="CI290" s="43"/>
      <c r="CJ290" s="36">
        <v>6018</v>
      </c>
      <c r="CK290" s="43">
        <v>1448</v>
      </c>
      <c r="CL290" s="43">
        <v>1515</v>
      </c>
      <c r="CM290" s="43">
        <v>1115</v>
      </c>
      <c r="CN290" s="43">
        <f>CO290-CM290-CL290-CK290</f>
        <v>1212</v>
      </c>
      <c r="CO290" s="36">
        <v>5290</v>
      </c>
      <c r="CP290" s="43">
        <v>1431</v>
      </c>
      <c r="CQ290" s="43">
        <v>1467</v>
      </c>
      <c r="CR290" s="43">
        <v>1169</v>
      </c>
      <c r="CS290" s="43">
        <f>CT290-CR290-CQ290-CP290</f>
        <v>1192</v>
      </c>
      <c r="CT290" s="36">
        <v>5259</v>
      </c>
      <c r="CU290" s="43"/>
      <c r="CV290" s="43"/>
      <c r="CW290" s="43"/>
      <c r="CX290" s="43"/>
      <c r="CY290" s="36"/>
      <c r="CZ290" s="43"/>
      <c r="DA290" s="43"/>
      <c r="DB290" s="43"/>
      <c r="DC290" s="43"/>
      <c r="DD290" s="36"/>
      <c r="DE290" s="43"/>
      <c r="DF290" s="43"/>
      <c r="DG290" s="43"/>
      <c r="DH290" s="43"/>
      <c r="DI290" s="36"/>
    </row>
    <row r="291" spans="1:113" ht="12" hidden="1" customHeight="1" outlineLevel="1">
      <c r="A291" s="219"/>
      <c r="B291" s="491" t="s">
        <v>348</v>
      </c>
      <c r="C291" s="79"/>
      <c r="D291" s="6"/>
      <c r="E291" s="79"/>
      <c r="F291" s="6"/>
      <c r="G291" s="79"/>
      <c r="H291" s="6"/>
      <c r="I291" s="79"/>
      <c r="J291" s="6"/>
      <c r="K291" s="79"/>
      <c r="L291" s="6"/>
      <c r="M291" s="79"/>
      <c r="N291" s="6"/>
      <c r="O291" s="79"/>
      <c r="P291" s="6"/>
      <c r="Q291" s="79"/>
      <c r="R291" s="6"/>
      <c r="S291" s="6"/>
      <c r="T291" s="6"/>
      <c r="U291" s="6"/>
      <c r="V291" s="79"/>
      <c r="W291" s="6"/>
      <c r="X291" s="6"/>
      <c r="Y291" s="6"/>
      <c r="Z291" s="6"/>
      <c r="AA291" s="79"/>
      <c r="AB291" s="79"/>
      <c r="AC291" s="6"/>
      <c r="AD291" s="6"/>
      <c r="AE291" s="6"/>
      <c r="AF291" s="6"/>
      <c r="AG291" s="79"/>
      <c r="AH291" s="6"/>
      <c r="AI291" s="6"/>
      <c r="AJ291" s="6"/>
      <c r="AK291" s="6"/>
      <c r="AL291" s="79"/>
      <c r="AM291" s="6"/>
      <c r="AN291" s="6"/>
      <c r="AO291" s="6"/>
      <c r="AP291" s="6"/>
      <c r="AQ291" s="79"/>
      <c r="AR291" s="6"/>
      <c r="AS291" s="6"/>
      <c r="AT291" s="6"/>
      <c r="AU291" s="6"/>
      <c r="AV291" s="79"/>
      <c r="AW291" s="6"/>
      <c r="AX291" s="6"/>
      <c r="AY291" s="6"/>
      <c r="AZ291" s="6"/>
      <c r="BA291" s="79"/>
      <c r="BB291" s="6"/>
      <c r="BC291" s="6"/>
      <c r="BD291" s="6"/>
      <c r="BE291" s="6"/>
      <c r="BF291" s="79"/>
      <c r="BG291" s="6"/>
      <c r="BH291" s="6"/>
      <c r="BI291" s="6"/>
      <c r="BJ291" s="6"/>
      <c r="BK291" s="79"/>
      <c r="BL291" s="6"/>
      <c r="BM291" s="6"/>
      <c r="BN291" s="6"/>
      <c r="BO291" s="6"/>
      <c r="BP291" s="79"/>
      <c r="BQ291" s="6"/>
      <c r="BR291" s="6"/>
      <c r="BS291" s="6"/>
      <c r="BT291" s="6"/>
      <c r="BU291" s="79"/>
      <c r="BV291" s="6"/>
      <c r="BW291" s="6"/>
      <c r="BX291" s="6"/>
      <c r="BY291" s="6"/>
      <c r="BZ291" s="79"/>
      <c r="CA291" s="6"/>
      <c r="CB291" s="6"/>
      <c r="CC291" s="6"/>
      <c r="CD291" s="6"/>
      <c r="CE291" s="232" t="s">
        <v>126</v>
      </c>
      <c r="CF291" s="27"/>
      <c r="CG291" s="27"/>
      <c r="CH291" s="27"/>
      <c r="CI291" s="27"/>
      <c r="CJ291" s="112">
        <f>CJ290/CE290-1</f>
        <v>-9.8716683119447479E-3</v>
      </c>
      <c r="CK291" s="565" t="s">
        <v>126</v>
      </c>
      <c r="CL291" s="565" t="s">
        <v>126</v>
      </c>
      <c r="CM291" s="565" t="s">
        <v>126</v>
      </c>
      <c r="CN291" s="213" t="s">
        <v>126</v>
      </c>
      <c r="CO291" s="112">
        <f>CO290/CJ290-1</f>
        <v>-0.12097042206713193</v>
      </c>
      <c r="CP291" s="27">
        <f>CP290/CK290-1</f>
        <v>-1.1740331491712719E-2</v>
      </c>
      <c r="CQ291" s="27">
        <f>CQ290/CL290-1</f>
        <v>-3.1683168316831711E-2</v>
      </c>
      <c r="CR291" s="27">
        <f>CR290/CM290-1</f>
        <v>4.8430493273542652E-2</v>
      </c>
      <c r="CS291" s="213" t="s">
        <v>126</v>
      </c>
      <c r="CT291" s="112">
        <f>CT290/CO290-1</f>
        <v>-5.8601134215501283E-3</v>
      </c>
      <c r="CU291" s="27"/>
      <c r="CV291" s="27"/>
      <c r="CW291" s="27"/>
      <c r="CX291" s="27"/>
      <c r="CY291" s="112"/>
      <c r="CZ291" s="27"/>
      <c r="DA291" s="27"/>
      <c r="DB291" s="27"/>
      <c r="DC291" s="27"/>
      <c r="DD291" s="112"/>
      <c r="DE291" s="27"/>
      <c r="DF291" s="27"/>
      <c r="DG291" s="27"/>
      <c r="DH291" s="27"/>
      <c r="DI291" s="112"/>
    </row>
    <row r="292" spans="1:113" s="529" customFormat="1" ht="12" hidden="1" customHeight="1" outlineLevel="1">
      <c r="A292" s="564"/>
      <c r="B292" s="526" t="s">
        <v>217</v>
      </c>
      <c r="C292" s="112"/>
      <c r="D292" s="27"/>
      <c r="E292" s="112"/>
      <c r="F292" s="27"/>
      <c r="G292" s="112"/>
      <c r="H292" s="27"/>
      <c r="I292" s="112"/>
      <c r="J292" s="27"/>
      <c r="K292" s="112"/>
      <c r="L292" s="27"/>
      <c r="M292" s="112"/>
      <c r="N292" s="27"/>
      <c r="O292" s="112"/>
      <c r="P292" s="27"/>
      <c r="Q292" s="112"/>
      <c r="R292" s="27"/>
      <c r="S292" s="27"/>
      <c r="T292" s="27"/>
      <c r="U292" s="27"/>
      <c r="V292" s="112"/>
      <c r="W292" s="27"/>
      <c r="X292" s="27"/>
      <c r="Y292" s="27"/>
      <c r="Z292" s="27"/>
      <c r="AA292" s="112"/>
      <c r="AB292" s="112"/>
      <c r="AC292" s="27"/>
      <c r="AD292" s="27"/>
      <c r="AE292" s="27"/>
      <c r="AF292" s="27"/>
      <c r="AG292" s="112"/>
      <c r="AH292" s="27"/>
      <c r="AI292" s="27"/>
      <c r="AJ292" s="27"/>
      <c r="AK292" s="27"/>
      <c r="AL292" s="112"/>
      <c r="AM292" s="27"/>
      <c r="AN292" s="27"/>
      <c r="AO292" s="27"/>
      <c r="AP292" s="27"/>
      <c r="AQ292" s="112"/>
      <c r="AR292" s="27"/>
      <c r="AS292" s="27"/>
      <c r="AT292" s="27"/>
      <c r="AU292" s="27"/>
      <c r="AV292" s="112"/>
      <c r="AW292" s="27"/>
      <c r="AX292" s="27"/>
      <c r="AY292" s="27"/>
      <c r="AZ292" s="27"/>
      <c r="BA292" s="112"/>
      <c r="BB292" s="27"/>
      <c r="BC292" s="27"/>
      <c r="BD292" s="27"/>
      <c r="BE292" s="27"/>
      <c r="BF292" s="112"/>
      <c r="BG292" s="27"/>
      <c r="BH292" s="27"/>
      <c r="BI292" s="27"/>
      <c r="BJ292" s="27"/>
      <c r="BK292" s="112"/>
      <c r="BL292" s="27"/>
      <c r="BM292" s="27"/>
      <c r="BN292" s="27"/>
      <c r="BO292" s="27"/>
      <c r="BP292" s="112"/>
      <c r="BQ292" s="27"/>
      <c r="BR292" s="27"/>
      <c r="BS292" s="27"/>
      <c r="BT292" s="27"/>
      <c r="BU292" s="112"/>
      <c r="BV292" s="27"/>
      <c r="BW292" s="27"/>
      <c r="BX292" s="27"/>
      <c r="BY292" s="27"/>
      <c r="BZ292" s="112"/>
      <c r="CA292" s="27"/>
      <c r="CB292" s="27"/>
      <c r="CC292" s="27"/>
      <c r="CD292" s="27"/>
      <c r="CE292" s="112">
        <f>CE290/CE251</f>
        <v>0.45297361752869281</v>
      </c>
      <c r="CF292" s="27"/>
      <c r="CG292" s="27"/>
      <c r="CH292" s="27"/>
      <c r="CI292" s="27"/>
      <c r="CJ292" s="112">
        <f t="shared" ref="CJ292:CT292" si="928">CJ290/CJ251</f>
        <v>0.44227235981480123</v>
      </c>
      <c r="CK292" s="27">
        <f t="shared" si="928"/>
        <v>0.46070633153038498</v>
      </c>
      <c r="CL292" s="27">
        <f t="shared" si="928"/>
        <v>0.45867393278837421</v>
      </c>
      <c r="CM292" s="27">
        <f t="shared" si="928"/>
        <v>0.39665599430807541</v>
      </c>
      <c r="CN292" s="27">
        <f t="shared" si="928"/>
        <v>0.40400000000000003</v>
      </c>
      <c r="CO292" s="112">
        <f t="shared" si="928"/>
        <v>0.43159011177286449</v>
      </c>
      <c r="CP292" s="27">
        <f t="shared" si="928"/>
        <v>0.42960072050435305</v>
      </c>
      <c r="CQ292" s="27">
        <f t="shared" si="928"/>
        <v>0.43248820754716982</v>
      </c>
      <c r="CR292" s="27">
        <f t="shared" si="928"/>
        <v>0.40675017397355601</v>
      </c>
      <c r="CS292" s="27">
        <f t="shared" si="928"/>
        <v>0.40067226890756302</v>
      </c>
      <c r="CT292" s="112">
        <f t="shared" si="928"/>
        <v>0.41831053133948459</v>
      </c>
      <c r="CU292" s="27"/>
      <c r="CV292" s="27"/>
      <c r="CW292" s="27"/>
      <c r="CX292" s="27"/>
      <c r="CY292" s="112"/>
      <c r="CZ292" s="27"/>
      <c r="DA292" s="27"/>
      <c r="DB292" s="27"/>
      <c r="DC292" s="27"/>
      <c r="DD292" s="112"/>
      <c r="DE292" s="27"/>
      <c r="DF292" s="27"/>
      <c r="DG292" s="27"/>
      <c r="DH292" s="27"/>
      <c r="DI292" s="112"/>
    </row>
    <row r="293" spans="1:113" ht="12" hidden="1" customHeight="1" outlineLevel="1">
      <c r="A293" s="219"/>
      <c r="B293" s="491" t="s">
        <v>376</v>
      </c>
      <c r="C293" s="79"/>
      <c r="D293" s="6"/>
      <c r="E293" s="79"/>
      <c r="F293" s="6"/>
      <c r="G293" s="79"/>
      <c r="H293" s="6"/>
      <c r="I293" s="79"/>
      <c r="J293" s="6"/>
      <c r="K293" s="79"/>
      <c r="L293" s="6"/>
      <c r="M293" s="79"/>
      <c r="N293" s="6"/>
      <c r="O293" s="79"/>
      <c r="P293" s="6"/>
      <c r="Q293" s="79"/>
      <c r="R293" s="6"/>
      <c r="S293" s="6"/>
      <c r="T293" s="6"/>
      <c r="U293" s="6"/>
      <c r="V293" s="79"/>
      <c r="W293" s="6"/>
      <c r="X293" s="6"/>
      <c r="Y293" s="6"/>
      <c r="Z293" s="6"/>
      <c r="AA293" s="79"/>
      <c r="AB293" s="79"/>
      <c r="AC293" s="6"/>
      <c r="AD293" s="6"/>
      <c r="AE293" s="6"/>
      <c r="AF293" s="6"/>
      <c r="AG293" s="79"/>
      <c r="AH293" s="6"/>
      <c r="AI293" s="6"/>
      <c r="AJ293" s="6"/>
      <c r="AK293" s="6"/>
      <c r="AL293" s="79"/>
      <c r="AM293" s="6"/>
      <c r="AN293" s="6"/>
      <c r="AO293" s="6"/>
      <c r="AP293" s="6"/>
      <c r="AQ293" s="79"/>
      <c r="AR293" s="6"/>
      <c r="AS293" s="6"/>
      <c r="AT293" s="6"/>
      <c r="AU293" s="6"/>
      <c r="AV293" s="79"/>
      <c r="AW293" s="6"/>
      <c r="AX293" s="6"/>
      <c r="AY293" s="6"/>
      <c r="AZ293" s="6"/>
      <c r="BA293" s="79"/>
      <c r="BB293" s="6"/>
      <c r="BC293" s="6"/>
      <c r="BD293" s="6"/>
      <c r="BE293" s="6"/>
      <c r="BF293" s="79"/>
      <c r="BG293" s="6"/>
      <c r="BH293" s="6"/>
      <c r="BI293" s="6"/>
      <c r="BJ293" s="6"/>
      <c r="BK293" s="79"/>
      <c r="BL293" s="6"/>
      <c r="BM293" s="6"/>
      <c r="BN293" s="6"/>
      <c r="BO293" s="6"/>
      <c r="BP293" s="79"/>
      <c r="BQ293" s="6"/>
      <c r="BR293" s="6"/>
      <c r="BS293" s="6"/>
      <c r="BT293" s="6"/>
      <c r="BU293" s="79"/>
      <c r="BV293" s="6"/>
      <c r="BW293" s="6"/>
      <c r="BX293" s="6"/>
      <c r="BY293" s="6"/>
      <c r="BZ293" s="79"/>
      <c r="CA293" s="6"/>
      <c r="CB293" s="6"/>
      <c r="CC293" s="6"/>
      <c r="CD293" s="6"/>
      <c r="CE293" s="596" t="s">
        <v>126</v>
      </c>
      <c r="CF293" s="568"/>
      <c r="CG293" s="568"/>
      <c r="CH293" s="568"/>
      <c r="CI293" s="568"/>
      <c r="CJ293" s="567">
        <f>(CJ292-CE292)*100*100</f>
        <v>-107.01257713891576</v>
      </c>
      <c r="CK293" s="565" t="s">
        <v>126</v>
      </c>
      <c r="CL293" s="565" t="s">
        <v>126</v>
      </c>
      <c r="CM293" s="565" t="s">
        <v>126</v>
      </c>
      <c r="CN293" s="213" t="s">
        <v>126</v>
      </c>
      <c r="CO293" s="567">
        <f t="shared" ref="CO293:CT293" si="929">(CO292-CJ292)*100*100</f>
        <v>-106.82248041936737</v>
      </c>
      <c r="CP293" s="568">
        <f t="shared" si="929"/>
        <v>-311.05611026031931</v>
      </c>
      <c r="CQ293" s="568">
        <f t="shared" si="929"/>
        <v>-261.85725241204381</v>
      </c>
      <c r="CR293" s="568">
        <f t="shared" si="929"/>
        <v>100.94179665480596</v>
      </c>
      <c r="CS293" s="568">
        <f t="shared" si="929"/>
        <v>-33.277310924370028</v>
      </c>
      <c r="CT293" s="567">
        <f t="shared" si="929"/>
        <v>-132.795804333799</v>
      </c>
      <c r="CU293" s="568"/>
      <c r="CV293" s="568"/>
      <c r="CW293" s="568"/>
      <c r="CX293" s="568"/>
      <c r="CY293" s="567"/>
      <c r="CZ293" s="568"/>
      <c r="DA293" s="568"/>
      <c r="DB293" s="568"/>
      <c r="DC293" s="568"/>
      <c r="DD293" s="567"/>
      <c r="DE293" s="568"/>
      <c r="DF293" s="568"/>
      <c r="DG293" s="568"/>
      <c r="DH293" s="568"/>
      <c r="DI293" s="567"/>
    </row>
    <row r="294" spans="1:113" ht="12" hidden="1" customHeight="1" outlineLevel="1">
      <c r="A294" s="219"/>
      <c r="B294" s="491"/>
      <c r="C294" s="79"/>
      <c r="D294" s="6"/>
      <c r="E294" s="79"/>
      <c r="F294" s="6"/>
      <c r="G294" s="79"/>
      <c r="H294" s="6"/>
      <c r="I294" s="79"/>
      <c r="J294" s="6"/>
      <c r="K294" s="79"/>
      <c r="L294" s="6"/>
      <c r="M294" s="79"/>
      <c r="N294" s="6"/>
      <c r="O294" s="79"/>
      <c r="P294" s="6"/>
      <c r="Q294" s="79"/>
      <c r="R294" s="6"/>
      <c r="S294" s="6"/>
      <c r="T294" s="6"/>
      <c r="U294" s="6"/>
      <c r="V294" s="79"/>
      <c r="W294" s="6"/>
      <c r="X294" s="6"/>
      <c r="Y294" s="6"/>
      <c r="Z294" s="6"/>
      <c r="AA294" s="79"/>
      <c r="AB294" s="79"/>
      <c r="AC294" s="6"/>
      <c r="AD294" s="6"/>
      <c r="AE294" s="6"/>
      <c r="AF294" s="6"/>
      <c r="AG294" s="79"/>
      <c r="AH294" s="6"/>
      <c r="AI294" s="6"/>
      <c r="AJ294" s="6"/>
      <c r="AK294" s="6"/>
      <c r="AL294" s="79"/>
      <c r="AM294" s="6"/>
      <c r="AN294" s="6"/>
      <c r="AO294" s="6"/>
      <c r="AP294" s="6"/>
      <c r="AQ294" s="79"/>
      <c r="AR294" s="6"/>
      <c r="AS294" s="6"/>
      <c r="AT294" s="6"/>
      <c r="AU294" s="6"/>
      <c r="AV294" s="79"/>
      <c r="AW294" s="6"/>
      <c r="AX294" s="6"/>
      <c r="AY294" s="6"/>
      <c r="AZ294" s="6"/>
      <c r="BA294" s="79"/>
      <c r="BB294" s="6"/>
      <c r="BC294" s="6"/>
      <c r="BD294" s="6"/>
      <c r="BE294" s="6"/>
      <c r="BF294" s="79"/>
      <c r="BG294" s="6"/>
      <c r="BH294" s="6"/>
      <c r="BI294" s="6"/>
      <c r="BJ294" s="6"/>
      <c r="BK294" s="79"/>
      <c r="BL294" s="6"/>
      <c r="BM294" s="6"/>
      <c r="BN294" s="6"/>
      <c r="BO294" s="6"/>
      <c r="BP294" s="79"/>
      <c r="BQ294" s="6"/>
      <c r="BR294" s="6"/>
      <c r="BS294" s="6"/>
      <c r="BT294" s="6"/>
      <c r="BU294" s="79"/>
      <c r="BV294" s="6"/>
      <c r="BW294" s="6"/>
      <c r="BX294" s="6"/>
      <c r="BY294" s="6"/>
      <c r="BZ294" s="79"/>
      <c r="CA294" s="6"/>
      <c r="CB294" s="6"/>
      <c r="CC294" s="6"/>
      <c r="CD294" s="6"/>
      <c r="CE294" s="79"/>
      <c r="CF294" s="6"/>
      <c r="CG294" s="6"/>
      <c r="CH294" s="6"/>
      <c r="CI294" s="6"/>
      <c r="CJ294" s="79"/>
      <c r="CK294" s="6"/>
      <c r="CL294" s="6"/>
      <c r="CM294" s="6"/>
      <c r="CN294" s="6"/>
      <c r="CO294" s="79"/>
      <c r="CP294" s="6"/>
      <c r="CQ294" s="6"/>
      <c r="CS294" s="6"/>
      <c r="CT294" s="79"/>
      <c r="CU294" s="591"/>
      <c r="CV294" s="591"/>
      <c r="CW294" s="591"/>
      <c r="CX294" s="591"/>
      <c r="CY294" s="590"/>
      <c r="CZ294" s="591"/>
      <c r="DA294" s="591"/>
      <c r="DB294" s="6"/>
      <c r="DC294" s="6"/>
      <c r="DD294" s="79"/>
      <c r="DE294" s="591"/>
      <c r="DF294" s="591"/>
      <c r="DG294" s="6"/>
      <c r="DH294" s="6"/>
      <c r="DI294" s="79"/>
    </row>
    <row r="295" spans="1:113" ht="12" hidden="1" customHeight="1" outlineLevel="1">
      <c r="A295" s="219"/>
      <c r="B295" s="555" t="s">
        <v>403</v>
      </c>
      <c r="C295" s="79"/>
      <c r="D295" s="6"/>
      <c r="E295" s="79"/>
      <c r="F295" s="6"/>
      <c r="G295" s="79"/>
      <c r="H295" s="6"/>
      <c r="I295" s="79"/>
      <c r="J295" s="6"/>
      <c r="K295" s="79"/>
      <c r="L295" s="6"/>
      <c r="M295" s="79"/>
      <c r="N295" s="6"/>
      <c r="O295" s="79"/>
      <c r="P295" s="6"/>
      <c r="Q295" s="79"/>
      <c r="R295" s="6"/>
      <c r="S295" s="6"/>
      <c r="T295" s="6"/>
      <c r="U295" s="6"/>
      <c r="V295" s="79"/>
      <c r="W295" s="6"/>
      <c r="X295" s="6"/>
      <c r="Y295" s="6"/>
      <c r="Z295" s="6"/>
      <c r="AA295" s="79"/>
      <c r="AB295" s="79"/>
      <c r="AC295" s="6"/>
      <c r="AD295" s="6"/>
      <c r="AE295" s="6"/>
      <c r="AF295" s="6"/>
      <c r="AG295" s="79"/>
      <c r="AH295" s="6"/>
      <c r="AI295" s="6"/>
      <c r="AJ295" s="6"/>
      <c r="AK295" s="6"/>
      <c r="AL295" s="79"/>
      <c r="AM295" s="6"/>
      <c r="AN295" s="6"/>
      <c r="AO295" s="6"/>
      <c r="AP295" s="6"/>
      <c r="AQ295" s="79"/>
      <c r="AR295" s="6"/>
      <c r="AS295" s="6"/>
      <c r="AT295" s="6"/>
      <c r="AU295" s="6"/>
      <c r="AV295" s="79"/>
      <c r="AW295" s="6"/>
      <c r="AX295" s="6"/>
      <c r="AY295" s="6"/>
      <c r="AZ295" s="6"/>
      <c r="BA295" s="79"/>
      <c r="BB295" s="6"/>
      <c r="BC295" s="6"/>
      <c r="BD295" s="6"/>
      <c r="BE295" s="6"/>
      <c r="BF295" s="79"/>
      <c r="BG295" s="6"/>
      <c r="BH295" s="6"/>
      <c r="BI295" s="6"/>
      <c r="BJ295" s="6"/>
      <c r="BK295" s="79"/>
      <c r="BL295" s="6"/>
      <c r="BM295" s="6"/>
      <c r="BN295" s="6"/>
      <c r="BO295" s="6"/>
      <c r="BP295" s="79"/>
      <c r="BQ295" s="6"/>
      <c r="BR295" s="6"/>
      <c r="BS295" s="6"/>
      <c r="BT295" s="6"/>
      <c r="BU295" s="79"/>
      <c r="BV295" s="6"/>
      <c r="BW295" s="6"/>
      <c r="BX295" s="6"/>
      <c r="BY295" s="6"/>
      <c r="BZ295" s="79"/>
      <c r="CA295" s="6"/>
      <c r="CB295" s="6"/>
      <c r="CC295" s="6"/>
      <c r="CD295" s="6"/>
      <c r="CE295" s="36">
        <v>-1050</v>
      </c>
      <c r="CF295" s="43"/>
      <c r="CG295" s="43"/>
      <c r="CH295" s="43"/>
      <c r="CI295" s="43"/>
      <c r="CJ295" s="36">
        <v>-1114</v>
      </c>
      <c r="CK295" s="43">
        <v>-290</v>
      </c>
      <c r="CL295" s="43">
        <v>-313</v>
      </c>
      <c r="CM295" s="43">
        <v>-267</v>
      </c>
      <c r="CN295" s="43">
        <f>CO295-CM295-CL295-CK295</f>
        <v>-352</v>
      </c>
      <c r="CO295" s="36">
        <v>-1222</v>
      </c>
      <c r="CP295" s="43">
        <v>-313</v>
      </c>
      <c r="CQ295" s="43">
        <v>-334</v>
      </c>
      <c r="CR295" s="43">
        <v>-296</v>
      </c>
      <c r="CS295" s="43">
        <f>CT295-CR295-CQ295-CP295</f>
        <v>-343</v>
      </c>
      <c r="CT295" s="36">
        <v>-1286</v>
      </c>
      <c r="CU295" s="43"/>
      <c r="CV295" s="43"/>
      <c r="CW295" s="43"/>
      <c r="CX295" s="43"/>
      <c r="CY295" s="36"/>
      <c r="CZ295" s="43"/>
      <c r="DA295" s="43"/>
      <c r="DB295" s="43"/>
      <c r="DC295" s="43"/>
      <c r="DD295" s="36"/>
      <c r="DE295" s="43"/>
      <c r="DF295" s="43"/>
      <c r="DG295" s="43"/>
      <c r="DH295" s="43"/>
      <c r="DI295" s="36"/>
    </row>
    <row r="296" spans="1:113" ht="12" hidden="1" customHeight="1" outlineLevel="1">
      <c r="A296" s="219"/>
      <c r="B296" s="597" t="s">
        <v>348</v>
      </c>
      <c r="C296" s="79"/>
      <c r="D296" s="6"/>
      <c r="E296" s="79"/>
      <c r="F296" s="6"/>
      <c r="G296" s="79"/>
      <c r="H296" s="6"/>
      <c r="I296" s="79"/>
      <c r="J296" s="6"/>
      <c r="K296" s="79"/>
      <c r="L296" s="6"/>
      <c r="M296" s="79"/>
      <c r="N296" s="6"/>
      <c r="O296" s="79"/>
      <c r="P296" s="6"/>
      <c r="Q296" s="79"/>
      <c r="R296" s="6"/>
      <c r="S296" s="6"/>
      <c r="T296" s="6"/>
      <c r="U296" s="6"/>
      <c r="V296" s="79"/>
      <c r="W296" s="6"/>
      <c r="X296" s="6"/>
      <c r="Y296" s="6"/>
      <c r="Z296" s="6"/>
      <c r="AA296" s="79"/>
      <c r="AB296" s="79"/>
      <c r="AC296" s="6"/>
      <c r="AD296" s="6"/>
      <c r="AE296" s="6"/>
      <c r="AF296" s="6"/>
      <c r="AG296" s="79"/>
      <c r="AH296" s="6"/>
      <c r="AI296" s="6"/>
      <c r="AJ296" s="6"/>
      <c r="AK296" s="6"/>
      <c r="AL296" s="79"/>
      <c r="AM296" s="6"/>
      <c r="AN296" s="6"/>
      <c r="AO296" s="6"/>
      <c r="AP296" s="6"/>
      <c r="AQ296" s="79"/>
      <c r="AR296" s="6"/>
      <c r="AS296" s="6"/>
      <c r="AT296" s="6"/>
      <c r="AU296" s="6"/>
      <c r="AV296" s="79"/>
      <c r="AW296" s="6"/>
      <c r="AX296" s="6"/>
      <c r="AY296" s="6"/>
      <c r="AZ296" s="6"/>
      <c r="BA296" s="79"/>
      <c r="BB296" s="6"/>
      <c r="BC296" s="6"/>
      <c r="BD296" s="6"/>
      <c r="BE296" s="6"/>
      <c r="BF296" s="79"/>
      <c r="BG296" s="6"/>
      <c r="BH296" s="6"/>
      <c r="BI296" s="6"/>
      <c r="BJ296" s="6"/>
      <c r="BK296" s="79"/>
      <c r="BL296" s="6"/>
      <c r="BM296" s="6"/>
      <c r="BN296" s="6"/>
      <c r="BO296" s="6"/>
      <c r="BP296" s="79"/>
      <c r="BQ296" s="6"/>
      <c r="BR296" s="6"/>
      <c r="BS296" s="6"/>
      <c r="BT296" s="6"/>
      <c r="BU296" s="79"/>
      <c r="BV296" s="6"/>
      <c r="BW296" s="6"/>
      <c r="BX296" s="6"/>
      <c r="BY296" s="6"/>
      <c r="BZ296" s="79"/>
      <c r="CA296" s="6"/>
      <c r="CB296" s="6"/>
      <c r="CC296" s="6"/>
      <c r="CD296" s="6"/>
      <c r="CE296" s="232" t="s">
        <v>126</v>
      </c>
      <c r="CF296" s="27"/>
      <c r="CG296" s="27"/>
      <c r="CH296" s="27"/>
      <c r="CI296" s="27"/>
      <c r="CJ296" s="112">
        <f>CJ295/CE295-1</f>
        <v>6.0952380952380869E-2</v>
      </c>
      <c r="CK296" s="565" t="s">
        <v>126</v>
      </c>
      <c r="CL296" s="565" t="s">
        <v>126</v>
      </c>
      <c r="CM296" s="565" t="s">
        <v>126</v>
      </c>
      <c r="CN296" s="213" t="s">
        <v>126</v>
      </c>
      <c r="CO296" s="112">
        <f>CO295/CJ295-1</f>
        <v>9.6947935368043137E-2</v>
      </c>
      <c r="CP296" s="27">
        <f>CP295/CK295-1</f>
        <v>7.9310344827586254E-2</v>
      </c>
      <c r="CQ296" s="27">
        <f>CQ295/CL295-1</f>
        <v>6.7092651757188593E-2</v>
      </c>
      <c r="CR296" s="27">
        <f>CR295/CM295-1</f>
        <v>0.10861423220973787</v>
      </c>
      <c r="CS296" s="213" t="s">
        <v>126</v>
      </c>
      <c r="CT296" s="112">
        <f>CT295/CO295-1</f>
        <v>5.2373158756137572E-2</v>
      </c>
      <c r="CU296" s="27"/>
      <c r="CV296" s="27"/>
      <c r="CW296" s="27"/>
      <c r="CX296" s="27"/>
      <c r="CY296" s="112"/>
      <c r="CZ296" s="27"/>
      <c r="DA296" s="27"/>
      <c r="DB296" s="27"/>
      <c r="DC296" s="27"/>
      <c r="DD296" s="112"/>
      <c r="DE296" s="27"/>
      <c r="DF296" s="27"/>
      <c r="DG296" s="27"/>
      <c r="DH296" s="27"/>
      <c r="DI296" s="112"/>
    </row>
    <row r="297" spans="1:113" s="529" customFormat="1" ht="12" hidden="1" customHeight="1" outlineLevel="1">
      <c r="A297" s="564"/>
      <c r="B297" s="570" t="s">
        <v>217</v>
      </c>
      <c r="C297" s="112"/>
      <c r="D297" s="27"/>
      <c r="E297" s="112"/>
      <c r="F297" s="27"/>
      <c r="G297" s="112"/>
      <c r="H297" s="27"/>
      <c r="I297" s="112"/>
      <c r="J297" s="27"/>
      <c r="K297" s="112"/>
      <c r="L297" s="27"/>
      <c r="M297" s="112"/>
      <c r="N297" s="27"/>
      <c r="O297" s="112"/>
      <c r="P297" s="27"/>
      <c r="Q297" s="112"/>
      <c r="R297" s="27"/>
      <c r="S297" s="27"/>
      <c r="T297" s="27"/>
      <c r="U297" s="27"/>
      <c r="V297" s="112"/>
      <c r="W297" s="27"/>
      <c r="X297" s="27"/>
      <c r="Y297" s="27"/>
      <c r="Z297" s="27"/>
      <c r="AA297" s="112"/>
      <c r="AB297" s="112"/>
      <c r="AC297" s="27"/>
      <c r="AD297" s="27"/>
      <c r="AE297" s="27"/>
      <c r="AF297" s="27"/>
      <c r="AG297" s="112"/>
      <c r="AH297" s="27"/>
      <c r="AI297" s="27"/>
      <c r="AJ297" s="27"/>
      <c r="AK297" s="27"/>
      <c r="AL297" s="112"/>
      <c r="AM297" s="27"/>
      <c r="AN297" s="27"/>
      <c r="AO297" s="27"/>
      <c r="AP297" s="27"/>
      <c r="AQ297" s="112"/>
      <c r="AR297" s="27"/>
      <c r="AS297" s="27"/>
      <c r="AT297" s="27"/>
      <c r="AU297" s="27"/>
      <c r="AV297" s="112"/>
      <c r="AW297" s="27"/>
      <c r="AX297" s="27"/>
      <c r="AY297" s="27"/>
      <c r="AZ297" s="27"/>
      <c r="BA297" s="112"/>
      <c r="BB297" s="27"/>
      <c r="BC297" s="27"/>
      <c r="BD297" s="27"/>
      <c r="BE297" s="27"/>
      <c r="BF297" s="112"/>
      <c r="BG297" s="27"/>
      <c r="BH297" s="27"/>
      <c r="BI297" s="27"/>
      <c r="BJ297" s="27"/>
      <c r="BK297" s="112"/>
      <c r="BL297" s="27"/>
      <c r="BM297" s="27"/>
      <c r="BN297" s="27"/>
      <c r="BO297" s="27"/>
      <c r="BP297" s="112"/>
      <c r="BQ297" s="27"/>
      <c r="BR297" s="27"/>
      <c r="BS297" s="27"/>
      <c r="BT297" s="27"/>
      <c r="BU297" s="112"/>
      <c r="BV297" s="27"/>
      <c r="BW297" s="27"/>
      <c r="BX297" s="27"/>
      <c r="BY297" s="27"/>
      <c r="BZ297" s="112"/>
      <c r="CA297" s="27"/>
      <c r="CB297" s="27"/>
      <c r="CC297" s="27"/>
      <c r="CD297" s="27"/>
      <c r="CE297" s="112">
        <f>-CE295/CE251</f>
        <v>7.8253092860336868E-2</v>
      </c>
      <c r="CF297" s="27"/>
      <c r="CG297" s="27"/>
      <c r="CH297" s="27"/>
      <c r="CI297" s="27"/>
      <c r="CJ297" s="112">
        <f t="shared" ref="CJ297:CT297" si="930">-CJ295/CJ251</f>
        <v>8.1869625927831258E-2</v>
      </c>
      <c r="CK297" s="27">
        <f t="shared" si="930"/>
        <v>9.2268533248488702E-2</v>
      </c>
      <c r="CL297" s="27">
        <f t="shared" si="930"/>
        <v>9.476233726914926E-2</v>
      </c>
      <c r="CM297" s="27">
        <f t="shared" si="930"/>
        <v>9.4983991462113129E-2</v>
      </c>
      <c r="CN297" s="27">
        <f t="shared" si="930"/>
        <v>0.11733333333333333</v>
      </c>
      <c r="CO297" s="112">
        <f t="shared" si="930"/>
        <v>9.9698131679856403E-2</v>
      </c>
      <c r="CP297" s="27">
        <f t="shared" si="930"/>
        <v>9.3965776043230267E-2</v>
      </c>
      <c r="CQ297" s="27">
        <f t="shared" si="930"/>
        <v>9.8466981132075471E-2</v>
      </c>
      <c r="CR297" s="27">
        <f t="shared" si="930"/>
        <v>0.10299234516353514</v>
      </c>
      <c r="CS297" s="27">
        <f t="shared" si="930"/>
        <v>0.11529411764705882</v>
      </c>
      <c r="CT297" s="112">
        <f t="shared" si="930"/>
        <v>0.10229080496341075</v>
      </c>
      <c r="CU297" s="27"/>
      <c r="CV297" s="27"/>
      <c r="CW297" s="27"/>
      <c r="CX297" s="27"/>
      <c r="CY297" s="112"/>
      <c r="CZ297" s="27"/>
      <c r="DA297" s="27"/>
      <c r="DB297" s="27"/>
      <c r="DC297" s="27"/>
      <c r="DD297" s="112"/>
      <c r="DE297" s="27"/>
      <c r="DF297" s="27"/>
      <c r="DG297" s="27"/>
      <c r="DH297" s="27"/>
      <c r="DI297" s="112"/>
    </row>
    <row r="298" spans="1:113" ht="12" hidden="1" customHeight="1" outlineLevel="1">
      <c r="A298" s="219"/>
      <c r="B298" s="597" t="s">
        <v>376</v>
      </c>
      <c r="C298" s="79"/>
      <c r="D298" s="6"/>
      <c r="E298" s="79"/>
      <c r="F298" s="6"/>
      <c r="G298" s="79"/>
      <c r="H298" s="6"/>
      <c r="I298" s="79"/>
      <c r="J298" s="6"/>
      <c r="K298" s="79"/>
      <c r="L298" s="6"/>
      <c r="M298" s="79"/>
      <c r="N298" s="6"/>
      <c r="O298" s="79"/>
      <c r="P298" s="6"/>
      <c r="Q298" s="79"/>
      <c r="R298" s="6"/>
      <c r="S298" s="6"/>
      <c r="T298" s="6"/>
      <c r="U298" s="6"/>
      <c r="V298" s="79"/>
      <c r="W298" s="6"/>
      <c r="X298" s="6"/>
      <c r="Y298" s="6"/>
      <c r="Z298" s="6"/>
      <c r="AA298" s="79"/>
      <c r="AB298" s="79"/>
      <c r="AC298" s="6"/>
      <c r="AD298" s="6"/>
      <c r="AE298" s="6"/>
      <c r="AF298" s="6"/>
      <c r="AG298" s="79"/>
      <c r="AH298" s="6"/>
      <c r="AI298" s="6"/>
      <c r="AJ298" s="6"/>
      <c r="AK298" s="6"/>
      <c r="AL298" s="79"/>
      <c r="AM298" s="6"/>
      <c r="AN298" s="6"/>
      <c r="AO298" s="6"/>
      <c r="AP298" s="6"/>
      <c r="AQ298" s="79"/>
      <c r="AR298" s="6"/>
      <c r="AS298" s="6"/>
      <c r="AT298" s="6"/>
      <c r="AU298" s="6"/>
      <c r="AV298" s="79"/>
      <c r="AW298" s="6"/>
      <c r="AX298" s="6"/>
      <c r="AY298" s="6"/>
      <c r="AZ298" s="6"/>
      <c r="BA298" s="79"/>
      <c r="BB298" s="6"/>
      <c r="BC298" s="6"/>
      <c r="BD298" s="6"/>
      <c r="BE298" s="6"/>
      <c r="BF298" s="79"/>
      <c r="BG298" s="6"/>
      <c r="BH298" s="6"/>
      <c r="BI298" s="6"/>
      <c r="BJ298" s="6"/>
      <c r="BK298" s="79"/>
      <c r="BL298" s="6"/>
      <c r="BM298" s="6"/>
      <c r="BN298" s="6"/>
      <c r="BO298" s="6"/>
      <c r="BP298" s="79"/>
      <c r="BQ298" s="6"/>
      <c r="BR298" s="6"/>
      <c r="BS298" s="6"/>
      <c r="BT298" s="6"/>
      <c r="BU298" s="79"/>
      <c r="BV298" s="6"/>
      <c r="BW298" s="6"/>
      <c r="BX298" s="6"/>
      <c r="BY298" s="6"/>
      <c r="BZ298" s="79"/>
      <c r="CA298" s="6"/>
      <c r="CB298" s="6"/>
      <c r="CC298" s="6"/>
      <c r="CD298" s="6"/>
      <c r="CE298" s="596" t="s">
        <v>126</v>
      </c>
      <c r="CF298" s="568"/>
      <c r="CG298" s="568"/>
      <c r="CH298" s="568"/>
      <c r="CI298" s="568"/>
      <c r="CJ298" s="567">
        <f>(CJ297-CE297)*100*100</f>
        <v>36.165330674943903</v>
      </c>
      <c r="CK298" s="565" t="s">
        <v>126</v>
      </c>
      <c r="CL298" s="565" t="s">
        <v>126</v>
      </c>
      <c r="CM298" s="565" t="s">
        <v>126</v>
      </c>
      <c r="CN298" s="213" t="s">
        <v>126</v>
      </c>
      <c r="CO298" s="567">
        <f t="shared" ref="CO298:CT298" si="931">(CO297-CJ297)*100*100</f>
        <v>178.28505752025146</v>
      </c>
      <c r="CP298" s="568">
        <f t="shared" si="931"/>
        <v>16.972427947415657</v>
      </c>
      <c r="CQ298" s="568">
        <f t="shared" si="931"/>
        <v>37.046438629262099</v>
      </c>
      <c r="CR298" s="568">
        <f t="shared" si="931"/>
        <v>80.083537014220127</v>
      </c>
      <c r="CS298" s="568">
        <f t="shared" si="931"/>
        <v>-20.392156862745065</v>
      </c>
      <c r="CT298" s="567">
        <f t="shared" si="931"/>
        <v>25.926732835543504</v>
      </c>
      <c r="CU298" s="568"/>
      <c r="CV298" s="568"/>
      <c r="CW298" s="568"/>
      <c r="CX298" s="568"/>
      <c r="CY298" s="567"/>
      <c r="CZ298" s="568"/>
      <c r="DA298" s="568"/>
      <c r="DB298" s="568"/>
      <c r="DC298" s="568"/>
      <c r="DD298" s="567"/>
      <c r="DE298" s="568"/>
      <c r="DF298" s="568"/>
      <c r="DG298" s="568"/>
      <c r="DH298" s="568"/>
      <c r="DI298" s="567"/>
    </row>
    <row r="299" spans="1:113" ht="12" hidden="1" customHeight="1" outlineLevel="1">
      <c r="A299" s="219"/>
      <c r="B299" s="555" t="s">
        <v>404</v>
      </c>
      <c r="C299" s="79"/>
      <c r="D299" s="6"/>
      <c r="E299" s="79"/>
      <c r="F299" s="6"/>
      <c r="G299" s="79"/>
      <c r="H299" s="6"/>
      <c r="I299" s="79"/>
      <c r="J299" s="6"/>
      <c r="K299" s="79"/>
      <c r="L299" s="6"/>
      <c r="M299" s="79"/>
      <c r="N299" s="6"/>
      <c r="O299" s="79"/>
      <c r="P299" s="6"/>
      <c r="Q299" s="79"/>
      <c r="R299" s="6"/>
      <c r="S299" s="6"/>
      <c r="T299" s="6"/>
      <c r="U299" s="6"/>
      <c r="V299" s="79"/>
      <c r="W299" s="6"/>
      <c r="X299" s="6"/>
      <c r="Y299" s="6"/>
      <c r="Z299" s="6"/>
      <c r="AA299" s="79"/>
      <c r="AB299" s="79"/>
      <c r="AC299" s="6"/>
      <c r="AD299" s="6"/>
      <c r="AE299" s="6"/>
      <c r="AF299" s="6"/>
      <c r="AG299" s="79"/>
      <c r="AH299" s="6"/>
      <c r="AI299" s="6"/>
      <c r="AJ299" s="6"/>
      <c r="AK299" s="6"/>
      <c r="AL299" s="79"/>
      <c r="AM299" s="6"/>
      <c r="AN299" s="6"/>
      <c r="AO299" s="6"/>
      <c r="AP299" s="6"/>
      <c r="AQ299" s="79"/>
      <c r="AR299" s="6"/>
      <c r="AS299" s="6"/>
      <c r="AT299" s="6"/>
      <c r="AU299" s="6"/>
      <c r="AV299" s="79"/>
      <c r="AW299" s="6"/>
      <c r="AX299" s="6"/>
      <c r="AY299" s="6"/>
      <c r="AZ299" s="6"/>
      <c r="BA299" s="79"/>
      <c r="BB299" s="6"/>
      <c r="BC299" s="6"/>
      <c r="BD299" s="6"/>
      <c r="BE299" s="6"/>
      <c r="BF299" s="79"/>
      <c r="BG299" s="6"/>
      <c r="BH299" s="6"/>
      <c r="BI299" s="6"/>
      <c r="BJ299" s="6"/>
      <c r="BK299" s="79"/>
      <c r="BL299" s="6"/>
      <c r="BM299" s="6"/>
      <c r="BN299" s="6"/>
      <c r="BO299" s="6"/>
      <c r="BP299" s="79"/>
      <c r="BQ299" s="6"/>
      <c r="BR299" s="6"/>
      <c r="BS299" s="6"/>
      <c r="BT299" s="6"/>
      <c r="BU299" s="79"/>
      <c r="BV299" s="6"/>
      <c r="BW299" s="6"/>
      <c r="BX299" s="6"/>
      <c r="BY299" s="6"/>
      <c r="BZ299" s="79"/>
      <c r="CA299" s="6"/>
      <c r="CB299" s="6"/>
      <c r="CC299" s="6"/>
      <c r="CD299" s="6"/>
      <c r="CE299" s="36">
        <v>-1500</v>
      </c>
      <c r="CF299" s="43"/>
      <c r="CG299" s="43"/>
      <c r="CH299" s="43"/>
      <c r="CI299" s="43"/>
      <c r="CJ299" s="36">
        <v>-1517</v>
      </c>
      <c r="CK299" s="43">
        <v>-366</v>
      </c>
      <c r="CL299" s="43">
        <v>-372</v>
      </c>
      <c r="CM299" s="43">
        <v>-353</v>
      </c>
      <c r="CN299" s="43">
        <f>CO299-CM299-CL299-CK299</f>
        <v>-388</v>
      </c>
      <c r="CO299" s="36">
        <v>-1479</v>
      </c>
      <c r="CP299" s="43">
        <v>-382</v>
      </c>
      <c r="CQ299" s="43">
        <v>-399</v>
      </c>
      <c r="CR299" s="43">
        <v>-360</v>
      </c>
      <c r="CS299" s="43">
        <f>CT299-CR299-CQ299-CP299</f>
        <v>-414</v>
      </c>
      <c r="CT299" s="36">
        <v>-1555</v>
      </c>
      <c r="CU299" s="43"/>
      <c r="CV299" s="43"/>
      <c r="CW299" s="43"/>
      <c r="CX299" s="43"/>
      <c r="CY299" s="36"/>
      <c r="CZ299" s="43"/>
      <c r="DA299" s="43"/>
      <c r="DB299" s="43"/>
      <c r="DC299" s="43"/>
      <c r="DD299" s="36"/>
      <c r="DE299" s="43"/>
      <c r="DF299" s="43"/>
      <c r="DG299" s="43"/>
      <c r="DH299" s="43"/>
      <c r="DI299" s="36"/>
    </row>
    <row r="300" spans="1:113" ht="12" hidden="1" customHeight="1" outlineLevel="1">
      <c r="A300" s="219"/>
      <c r="B300" s="597" t="s">
        <v>348</v>
      </c>
      <c r="C300" s="79"/>
      <c r="D300" s="6"/>
      <c r="E300" s="79"/>
      <c r="F300" s="6"/>
      <c r="G300" s="79"/>
      <c r="H300" s="6"/>
      <c r="I300" s="79"/>
      <c r="J300" s="6"/>
      <c r="K300" s="79"/>
      <c r="L300" s="6"/>
      <c r="M300" s="79"/>
      <c r="N300" s="6"/>
      <c r="O300" s="79"/>
      <c r="P300" s="6"/>
      <c r="Q300" s="79"/>
      <c r="R300" s="6"/>
      <c r="S300" s="6"/>
      <c r="T300" s="6"/>
      <c r="U300" s="6"/>
      <c r="V300" s="79"/>
      <c r="W300" s="6"/>
      <c r="X300" s="6"/>
      <c r="Y300" s="6"/>
      <c r="Z300" s="6"/>
      <c r="AA300" s="79"/>
      <c r="AB300" s="79"/>
      <c r="AC300" s="6"/>
      <c r="AD300" s="6"/>
      <c r="AE300" s="6"/>
      <c r="AF300" s="6"/>
      <c r="AG300" s="79"/>
      <c r="AH300" s="6"/>
      <c r="AI300" s="6"/>
      <c r="AJ300" s="6"/>
      <c r="AK300" s="6"/>
      <c r="AL300" s="79"/>
      <c r="AM300" s="6"/>
      <c r="AN300" s="6"/>
      <c r="AO300" s="6"/>
      <c r="AP300" s="6"/>
      <c r="AQ300" s="79"/>
      <c r="AR300" s="6"/>
      <c r="AS300" s="6"/>
      <c r="AT300" s="6"/>
      <c r="AU300" s="6"/>
      <c r="AV300" s="79"/>
      <c r="AW300" s="6"/>
      <c r="AX300" s="6"/>
      <c r="AY300" s="6"/>
      <c r="AZ300" s="6"/>
      <c r="BA300" s="79"/>
      <c r="BB300" s="6"/>
      <c r="BC300" s="6"/>
      <c r="BD300" s="6"/>
      <c r="BE300" s="6"/>
      <c r="BF300" s="79"/>
      <c r="BG300" s="6"/>
      <c r="BH300" s="6"/>
      <c r="BI300" s="6"/>
      <c r="BJ300" s="6"/>
      <c r="BK300" s="79"/>
      <c r="BL300" s="6"/>
      <c r="BM300" s="6"/>
      <c r="BN300" s="6"/>
      <c r="BO300" s="6"/>
      <c r="BP300" s="79"/>
      <c r="BQ300" s="6"/>
      <c r="BR300" s="6"/>
      <c r="BS300" s="6"/>
      <c r="BT300" s="6"/>
      <c r="BU300" s="79"/>
      <c r="BV300" s="6"/>
      <c r="BW300" s="6"/>
      <c r="BX300" s="6"/>
      <c r="BY300" s="6"/>
      <c r="BZ300" s="79"/>
      <c r="CA300" s="6"/>
      <c r="CB300" s="6"/>
      <c r="CC300" s="6"/>
      <c r="CD300" s="6"/>
      <c r="CE300" s="232" t="s">
        <v>126</v>
      </c>
      <c r="CF300" s="27"/>
      <c r="CG300" s="27"/>
      <c r="CH300" s="27"/>
      <c r="CI300" s="27"/>
      <c r="CJ300" s="112">
        <f>CJ299/CE299-1</f>
        <v>1.1333333333333417E-2</v>
      </c>
      <c r="CK300" s="565" t="s">
        <v>126</v>
      </c>
      <c r="CL300" s="565" t="s">
        <v>126</v>
      </c>
      <c r="CM300" s="565" t="s">
        <v>126</v>
      </c>
      <c r="CN300" s="213" t="s">
        <v>126</v>
      </c>
      <c r="CO300" s="112">
        <f>CO299/CJ299-1</f>
        <v>-2.5049439683585972E-2</v>
      </c>
      <c r="CP300" s="27">
        <f>CP299/CK299-1</f>
        <v>4.3715846994535568E-2</v>
      </c>
      <c r="CQ300" s="27">
        <f>CQ299/CL299-1</f>
        <v>7.2580645161290258E-2</v>
      </c>
      <c r="CR300" s="27">
        <f>CR299/CM299-1</f>
        <v>1.9830028328611915E-2</v>
      </c>
      <c r="CS300" s="213" t="s">
        <v>126</v>
      </c>
      <c r="CT300" s="112">
        <f>CT299/CO299-1</f>
        <v>5.1386071670047384E-2</v>
      </c>
      <c r="CU300" s="27"/>
      <c r="CV300" s="27"/>
      <c r="CW300" s="27"/>
      <c r="CX300" s="27"/>
      <c r="CY300" s="112"/>
      <c r="CZ300" s="27"/>
      <c r="DA300" s="27"/>
      <c r="DB300" s="27"/>
      <c r="DC300" s="27"/>
      <c r="DD300" s="112"/>
      <c r="DE300" s="27"/>
      <c r="DF300" s="27"/>
      <c r="DG300" s="27"/>
      <c r="DH300" s="27"/>
      <c r="DI300" s="112"/>
    </row>
    <row r="301" spans="1:113" s="529" customFormat="1" ht="12" hidden="1" customHeight="1" outlineLevel="1">
      <c r="A301" s="564"/>
      <c r="B301" s="570" t="s">
        <v>217</v>
      </c>
      <c r="C301" s="112"/>
      <c r="D301" s="27"/>
      <c r="E301" s="112"/>
      <c r="F301" s="27"/>
      <c r="G301" s="112"/>
      <c r="H301" s="27"/>
      <c r="I301" s="112"/>
      <c r="J301" s="27"/>
      <c r="K301" s="112"/>
      <c r="L301" s="27"/>
      <c r="M301" s="112"/>
      <c r="N301" s="27"/>
      <c r="O301" s="112"/>
      <c r="P301" s="27"/>
      <c r="Q301" s="112"/>
      <c r="R301" s="27"/>
      <c r="S301" s="27"/>
      <c r="T301" s="27"/>
      <c r="U301" s="27"/>
      <c r="V301" s="112"/>
      <c r="W301" s="27"/>
      <c r="X301" s="27"/>
      <c r="Y301" s="27"/>
      <c r="Z301" s="27"/>
      <c r="AA301" s="112"/>
      <c r="AB301" s="112"/>
      <c r="AC301" s="27"/>
      <c r="AD301" s="27"/>
      <c r="AE301" s="27"/>
      <c r="AF301" s="27"/>
      <c r="AG301" s="112"/>
      <c r="AH301" s="27"/>
      <c r="AI301" s="27"/>
      <c r="AJ301" s="27"/>
      <c r="AK301" s="27"/>
      <c r="AL301" s="112"/>
      <c r="AM301" s="27"/>
      <c r="AN301" s="27"/>
      <c r="AO301" s="27"/>
      <c r="AP301" s="27"/>
      <c r="AQ301" s="112"/>
      <c r="AR301" s="27"/>
      <c r="AS301" s="27"/>
      <c r="AT301" s="27"/>
      <c r="AU301" s="27"/>
      <c r="AV301" s="112"/>
      <c r="AW301" s="27"/>
      <c r="AX301" s="27"/>
      <c r="AY301" s="27"/>
      <c r="AZ301" s="27"/>
      <c r="BA301" s="112"/>
      <c r="BB301" s="27"/>
      <c r="BC301" s="27"/>
      <c r="BD301" s="27"/>
      <c r="BE301" s="27"/>
      <c r="BF301" s="112"/>
      <c r="BG301" s="27"/>
      <c r="BH301" s="27"/>
      <c r="BI301" s="27"/>
      <c r="BJ301" s="27"/>
      <c r="BK301" s="112"/>
      <c r="BL301" s="27"/>
      <c r="BM301" s="27"/>
      <c r="BN301" s="27"/>
      <c r="BO301" s="27"/>
      <c r="BP301" s="112"/>
      <c r="BQ301" s="27"/>
      <c r="BR301" s="27"/>
      <c r="BS301" s="27"/>
      <c r="BT301" s="27"/>
      <c r="BU301" s="112"/>
      <c r="BV301" s="27"/>
      <c r="BW301" s="27"/>
      <c r="BX301" s="27"/>
      <c r="BY301" s="27"/>
      <c r="BZ301" s="112"/>
      <c r="CA301" s="27"/>
      <c r="CB301" s="27"/>
      <c r="CC301" s="27"/>
      <c r="CD301" s="27"/>
      <c r="CE301" s="112">
        <f>-CE299/CE251</f>
        <v>0.11179013265762408</v>
      </c>
      <c r="CF301" s="27"/>
      <c r="CG301" s="27"/>
      <c r="CH301" s="27"/>
      <c r="CI301" s="27"/>
      <c r="CJ301" s="112">
        <f t="shared" ref="CJ301:CT301" si="932">-CJ299/CJ251</f>
        <v>0.11148673476886896</v>
      </c>
      <c r="CK301" s="27">
        <f t="shared" si="932"/>
        <v>0.11644925230671332</v>
      </c>
      <c r="CL301" s="27">
        <f t="shared" si="932"/>
        <v>0.11262488646684832</v>
      </c>
      <c r="CM301" s="27">
        <f t="shared" si="932"/>
        <v>0.12557808609035931</v>
      </c>
      <c r="CN301" s="27">
        <f t="shared" si="932"/>
        <v>0.12933333333333333</v>
      </c>
      <c r="CO301" s="112">
        <f t="shared" si="932"/>
        <v>0.12066574202496533</v>
      </c>
      <c r="CP301" s="27">
        <f t="shared" si="932"/>
        <v>0.11468027619333533</v>
      </c>
      <c r="CQ301" s="27">
        <f t="shared" si="932"/>
        <v>0.11762971698113207</v>
      </c>
      <c r="CR301" s="27">
        <f t="shared" si="932"/>
        <v>0.12526096033402923</v>
      </c>
      <c r="CS301" s="27">
        <f t="shared" si="932"/>
        <v>0.13915966386554621</v>
      </c>
      <c r="CT301" s="112">
        <f t="shared" si="932"/>
        <v>0.12368755965637926</v>
      </c>
      <c r="CU301" s="27"/>
      <c r="CV301" s="27"/>
      <c r="CW301" s="27"/>
      <c r="CX301" s="27"/>
      <c r="CY301" s="112"/>
      <c r="CZ301" s="27"/>
      <c r="DA301" s="27"/>
      <c r="DB301" s="27"/>
      <c r="DC301" s="27"/>
      <c r="DD301" s="112"/>
      <c r="DE301" s="27"/>
      <c r="DF301" s="27"/>
      <c r="DG301" s="27"/>
      <c r="DH301" s="27"/>
      <c r="DI301" s="112"/>
    </row>
    <row r="302" spans="1:113" ht="12" hidden="1" customHeight="1" outlineLevel="1">
      <c r="A302" s="219"/>
      <c r="B302" s="597" t="s">
        <v>376</v>
      </c>
      <c r="C302" s="79"/>
      <c r="D302" s="6"/>
      <c r="E302" s="79"/>
      <c r="F302" s="6"/>
      <c r="G302" s="79"/>
      <c r="H302" s="6"/>
      <c r="I302" s="79"/>
      <c r="J302" s="6"/>
      <c r="K302" s="79"/>
      <c r="L302" s="6"/>
      <c r="M302" s="79"/>
      <c r="N302" s="6"/>
      <c r="O302" s="79"/>
      <c r="P302" s="6"/>
      <c r="Q302" s="79"/>
      <c r="R302" s="6"/>
      <c r="S302" s="6"/>
      <c r="T302" s="6"/>
      <c r="U302" s="6"/>
      <c r="V302" s="79"/>
      <c r="W302" s="6"/>
      <c r="X302" s="6"/>
      <c r="Y302" s="6"/>
      <c r="Z302" s="6"/>
      <c r="AA302" s="79"/>
      <c r="AB302" s="79"/>
      <c r="AC302" s="6"/>
      <c r="AD302" s="6"/>
      <c r="AE302" s="6"/>
      <c r="AF302" s="6"/>
      <c r="AG302" s="79"/>
      <c r="AH302" s="6"/>
      <c r="AI302" s="6"/>
      <c r="AJ302" s="6"/>
      <c r="AK302" s="6"/>
      <c r="AL302" s="79"/>
      <c r="AM302" s="6"/>
      <c r="AN302" s="6"/>
      <c r="AO302" s="6"/>
      <c r="AP302" s="6"/>
      <c r="AQ302" s="79"/>
      <c r="AR302" s="6"/>
      <c r="AS302" s="6"/>
      <c r="AT302" s="6"/>
      <c r="AU302" s="6"/>
      <c r="AV302" s="79"/>
      <c r="AW302" s="6"/>
      <c r="AX302" s="6"/>
      <c r="AY302" s="6"/>
      <c r="AZ302" s="6"/>
      <c r="BA302" s="79"/>
      <c r="BB302" s="6"/>
      <c r="BC302" s="6"/>
      <c r="BD302" s="6"/>
      <c r="BE302" s="6"/>
      <c r="BF302" s="79"/>
      <c r="BG302" s="6"/>
      <c r="BH302" s="6"/>
      <c r="BI302" s="6"/>
      <c r="BJ302" s="6"/>
      <c r="BK302" s="79"/>
      <c r="BL302" s="6"/>
      <c r="BM302" s="6"/>
      <c r="BN302" s="6"/>
      <c r="BO302" s="6"/>
      <c r="BP302" s="79"/>
      <c r="BQ302" s="6"/>
      <c r="BR302" s="6"/>
      <c r="BS302" s="6"/>
      <c r="BT302" s="6"/>
      <c r="BU302" s="79"/>
      <c r="BV302" s="6"/>
      <c r="BW302" s="6"/>
      <c r="BX302" s="6"/>
      <c r="BY302" s="6"/>
      <c r="BZ302" s="79"/>
      <c r="CA302" s="6"/>
      <c r="CB302" s="6"/>
      <c r="CC302" s="6"/>
      <c r="CD302" s="6"/>
      <c r="CE302" s="596" t="s">
        <v>126</v>
      </c>
      <c r="CF302" s="568"/>
      <c r="CG302" s="568"/>
      <c r="CH302" s="568"/>
      <c r="CI302" s="568"/>
      <c r="CJ302" s="567">
        <f>(CJ301-CE301)*100*100</f>
        <v>-3.0339788875512195</v>
      </c>
      <c r="CK302" s="565" t="s">
        <v>126</v>
      </c>
      <c r="CL302" s="565" t="s">
        <v>126</v>
      </c>
      <c r="CM302" s="565" t="s">
        <v>126</v>
      </c>
      <c r="CN302" s="213" t="s">
        <v>126</v>
      </c>
      <c r="CO302" s="567">
        <f t="shared" ref="CO302:CT302" si="933">(CO301-CJ301)*100*100</f>
        <v>91.790072560963694</v>
      </c>
      <c r="CP302" s="568">
        <f t="shared" si="933"/>
        <v>-17.689761133779928</v>
      </c>
      <c r="CQ302" s="568">
        <f t="shared" si="933"/>
        <v>50.048305142837556</v>
      </c>
      <c r="CR302" s="568">
        <f t="shared" si="933"/>
        <v>-3.1712575633008333</v>
      </c>
      <c r="CS302" s="568">
        <f t="shared" si="933"/>
        <v>98.263305322128787</v>
      </c>
      <c r="CT302" s="567">
        <f t="shared" si="933"/>
        <v>30.21817631413931</v>
      </c>
      <c r="CU302" s="568"/>
      <c r="CV302" s="568"/>
      <c r="CW302" s="568"/>
      <c r="CX302" s="568"/>
      <c r="CY302" s="567"/>
      <c r="CZ302" s="568"/>
      <c r="DA302" s="568"/>
      <c r="DB302" s="568"/>
      <c r="DC302" s="568"/>
      <c r="DD302" s="567"/>
      <c r="DE302" s="568"/>
      <c r="DF302" s="568"/>
      <c r="DG302" s="568"/>
      <c r="DH302" s="568"/>
      <c r="DI302" s="567"/>
    </row>
    <row r="303" spans="1:113" ht="12" hidden="1" customHeight="1" outlineLevel="1">
      <c r="A303" s="219"/>
      <c r="B303" s="17" t="s">
        <v>405</v>
      </c>
      <c r="C303" s="79"/>
      <c r="D303" s="6"/>
      <c r="E303" s="79"/>
      <c r="F303" s="6"/>
      <c r="G303" s="79"/>
      <c r="H303" s="6"/>
      <c r="I303" s="79"/>
      <c r="J303" s="6"/>
      <c r="K303" s="79"/>
      <c r="L303" s="6"/>
      <c r="M303" s="79"/>
      <c r="N303" s="6"/>
      <c r="O303" s="79"/>
      <c r="P303" s="6"/>
      <c r="Q303" s="79"/>
      <c r="R303" s="6"/>
      <c r="S303" s="6"/>
      <c r="T303" s="6"/>
      <c r="U303" s="6"/>
      <c r="V303" s="79"/>
      <c r="W303" s="6"/>
      <c r="X303" s="6"/>
      <c r="Y303" s="6"/>
      <c r="Z303" s="6"/>
      <c r="AA303" s="79"/>
      <c r="AB303" s="79"/>
      <c r="AC303" s="6"/>
      <c r="AD303" s="6"/>
      <c r="AE303" s="6"/>
      <c r="AF303" s="6"/>
      <c r="AG303" s="79"/>
      <c r="AH303" s="6"/>
      <c r="AI303" s="6"/>
      <c r="AJ303" s="6"/>
      <c r="AK303" s="6"/>
      <c r="AL303" s="79"/>
      <c r="AM303" s="6"/>
      <c r="AN303" s="6"/>
      <c r="AO303" s="6"/>
      <c r="AP303" s="6"/>
      <c r="AQ303" s="79"/>
      <c r="AR303" s="6"/>
      <c r="AS303" s="6"/>
      <c r="AT303" s="6"/>
      <c r="AU303" s="6"/>
      <c r="AV303" s="79"/>
      <c r="AW303" s="6"/>
      <c r="AX303" s="6"/>
      <c r="AY303" s="6"/>
      <c r="AZ303" s="6"/>
      <c r="BA303" s="79"/>
      <c r="BB303" s="6"/>
      <c r="BC303" s="6"/>
      <c r="BD303" s="6"/>
      <c r="BE303" s="6"/>
      <c r="BF303" s="79"/>
      <c r="BG303" s="6"/>
      <c r="BH303" s="6"/>
      <c r="BI303" s="6"/>
      <c r="BJ303" s="6"/>
      <c r="BK303" s="79"/>
      <c r="BL303" s="6"/>
      <c r="BM303" s="6"/>
      <c r="BN303" s="6"/>
      <c r="BO303" s="6"/>
      <c r="BP303" s="79"/>
      <c r="BQ303" s="6"/>
      <c r="BR303" s="6"/>
      <c r="BS303" s="6"/>
      <c r="BT303" s="6"/>
      <c r="BU303" s="79"/>
      <c r="BV303" s="6"/>
      <c r="BW303" s="6"/>
      <c r="BX303" s="6"/>
      <c r="BY303" s="6"/>
      <c r="BZ303" s="79"/>
      <c r="CA303" s="6"/>
      <c r="CB303" s="6"/>
      <c r="CC303" s="6"/>
      <c r="CD303" s="6"/>
      <c r="CE303" s="36">
        <f>CE295+CE299</f>
        <v>-2550</v>
      </c>
      <c r="CF303" s="43"/>
      <c r="CG303" s="43"/>
      <c r="CH303" s="43"/>
      <c r="CI303" s="43"/>
      <c r="CJ303" s="36">
        <f t="shared" ref="CJ303:CT303" si="934">CJ295+CJ299</f>
        <v>-2631</v>
      </c>
      <c r="CK303" s="43">
        <f t="shared" si="934"/>
        <v>-656</v>
      </c>
      <c r="CL303" s="43">
        <f t="shared" si="934"/>
        <v>-685</v>
      </c>
      <c r="CM303" s="43">
        <f t="shared" si="934"/>
        <v>-620</v>
      </c>
      <c r="CN303" s="43">
        <f t="shared" si="934"/>
        <v>-740</v>
      </c>
      <c r="CO303" s="36">
        <f t="shared" si="934"/>
        <v>-2701</v>
      </c>
      <c r="CP303" s="43">
        <f t="shared" si="934"/>
        <v>-695</v>
      </c>
      <c r="CQ303" s="43">
        <f t="shared" si="934"/>
        <v>-733</v>
      </c>
      <c r="CR303" s="43">
        <f t="shared" si="934"/>
        <v>-656</v>
      </c>
      <c r="CS303" s="43">
        <f t="shared" si="934"/>
        <v>-757</v>
      </c>
      <c r="CT303" s="36">
        <f t="shared" si="934"/>
        <v>-2841</v>
      </c>
      <c r="CU303" s="43"/>
      <c r="CV303" s="43"/>
      <c r="CW303" s="43"/>
      <c r="CX303" s="43"/>
      <c r="CY303" s="36"/>
      <c r="CZ303" s="43"/>
      <c r="DA303" s="43"/>
      <c r="DB303" s="43"/>
      <c r="DC303" s="43"/>
      <c r="DD303" s="36"/>
      <c r="DE303" s="43"/>
      <c r="DF303" s="43"/>
      <c r="DG303" s="43"/>
      <c r="DH303" s="43"/>
      <c r="DI303" s="36"/>
    </row>
    <row r="304" spans="1:113" ht="12" hidden="1" customHeight="1" outlineLevel="1">
      <c r="A304" s="219"/>
      <c r="B304" s="491" t="s">
        <v>348</v>
      </c>
      <c r="C304" s="79"/>
      <c r="D304" s="6"/>
      <c r="E304" s="79"/>
      <c r="F304" s="6"/>
      <c r="G304" s="79"/>
      <c r="H304" s="6"/>
      <c r="I304" s="79"/>
      <c r="J304" s="6"/>
      <c r="K304" s="79"/>
      <c r="L304" s="6"/>
      <c r="M304" s="79"/>
      <c r="N304" s="6"/>
      <c r="O304" s="79"/>
      <c r="P304" s="6"/>
      <c r="Q304" s="79"/>
      <c r="R304" s="6"/>
      <c r="S304" s="6"/>
      <c r="T304" s="6"/>
      <c r="U304" s="6"/>
      <c r="V304" s="79"/>
      <c r="W304" s="6"/>
      <c r="X304" s="6"/>
      <c r="Y304" s="6"/>
      <c r="Z304" s="6"/>
      <c r="AA304" s="79"/>
      <c r="AB304" s="79"/>
      <c r="AC304" s="6"/>
      <c r="AD304" s="6"/>
      <c r="AE304" s="6"/>
      <c r="AF304" s="6"/>
      <c r="AG304" s="79"/>
      <c r="AH304" s="6"/>
      <c r="AI304" s="6"/>
      <c r="AJ304" s="6"/>
      <c r="AK304" s="6"/>
      <c r="AL304" s="79"/>
      <c r="AM304" s="6"/>
      <c r="AN304" s="6"/>
      <c r="AO304" s="6"/>
      <c r="AP304" s="6"/>
      <c r="AQ304" s="79"/>
      <c r="AR304" s="6"/>
      <c r="AS304" s="6"/>
      <c r="AT304" s="6"/>
      <c r="AU304" s="6"/>
      <c r="AV304" s="79"/>
      <c r="AW304" s="6"/>
      <c r="AX304" s="6"/>
      <c r="AY304" s="6"/>
      <c r="AZ304" s="6"/>
      <c r="BA304" s="79"/>
      <c r="BB304" s="6"/>
      <c r="BC304" s="6"/>
      <c r="BD304" s="6"/>
      <c r="BE304" s="6"/>
      <c r="BF304" s="79"/>
      <c r="BG304" s="6"/>
      <c r="BH304" s="6"/>
      <c r="BI304" s="6"/>
      <c r="BJ304" s="6"/>
      <c r="BK304" s="79"/>
      <c r="BL304" s="6"/>
      <c r="BM304" s="6"/>
      <c r="BN304" s="6"/>
      <c r="BO304" s="6"/>
      <c r="BP304" s="79"/>
      <c r="BQ304" s="6"/>
      <c r="BR304" s="6"/>
      <c r="BS304" s="6"/>
      <c r="BT304" s="6"/>
      <c r="BU304" s="79"/>
      <c r="BV304" s="6"/>
      <c r="BW304" s="6"/>
      <c r="BX304" s="6"/>
      <c r="BY304" s="6"/>
      <c r="BZ304" s="79"/>
      <c r="CA304" s="6"/>
      <c r="CB304" s="6"/>
      <c r="CC304" s="6"/>
      <c r="CD304" s="6"/>
      <c r="CE304" s="232" t="s">
        <v>126</v>
      </c>
      <c r="CF304" s="27"/>
      <c r="CG304" s="27"/>
      <c r="CH304" s="27"/>
      <c r="CI304" s="27"/>
      <c r="CJ304" s="112">
        <f>CJ303/CE303-1</f>
        <v>3.1764705882352917E-2</v>
      </c>
      <c r="CK304" s="565" t="s">
        <v>126</v>
      </c>
      <c r="CL304" s="565" t="s">
        <v>126</v>
      </c>
      <c r="CM304" s="565" t="s">
        <v>126</v>
      </c>
      <c r="CN304" s="213" t="s">
        <v>126</v>
      </c>
      <c r="CO304" s="112">
        <f>CO303/CJ303-1</f>
        <v>2.6605853287723358E-2</v>
      </c>
      <c r="CP304" s="27">
        <f>CP303/CK303-1</f>
        <v>5.945121951219523E-2</v>
      </c>
      <c r="CQ304" s="27">
        <f>CQ303/CL303-1</f>
        <v>7.0072992700729975E-2</v>
      </c>
      <c r="CR304" s="27">
        <f>CR303/CM303-1</f>
        <v>5.8064516129032295E-2</v>
      </c>
      <c r="CS304" s="213" t="s">
        <v>126</v>
      </c>
      <c r="CT304" s="112">
        <f>CT303/CO303-1</f>
        <v>5.1832654572380621E-2</v>
      </c>
      <c r="CU304" s="27"/>
      <c r="CV304" s="27"/>
      <c r="CW304" s="27"/>
      <c r="CX304" s="27"/>
      <c r="CY304" s="112"/>
      <c r="CZ304" s="27"/>
      <c r="DA304" s="27"/>
      <c r="DB304" s="27"/>
      <c r="DC304" s="27"/>
      <c r="DD304" s="112"/>
      <c r="DE304" s="27"/>
      <c r="DF304" s="27"/>
      <c r="DG304" s="27"/>
      <c r="DH304" s="27"/>
      <c r="DI304" s="112"/>
    </row>
    <row r="305" spans="1:113" s="529" customFormat="1" ht="12" hidden="1" customHeight="1" outlineLevel="1">
      <c r="A305" s="564"/>
      <c r="B305" s="526" t="s">
        <v>217</v>
      </c>
      <c r="C305" s="112"/>
      <c r="D305" s="27"/>
      <c r="E305" s="112"/>
      <c r="F305" s="27"/>
      <c r="G305" s="112"/>
      <c r="H305" s="27"/>
      <c r="I305" s="112"/>
      <c r="J305" s="27"/>
      <c r="K305" s="112"/>
      <c r="L305" s="27"/>
      <c r="M305" s="112"/>
      <c r="N305" s="27"/>
      <c r="O305" s="112"/>
      <c r="P305" s="27"/>
      <c r="Q305" s="112"/>
      <c r="R305" s="27"/>
      <c r="S305" s="27"/>
      <c r="T305" s="27"/>
      <c r="U305" s="27"/>
      <c r="V305" s="112"/>
      <c r="W305" s="27"/>
      <c r="X305" s="27"/>
      <c r="Y305" s="27"/>
      <c r="Z305" s="27"/>
      <c r="AA305" s="112"/>
      <c r="AB305" s="112"/>
      <c r="AC305" s="27"/>
      <c r="AD305" s="27"/>
      <c r="AE305" s="27"/>
      <c r="AF305" s="27"/>
      <c r="AG305" s="112"/>
      <c r="AH305" s="27"/>
      <c r="AI305" s="27"/>
      <c r="AJ305" s="27"/>
      <c r="AK305" s="27"/>
      <c r="AL305" s="112"/>
      <c r="AM305" s="27"/>
      <c r="AN305" s="27"/>
      <c r="AO305" s="27"/>
      <c r="AP305" s="27"/>
      <c r="AQ305" s="112"/>
      <c r="AR305" s="27"/>
      <c r="AS305" s="27"/>
      <c r="AT305" s="27"/>
      <c r="AU305" s="27"/>
      <c r="AV305" s="112"/>
      <c r="AW305" s="27"/>
      <c r="AX305" s="27"/>
      <c r="AY305" s="27"/>
      <c r="AZ305" s="27"/>
      <c r="BA305" s="112"/>
      <c r="BB305" s="27"/>
      <c r="BC305" s="27"/>
      <c r="BD305" s="27"/>
      <c r="BE305" s="27"/>
      <c r="BF305" s="112"/>
      <c r="BG305" s="27"/>
      <c r="BH305" s="27"/>
      <c r="BI305" s="27"/>
      <c r="BJ305" s="27"/>
      <c r="BK305" s="112"/>
      <c r="BL305" s="27"/>
      <c r="BM305" s="27"/>
      <c r="BN305" s="27"/>
      <c r="BO305" s="27"/>
      <c r="BP305" s="112"/>
      <c r="BQ305" s="27"/>
      <c r="BR305" s="27"/>
      <c r="BS305" s="27"/>
      <c r="BT305" s="27"/>
      <c r="BU305" s="112"/>
      <c r="BV305" s="27"/>
      <c r="BW305" s="27"/>
      <c r="BX305" s="27"/>
      <c r="BY305" s="27"/>
      <c r="BZ305" s="112"/>
      <c r="CA305" s="27"/>
      <c r="CB305" s="27"/>
      <c r="CC305" s="27"/>
      <c r="CD305" s="27"/>
      <c r="CE305" s="112">
        <f>-CE303/CE251</f>
        <v>0.19004322551796093</v>
      </c>
      <c r="CF305" s="27"/>
      <c r="CG305" s="27"/>
      <c r="CH305" s="27"/>
      <c r="CI305" s="27"/>
      <c r="CJ305" s="112">
        <f t="shared" ref="CJ305:CT305" si="935">-CJ303/CJ251</f>
        <v>0.19335636069670023</v>
      </c>
      <c r="CK305" s="27">
        <f t="shared" si="935"/>
        <v>0.20871778555520204</v>
      </c>
      <c r="CL305" s="27">
        <f t="shared" si="935"/>
        <v>0.20738722373599758</v>
      </c>
      <c r="CM305" s="27">
        <f t="shared" si="935"/>
        <v>0.22056207755247242</v>
      </c>
      <c r="CN305" s="27">
        <f t="shared" si="935"/>
        <v>0.24666666666666667</v>
      </c>
      <c r="CO305" s="112">
        <f t="shared" si="935"/>
        <v>0.22036387370482174</v>
      </c>
      <c r="CP305" s="27">
        <f t="shared" si="935"/>
        <v>0.2086460522365656</v>
      </c>
      <c r="CQ305" s="27">
        <f t="shared" si="935"/>
        <v>0.21609669811320756</v>
      </c>
      <c r="CR305" s="27">
        <f t="shared" si="935"/>
        <v>0.22825330549756437</v>
      </c>
      <c r="CS305" s="27">
        <f t="shared" si="935"/>
        <v>0.25445378151260506</v>
      </c>
      <c r="CT305" s="112">
        <f t="shared" si="935"/>
        <v>0.22597836461979001</v>
      </c>
      <c r="CU305" s="27"/>
      <c r="CV305" s="27"/>
      <c r="CW305" s="27"/>
      <c r="CX305" s="27"/>
      <c r="CY305" s="112"/>
      <c r="CZ305" s="27"/>
      <c r="DA305" s="27"/>
      <c r="DB305" s="27"/>
      <c r="DC305" s="27"/>
      <c r="DD305" s="112"/>
      <c r="DE305" s="27"/>
      <c r="DF305" s="27"/>
      <c r="DG305" s="27"/>
      <c r="DH305" s="27"/>
      <c r="DI305" s="112"/>
    </row>
    <row r="306" spans="1:113" ht="12" hidden="1" customHeight="1" outlineLevel="1">
      <c r="A306" s="219"/>
      <c r="B306" s="491" t="s">
        <v>376</v>
      </c>
      <c r="C306" s="79"/>
      <c r="D306" s="6"/>
      <c r="E306" s="79"/>
      <c r="F306" s="6"/>
      <c r="G306" s="79"/>
      <c r="H306" s="6"/>
      <c r="I306" s="79"/>
      <c r="J306" s="6"/>
      <c r="K306" s="79"/>
      <c r="L306" s="6"/>
      <c r="M306" s="79"/>
      <c r="N306" s="6"/>
      <c r="O306" s="79"/>
      <c r="P306" s="6"/>
      <c r="Q306" s="79"/>
      <c r="R306" s="6"/>
      <c r="S306" s="6"/>
      <c r="T306" s="6"/>
      <c r="U306" s="6"/>
      <c r="V306" s="79"/>
      <c r="W306" s="6"/>
      <c r="X306" s="6"/>
      <c r="Y306" s="6"/>
      <c r="Z306" s="6"/>
      <c r="AA306" s="79"/>
      <c r="AB306" s="79"/>
      <c r="AC306" s="6"/>
      <c r="AD306" s="6"/>
      <c r="AE306" s="6"/>
      <c r="AF306" s="6"/>
      <c r="AG306" s="79"/>
      <c r="AH306" s="6"/>
      <c r="AI306" s="6"/>
      <c r="AJ306" s="6"/>
      <c r="AK306" s="6"/>
      <c r="AL306" s="79"/>
      <c r="AM306" s="6"/>
      <c r="AN306" s="6"/>
      <c r="AO306" s="6"/>
      <c r="AP306" s="6"/>
      <c r="AQ306" s="79"/>
      <c r="AR306" s="6"/>
      <c r="AS306" s="6"/>
      <c r="AT306" s="6"/>
      <c r="AU306" s="6"/>
      <c r="AV306" s="79"/>
      <c r="AW306" s="6"/>
      <c r="AX306" s="6"/>
      <c r="AY306" s="6"/>
      <c r="AZ306" s="6"/>
      <c r="BA306" s="79"/>
      <c r="BB306" s="6"/>
      <c r="BC306" s="6"/>
      <c r="BD306" s="6"/>
      <c r="BE306" s="6"/>
      <c r="BF306" s="79"/>
      <c r="BG306" s="6"/>
      <c r="BH306" s="6"/>
      <c r="BI306" s="6"/>
      <c r="BJ306" s="6"/>
      <c r="BK306" s="79"/>
      <c r="BL306" s="6"/>
      <c r="BM306" s="6"/>
      <c r="BN306" s="6"/>
      <c r="BO306" s="6"/>
      <c r="BP306" s="79"/>
      <c r="BQ306" s="6"/>
      <c r="BR306" s="6"/>
      <c r="BS306" s="6"/>
      <c r="BT306" s="6"/>
      <c r="BU306" s="79"/>
      <c r="BV306" s="6"/>
      <c r="BW306" s="6"/>
      <c r="BX306" s="6"/>
      <c r="BY306" s="6"/>
      <c r="BZ306" s="79"/>
      <c r="CA306" s="6"/>
      <c r="CB306" s="6"/>
      <c r="CC306" s="6"/>
      <c r="CD306" s="6"/>
      <c r="CE306" s="596" t="s">
        <v>126</v>
      </c>
      <c r="CF306" s="568"/>
      <c r="CG306" s="568"/>
      <c r="CH306" s="568"/>
      <c r="CI306" s="568"/>
      <c r="CJ306" s="567">
        <f>(CJ305-CE305)*100*100</f>
        <v>33.131351787392958</v>
      </c>
      <c r="CK306" s="565" t="s">
        <v>126</v>
      </c>
      <c r="CL306" s="565" t="s">
        <v>126</v>
      </c>
      <c r="CM306" s="565" t="s">
        <v>126</v>
      </c>
      <c r="CN306" s="213" t="s">
        <v>126</v>
      </c>
      <c r="CO306" s="567">
        <f t="shared" ref="CO306:CT306" si="936">(CO305-CJ305)*100*100</f>
        <v>270.07513008121515</v>
      </c>
      <c r="CP306" s="568">
        <f t="shared" si="936"/>
        <v>-0.71733318636441057</v>
      </c>
      <c r="CQ306" s="568">
        <f t="shared" si="936"/>
        <v>87.094743772099804</v>
      </c>
      <c r="CR306" s="568">
        <f t="shared" si="936"/>
        <v>76.912279450919442</v>
      </c>
      <c r="CS306" s="568">
        <f t="shared" si="936"/>
        <v>77.871148459383861</v>
      </c>
      <c r="CT306" s="567">
        <f t="shared" si="936"/>
        <v>56.144909149682675</v>
      </c>
      <c r="CU306" s="568"/>
      <c r="CV306" s="568"/>
      <c r="CW306" s="568"/>
      <c r="CX306" s="568"/>
      <c r="CY306" s="567"/>
      <c r="CZ306" s="568"/>
      <c r="DA306" s="568"/>
      <c r="DB306" s="568"/>
      <c r="DC306" s="568"/>
      <c r="DD306" s="567"/>
      <c r="DE306" s="568"/>
      <c r="DF306" s="568"/>
      <c r="DG306" s="568"/>
      <c r="DH306" s="568"/>
      <c r="DI306" s="567"/>
    </row>
    <row r="307" spans="1:113" ht="12" hidden="1" customHeight="1" outlineLevel="1">
      <c r="A307" s="219"/>
      <c r="B307" s="597"/>
      <c r="C307" s="79"/>
      <c r="D307" s="6"/>
      <c r="E307" s="79"/>
      <c r="F307" s="6"/>
      <c r="G307" s="79"/>
      <c r="H307" s="6"/>
      <c r="I307" s="79"/>
      <c r="J307" s="6"/>
      <c r="K307" s="79"/>
      <c r="L307" s="6"/>
      <c r="M307" s="79"/>
      <c r="N307" s="6"/>
      <c r="O307" s="79"/>
      <c r="P307" s="6"/>
      <c r="Q307" s="79"/>
      <c r="R307" s="6"/>
      <c r="S307" s="6"/>
      <c r="T307" s="6"/>
      <c r="U307" s="6"/>
      <c r="V307" s="79"/>
      <c r="W307" s="6"/>
      <c r="X307" s="6"/>
      <c r="Y307" s="6"/>
      <c r="Z307" s="6"/>
      <c r="AA307" s="79"/>
      <c r="AB307" s="79"/>
      <c r="AC307" s="6"/>
      <c r="AD307" s="6"/>
      <c r="AE307" s="6"/>
      <c r="AF307" s="6"/>
      <c r="AG307" s="79"/>
      <c r="AH307" s="6"/>
      <c r="AI307" s="6"/>
      <c r="AJ307" s="6"/>
      <c r="AK307" s="6"/>
      <c r="AL307" s="79"/>
      <c r="AM307" s="6"/>
      <c r="AN307" s="6"/>
      <c r="AO307" s="6"/>
      <c r="AP307" s="6"/>
      <c r="AQ307" s="79"/>
      <c r="AR307" s="6"/>
      <c r="AS307" s="6"/>
      <c r="AT307" s="6"/>
      <c r="AU307" s="6"/>
      <c r="AV307" s="79"/>
      <c r="AW307" s="6"/>
      <c r="AX307" s="6"/>
      <c r="AY307" s="6"/>
      <c r="AZ307" s="6"/>
      <c r="BA307" s="79"/>
      <c r="BB307" s="6"/>
      <c r="BC307" s="6"/>
      <c r="BD307" s="6"/>
      <c r="BE307" s="6"/>
      <c r="BF307" s="79"/>
      <c r="BG307" s="6"/>
      <c r="BH307" s="6"/>
      <c r="BI307" s="6"/>
      <c r="BJ307" s="6"/>
      <c r="BK307" s="79"/>
      <c r="BL307" s="6"/>
      <c r="BM307" s="6"/>
      <c r="BN307" s="6"/>
      <c r="BO307" s="6"/>
      <c r="BP307" s="79"/>
      <c r="BQ307" s="6"/>
      <c r="BR307" s="6"/>
      <c r="BS307" s="6"/>
      <c r="BT307" s="6"/>
      <c r="BU307" s="79"/>
      <c r="BV307" s="6"/>
      <c r="BW307" s="6"/>
      <c r="BX307" s="6"/>
      <c r="BY307" s="6"/>
      <c r="BZ307" s="79"/>
      <c r="CA307" s="6"/>
      <c r="CB307" s="6"/>
      <c r="CC307" s="6"/>
      <c r="CD307" s="6"/>
      <c r="CE307" s="79"/>
      <c r="CF307" s="6"/>
      <c r="CG307" s="6"/>
      <c r="CH307" s="6"/>
      <c r="CI307" s="6"/>
      <c r="CJ307" s="79"/>
      <c r="CK307" s="6"/>
      <c r="CL307" s="6"/>
      <c r="CM307" s="6"/>
      <c r="CN307" s="6"/>
      <c r="CO307" s="79"/>
      <c r="CP307" s="6"/>
      <c r="CS307" s="6"/>
      <c r="CT307" s="79"/>
      <c r="CU307" s="591"/>
      <c r="CV307" s="591"/>
      <c r="CW307" s="591"/>
      <c r="CX307" s="591"/>
      <c r="CY307" s="590"/>
      <c r="CZ307" s="591"/>
      <c r="DA307" s="591"/>
      <c r="DB307" s="6"/>
      <c r="DC307" s="6"/>
      <c r="DD307" s="79"/>
      <c r="DE307" s="591"/>
      <c r="DF307" s="591"/>
      <c r="DG307" s="6"/>
      <c r="DH307" s="6"/>
      <c r="DI307" s="79"/>
    </row>
    <row r="308" spans="1:113" ht="12" hidden="1" customHeight="1" outlineLevel="1">
      <c r="A308" s="219"/>
      <c r="B308" s="17" t="s">
        <v>406</v>
      </c>
      <c r="C308" s="79"/>
      <c r="D308" s="6"/>
      <c r="E308" s="79"/>
      <c r="F308" s="6"/>
      <c r="G308" s="79"/>
      <c r="H308" s="6"/>
      <c r="I308" s="79"/>
      <c r="J308" s="6"/>
      <c r="K308" s="79"/>
      <c r="L308" s="6"/>
      <c r="M308" s="79"/>
      <c r="N308" s="6"/>
      <c r="O308" s="79"/>
      <c r="P308" s="6"/>
      <c r="Q308" s="79"/>
      <c r="R308" s="6"/>
      <c r="S308" s="6"/>
      <c r="T308" s="6"/>
      <c r="U308" s="6"/>
      <c r="V308" s="79"/>
      <c r="W308" s="6"/>
      <c r="X308" s="6"/>
      <c r="Y308" s="6"/>
      <c r="Z308" s="6"/>
      <c r="AA308" s="79"/>
      <c r="AB308" s="79"/>
      <c r="AC308" s="6"/>
      <c r="AD308" s="6"/>
      <c r="AE308" s="6"/>
      <c r="AF308" s="6"/>
      <c r="AG308" s="79"/>
      <c r="AH308" s="6"/>
      <c r="AI308" s="6"/>
      <c r="AJ308" s="6"/>
      <c r="AK308" s="6"/>
      <c r="AL308" s="79"/>
      <c r="AM308" s="6"/>
      <c r="AN308" s="6"/>
      <c r="AO308" s="6"/>
      <c r="AP308" s="6"/>
      <c r="AQ308" s="79"/>
      <c r="AR308" s="6"/>
      <c r="AS308" s="6"/>
      <c r="AT308" s="6"/>
      <c r="AU308" s="6"/>
      <c r="AV308" s="79"/>
      <c r="AW308" s="6"/>
      <c r="AX308" s="6"/>
      <c r="AY308" s="6"/>
      <c r="AZ308" s="6"/>
      <c r="BA308" s="79"/>
      <c r="BB308" s="6"/>
      <c r="BC308" s="6"/>
      <c r="BD308" s="6"/>
      <c r="BE308" s="6"/>
      <c r="BF308" s="79"/>
      <c r="BG308" s="6"/>
      <c r="BH308" s="6"/>
      <c r="BI308" s="6"/>
      <c r="BJ308" s="6"/>
      <c r="BK308" s="79"/>
      <c r="BL308" s="6"/>
      <c r="BM308" s="6"/>
      <c r="BN308" s="6"/>
      <c r="BO308" s="6"/>
      <c r="BP308" s="79"/>
      <c r="BQ308" s="6"/>
      <c r="BR308" s="6"/>
      <c r="BS308" s="6"/>
      <c r="BT308" s="6"/>
      <c r="BU308" s="79"/>
      <c r="BV308" s="6"/>
      <c r="BW308" s="6"/>
      <c r="BX308" s="6"/>
      <c r="BY308" s="6"/>
      <c r="BZ308" s="79"/>
      <c r="CA308" s="6"/>
      <c r="CB308" s="6"/>
      <c r="CC308" s="6"/>
      <c r="CD308" s="6"/>
      <c r="CE308" s="36">
        <v>-3</v>
      </c>
      <c r="CF308" s="43"/>
      <c r="CG308" s="43"/>
      <c r="CH308" s="43"/>
      <c r="CI308" s="43"/>
      <c r="CJ308" s="36">
        <v>-1</v>
      </c>
      <c r="CK308" s="43">
        <v>0</v>
      </c>
      <c r="CL308" s="43">
        <v>-1</v>
      </c>
      <c r="CM308" s="43">
        <v>15</v>
      </c>
      <c r="CN308" s="43">
        <f>CO308-CM308-CL308-CK308</f>
        <v>0</v>
      </c>
      <c r="CO308" s="36">
        <v>14</v>
      </c>
      <c r="CP308" s="43">
        <v>1</v>
      </c>
      <c r="CQ308" s="43">
        <v>1</v>
      </c>
      <c r="CR308" s="43">
        <v>-2</v>
      </c>
      <c r="CS308" s="43">
        <f>CT308-CR308-CQ308-CP308</f>
        <v>1</v>
      </c>
      <c r="CT308" s="36">
        <v>1</v>
      </c>
      <c r="CU308" s="43"/>
      <c r="CV308" s="43"/>
      <c r="CW308" s="43"/>
      <c r="CX308" s="43"/>
      <c r="CY308" s="36"/>
      <c r="CZ308" s="43"/>
      <c r="DA308" s="43"/>
      <c r="DB308" s="43"/>
      <c r="DC308" s="43"/>
      <c r="DD308" s="36"/>
      <c r="DE308" s="43"/>
      <c r="DF308" s="43"/>
      <c r="DG308" s="43"/>
      <c r="DH308" s="43"/>
      <c r="DI308" s="36"/>
    </row>
    <row r="309" spans="1:113" ht="12" hidden="1" customHeight="1" outlineLevel="1">
      <c r="A309" s="219"/>
      <c r="B309" s="17"/>
      <c r="C309" s="79"/>
      <c r="D309" s="6"/>
      <c r="E309" s="79"/>
      <c r="F309" s="6"/>
      <c r="G309" s="79"/>
      <c r="H309" s="6"/>
      <c r="I309" s="79"/>
      <c r="J309" s="6"/>
      <c r="K309" s="79"/>
      <c r="L309" s="6"/>
      <c r="M309" s="79"/>
      <c r="N309" s="6"/>
      <c r="O309" s="79"/>
      <c r="P309" s="6"/>
      <c r="Q309" s="79"/>
      <c r="R309" s="6"/>
      <c r="S309" s="6"/>
      <c r="T309" s="6"/>
      <c r="U309" s="6"/>
      <c r="V309" s="79"/>
      <c r="W309" s="6"/>
      <c r="X309" s="6"/>
      <c r="Y309" s="6"/>
      <c r="Z309" s="6"/>
      <c r="AA309" s="79"/>
      <c r="AB309" s="79"/>
      <c r="AC309" s="6"/>
      <c r="AD309" s="6"/>
      <c r="AE309" s="6"/>
      <c r="AF309" s="6"/>
      <c r="AG309" s="79"/>
      <c r="AH309" s="6"/>
      <c r="AI309" s="6"/>
      <c r="AJ309" s="6"/>
      <c r="AK309" s="6"/>
      <c r="AL309" s="79"/>
      <c r="AM309" s="6"/>
      <c r="AN309" s="6"/>
      <c r="AO309" s="6"/>
      <c r="AP309" s="6"/>
      <c r="AQ309" s="79"/>
      <c r="AR309" s="6"/>
      <c r="AS309" s="6"/>
      <c r="AT309" s="6"/>
      <c r="AU309" s="6"/>
      <c r="AV309" s="79"/>
      <c r="AW309" s="6"/>
      <c r="AX309" s="6"/>
      <c r="AY309" s="6"/>
      <c r="AZ309" s="6"/>
      <c r="BA309" s="79"/>
      <c r="BB309" s="6"/>
      <c r="BC309" s="6"/>
      <c r="BD309" s="6"/>
      <c r="BE309" s="6"/>
      <c r="BF309" s="79"/>
      <c r="BG309" s="6"/>
      <c r="BH309" s="6"/>
      <c r="BI309" s="6"/>
      <c r="BJ309" s="6"/>
      <c r="BK309" s="79"/>
      <c r="BL309" s="6"/>
      <c r="BM309" s="6"/>
      <c r="BN309" s="6"/>
      <c r="BO309" s="6"/>
      <c r="BP309" s="79"/>
      <c r="BQ309" s="6"/>
      <c r="BR309" s="6"/>
      <c r="BS309" s="6"/>
      <c r="BT309" s="6"/>
      <c r="BU309" s="79"/>
      <c r="BV309" s="6"/>
      <c r="BW309" s="6"/>
      <c r="BX309" s="6"/>
      <c r="BY309" s="6"/>
      <c r="BZ309" s="79"/>
      <c r="CA309" s="6"/>
      <c r="CB309" s="6"/>
      <c r="CC309" s="6"/>
      <c r="CD309" s="6"/>
      <c r="CE309" s="79"/>
      <c r="CF309" s="6"/>
      <c r="CG309" s="6"/>
      <c r="CH309" s="6"/>
      <c r="CI309" s="6"/>
      <c r="CJ309" s="79"/>
      <c r="CK309" s="6"/>
      <c r="CL309" s="6"/>
      <c r="CM309" s="588"/>
      <c r="CN309" s="6"/>
      <c r="CO309" s="79"/>
      <c r="CP309" s="6"/>
      <c r="CQ309" s="6"/>
      <c r="CR309" s="6"/>
      <c r="CS309" s="6"/>
      <c r="CT309" s="79"/>
      <c r="CU309" s="6"/>
      <c r="CV309" s="6"/>
      <c r="CW309" s="6"/>
      <c r="CX309" s="6"/>
      <c r="CY309" s="79"/>
      <c r="CZ309" s="6"/>
      <c r="DA309" s="6"/>
      <c r="DB309" s="6"/>
      <c r="DC309" s="6"/>
      <c r="DD309" s="79"/>
      <c r="DE309" s="6"/>
      <c r="DF309" s="6"/>
      <c r="DG309" s="6"/>
      <c r="DH309" s="6"/>
      <c r="DI309" s="79"/>
    </row>
    <row r="310" spans="1:113" s="7" customFormat="1" ht="12" customHeight="1" collapsed="1">
      <c r="A310" s="239" t="str">
        <f t="shared" si="709"/>
        <v xml:space="preserve"> </v>
      </c>
      <c r="B310" s="20" t="s">
        <v>179</v>
      </c>
      <c r="C310" s="36"/>
      <c r="D310" s="43"/>
      <c r="E310" s="36"/>
      <c r="F310" s="43"/>
      <c r="G310" s="36"/>
      <c r="H310" s="43"/>
      <c r="I310" s="36"/>
      <c r="J310" s="43"/>
      <c r="K310" s="36"/>
      <c r="L310" s="43"/>
      <c r="M310" s="36"/>
      <c r="N310" s="43"/>
      <c r="O310" s="36"/>
      <c r="P310" s="43"/>
      <c r="Q310" s="36"/>
      <c r="R310" s="43">
        <v>353</v>
      </c>
      <c r="S310" s="43">
        <v>190</v>
      </c>
      <c r="T310" s="43">
        <v>222</v>
      </c>
      <c r="U310" s="43">
        <v>209</v>
      </c>
      <c r="V310" s="36">
        <f>SUM(R310:U310)</f>
        <v>974</v>
      </c>
      <c r="W310" s="43">
        <v>293</v>
      </c>
      <c r="X310" s="43">
        <v>125</v>
      </c>
      <c r="Y310" s="43">
        <v>209</v>
      </c>
      <c r="Z310" s="43">
        <v>204</v>
      </c>
      <c r="AA310" s="36">
        <f>SUM(W310:Z310)</f>
        <v>831</v>
      </c>
      <c r="AB310" s="36"/>
      <c r="AC310" s="43">
        <v>266</v>
      </c>
      <c r="AD310" s="43">
        <v>147</v>
      </c>
      <c r="AE310" s="43">
        <v>243</v>
      </c>
      <c r="AF310" s="43">
        <v>221</v>
      </c>
      <c r="AG310" s="36">
        <f>SUM(AC310:AF310)</f>
        <v>877</v>
      </c>
      <c r="AH310" s="43">
        <v>346</v>
      </c>
      <c r="AI310" s="43">
        <v>171</v>
      </c>
      <c r="AJ310" s="43">
        <v>354</v>
      </c>
      <c r="AK310" s="43">
        <v>263</v>
      </c>
      <c r="AL310" s="36">
        <f>SUM(AH310:AK310)</f>
        <v>1134</v>
      </c>
      <c r="AM310" s="43">
        <v>472</v>
      </c>
      <c r="AN310" s="43">
        <v>318</v>
      </c>
      <c r="AO310" s="43">
        <v>385</v>
      </c>
      <c r="AP310" s="43">
        <v>348</v>
      </c>
      <c r="AQ310" s="36">
        <f>SUM(AM310:AP310)</f>
        <v>1523</v>
      </c>
      <c r="AR310" s="43">
        <v>597</v>
      </c>
      <c r="AS310" s="43">
        <v>407</v>
      </c>
      <c r="AT310" s="43">
        <v>415</v>
      </c>
      <c r="AU310" s="43">
        <v>368</v>
      </c>
      <c r="AV310" s="36">
        <f>SUM(AR310:AU310)</f>
        <v>1787</v>
      </c>
      <c r="AW310" s="43">
        <v>485</v>
      </c>
      <c r="AX310" s="43">
        <v>313</v>
      </c>
      <c r="AY310" s="43">
        <v>361</v>
      </c>
      <c r="AZ310" s="43">
        <v>348</v>
      </c>
      <c r="BA310" s="36">
        <f>SUM(AW310:AZ310)</f>
        <v>1507</v>
      </c>
      <c r="BB310" s="43">
        <v>451</v>
      </c>
      <c r="BC310" s="43">
        <v>337</v>
      </c>
      <c r="BD310" s="43">
        <v>417</v>
      </c>
      <c r="BE310" s="43">
        <v>382</v>
      </c>
      <c r="BF310" s="36">
        <f>SUM(BB310:BE310)</f>
        <v>1587</v>
      </c>
      <c r="BG310" s="43">
        <v>501</v>
      </c>
      <c r="BH310" s="43">
        <v>450</v>
      </c>
      <c r="BI310" s="43">
        <v>538</v>
      </c>
      <c r="BJ310" s="43">
        <v>506</v>
      </c>
      <c r="BK310" s="36">
        <f>SUM(BG310:BJ310)</f>
        <v>1995</v>
      </c>
      <c r="BL310" s="43">
        <v>609</v>
      </c>
      <c r="BM310" s="43">
        <v>510</v>
      </c>
      <c r="BN310" s="43">
        <v>575</v>
      </c>
      <c r="BO310" s="43">
        <v>-153</v>
      </c>
      <c r="BP310" s="36">
        <f>SUM(BL310:BO310)</f>
        <v>1541</v>
      </c>
      <c r="BQ310" s="43">
        <v>692</v>
      </c>
      <c r="BR310" s="43">
        <v>660</v>
      </c>
      <c r="BS310" s="43">
        <v>533</v>
      </c>
      <c r="BT310" s="43">
        <v>550</v>
      </c>
      <c r="BU310" s="36">
        <f>SUM(BQ310:BT310)</f>
        <v>2435</v>
      </c>
      <c r="BV310" s="43">
        <v>875</v>
      </c>
      <c r="BW310" s="43">
        <v>806</v>
      </c>
      <c r="BX310" s="43">
        <v>713</v>
      </c>
      <c r="BY310" s="43">
        <v>899</v>
      </c>
      <c r="BZ310" s="36">
        <f>SUM(BV310:BY310)</f>
        <v>3293</v>
      </c>
      <c r="CA310" s="43">
        <v>975</v>
      </c>
      <c r="CB310" s="43">
        <v>990</v>
      </c>
      <c r="CC310" s="43">
        <v>785</v>
      </c>
      <c r="CD310" s="43">
        <v>781</v>
      </c>
      <c r="CE310" s="36">
        <f>SUM(CA310:CD310)</f>
        <v>3531</v>
      </c>
      <c r="CF310" s="43">
        <v>930</v>
      </c>
      <c r="CG310" s="43">
        <v>927</v>
      </c>
      <c r="CH310" s="43">
        <v>734</v>
      </c>
      <c r="CI310" s="43">
        <v>797</v>
      </c>
      <c r="CJ310" s="36">
        <f>SUM(CF310:CI310)</f>
        <v>3388</v>
      </c>
      <c r="CK310" s="43">
        <v>792</v>
      </c>
      <c r="CL310" s="43">
        <v>831</v>
      </c>
      <c r="CM310" s="43">
        <v>480</v>
      </c>
      <c r="CN310" s="43">
        <v>472</v>
      </c>
      <c r="CO310" s="36">
        <f>SUM(CK310:CN310)</f>
        <v>2575</v>
      </c>
      <c r="CP310" s="43">
        <v>735</v>
      </c>
      <c r="CQ310" s="43">
        <v>733</v>
      </c>
      <c r="CR310" s="43">
        <v>515</v>
      </c>
      <c r="CS310" s="43">
        <v>434</v>
      </c>
      <c r="CT310" s="36">
        <f>SUM(CP310:CS310)</f>
        <v>2417</v>
      </c>
      <c r="CU310" s="43">
        <v>728</v>
      </c>
      <c r="CV310" s="43">
        <f>(CQ310/CQ251+CV313/100/100)*CV251</f>
        <v>653.12018691367939</v>
      </c>
      <c r="CW310" s="43">
        <f>(CR310/CR251+CW313/100/100)*CW251</f>
        <v>495.00329960000005</v>
      </c>
      <c r="CX310" s="43">
        <f>(CS310/CS251+CX313/100/100)*CX251</f>
        <v>419.15693795294112</v>
      </c>
      <c r="CY310" s="36">
        <f>SUM(CU310:CX310)</f>
        <v>2295.2804244666204</v>
      </c>
      <c r="CZ310" s="43">
        <f>(CU310/CU251+CZ313/100/100)*CZ251</f>
        <v>744.70282988413089</v>
      </c>
      <c r="DA310" s="43">
        <f>(CV310/CV251+DA313/100/100)*DA251</f>
        <v>694.95466035082086</v>
      </c>
      <c r="DB310" s="43">
        <f>(CW310/CW251+DB313/100/100)*DB251</f>
        <v>540.90316617971973</v>
      </c>
      <c r="DC310" s="43">
        <f>(CX310/CX251+DC313/100/100)*DC251</f>
        <v>468.10477501411754</v>
      </c>
      <c r="DD310" s="36">
        <f>SUM(CZ310:DC310)</f>
        <v>2448.6654314287889</v>
      </c>
      <c r="DE310" s="43">
        <f>(CZ310/CZ251+DE313/100/100)*DE251</f>
        <v>774.28750188413096</v>
      </c>
      <c r="DF310" s="43">
        <f>(DA310/DA251+DF313/100/100)*DF251</f>
        <v>722.90976456682097</v>
      </c>
      <c r="DG310" s="43">
        <f>(DB310/DB251+DG313/100/100)*DG251</f>
        <v>572.74332153955697</v>
      </c>
      <c r="DH310" s="43">
        <f>(DC310/DC251+DH313/100/100)*DH251</f>
        <v>499.66662205185889</v>
      </c>
      <c r="DI310" s="36">
        <f>SUM(DE310:DH310)</f>
        <v>2569.607210042368</v>
      </c>
    </row>
    <row r="311" spans="1:113" ht="12" customHeight="1">
      <c r="A311" s="219" t="str">
        <f t="shared" si="709"/>
        <v xml:space="preserve"> </v>
      </c>
      <c r="B311" s="491" t="s">
        <v>171</v>
      </c>
      <c r="C311" s="492"/>
      <c r="D311" s="522"/>
      <c r="E311" s="492"/>
      <c r="F311" s="522"/>
      <c r="G311" s="492"/>
      <c r="H311" s="522"/>
      <c r="I311" s="492"/>
      <c r="J311" s="522"/>
      <c r="K311" s="492"/>
      <c r="L311" s="522"/>
      <c r="M311" s="492"/>
      <c r="N311" s="522"/>
      <c r="O311" s="492"/>
      <c r="P311" s="522"/>
      <c r="Q311" s="492"/>
      <c r="R311" s="378" t="s">
        <v>126</v>
      </c>
      <c r="S311" s="522" t="s">
        <v>126</v>
      </c>
      <c r="T311" s="522" t="s">
        <v>126</v>
      </c>
      <c r="U311" s="522" t="s">
        <v>126</v>
      </c>
      <c r="V311" s="492" t="s">
        <v>126</v>
      </c>
      <c r="W311" s="52">
        <f>+W310/R310-1</f>
        <v>-0.16997167138810199</v>
      </c>
      <c r="X311" s="52">
        <f>+X310/S310-1</f>
        <v>-0.34210526315789469</v>
      </c>
      <c r="Y311" s="52">
        <f>+Y310/T310-1</f>
        <v>-5.8558558558558516E-2</v>
      </c>
      <c r="Z311" s="52">
        <f>+Z310/U310-1</f>
        <v>-2.3923444976076569E-2</v>
      </c>
      <c r="AA311" s="112">
        <f>+AA310/V310-1</f>
        <v>-0.14681724845995892</v>
      </c>
      <c r="AB311" s="112"/>
      <c r="AC311" s="52">
        <f>+AC310/W310-1</f>
        <v>-9.2150170648464202E-2</v>
      </c>
      <c r="AD311" s="52">
        <f>+AD310/X310-1</f>
        <v>0.17599999999999993</v>
      </c>
      <c r="AE311" s="52">
        <f>+AE310/Y310-1</f>
        <v>0.16267942583732053</v>
      </c>
      <c r="AF311" s="52">
        <f>+AF310/Z310-1</f>
        <v>8.3333333333333259E-2</v>
      </c>
      <c r="AG311" s="112">
        <f>+AG310/AA310-1</f>
        <v>5.53549939831528E-2</v>
      </c>
      <c r="AH311" s="52">
        <f t="shared" ref="AH311:BP311" si="937">+AH310/AC310-1</f>
        <v>0.3007518796992481</v>
      </c>
      <c r="AI311" s="52">
        <f t="shared" si="937"/>
        <v>0.16326530612244894</v>
      </c>
      <c r="AJ311" s="52">
        <f t="shared" si="937"/>
        <v>0.45679012345679015</v>
      </c>
      <c r="AK311" s="52">
        <f t="shared" si="937"/>
        <v>0.19004524886877827</v>
      </c>
      <c r="AL311" s="112">
        <f t="shared" si="937"/>
        <v>0.2930444697833523</v>
      </c>
      <c r="AM311" s="52">
        <f t="shared" si="937"/>
        <v>0.36416184971098264</v>
      </c>
      <c r="AN311" s="52">
        <f t="shared" si="937"/>
        <v>0.85964912280701755</v>
      </c>
      <c r="AO311" s="52">
        <f t="shared" si="937"/>
        <v>8.7570621468926468E-2</v>
      </c>
      <c r="AP311" s="52">
        <f t="shared" si="937"/>
        <v>0.32319391634980987</v>
      </c>
      <c r="AQ311" s="112">
        <f t="shared" si="937"/>
        <v>0.34303350970017643</v>
      </c>
      <c r="AR311" s="52">
        <f t="shared" si="937"/>
        <v>0.26483050847457634</v>
      </c>
      <c r="AS311" s="52">
        <f t="shared" si="937"/>
        <v>0.27987421383647804</v>
      </c>
      <c r="AT311" s="52">
        <f t="shared" si="937"/>
        <v>7.7922077922077948E-2</v>
      </c>
      <c r="AU311" s="52">
        <f t="shared" si="937"/>
        <v>5.7471264367816133E-2</v>
      </c>
      <c r="AV311" s="112">
        <f t="shared" si="937"/>
        <v>0.17334208798424156</v>
      </c>
      <c r="AW311" s="52">
        <f t="shared" si="937"/>
        <v>-0.18760469011725289</v>
      </c>
      <c r="AX311" s="52">
        <f t="shared" si="937"/>
        <v>-0.23095823095823098</v>
      </c>
      <c r="AY311" s="52">
        <f t="shared" si="937"/>
        <v>-0.13012048192771086</v>
      </c>
      <c r="AZ311" s="52">
        <f t="shared" si="937"/>
        <v>-5.4347826086956541E-2</v>
      </c>
      <c r="BA311" s="112">
        <f t="shared" si="937"/>
        <v>-0.15668718522663683</v>
      </c>
      <c r="BB311" s="52">
        <f t="shared" si="937"/>
        <v>-7.0103092783505128E-2</v>
      </c>
      <c r="BC311" s="52">
        <f t="shared" si="937"/>
        <v>7.667731629392982E-2</v>
      </c>
      <c r="BD311" s="52">
        <f t="shared" si="937"/>
        <v>0.15512465373961226</v>
      </c>
      <c r="BE311" s="52">
        <f t="shared" si="937"/>
        <v>9.7701149425287293E-2</v>
      </c>
      <c r="BF311" s="112">
        <f t="shared" si="937"/>
        <v>5.3085600530855981E-2</v>
      </c>
      <c r="BG311" s="52">
        <f t="shared" si="937"/>
        <v>0.11086474501108645</v>
      </c>
      <c r="BH311" s="52">
        <f t="shared" si="937"/>
        <v>0.33531157270029666</v>
      </c>
      <c r="BI311" s="52">
        <f t="shared" si="937"/>
        <v>0.29016786570743403</v>
      </c>
      <c r="BJ311" s="52">
        <f t="shared" si="937"/>
        <v>0.32460732984293195</v>
      </c>
      <c r="BK311" s="112">
        <f t="shared" si="937"/>
        <v>0.25708884688090738</v>
      </c>
      <c r="BL311" s="52">
        <f t="shared" si="937"/>
        <v>0.21556886227544902</v>
      </c>
      <c r="BM311" s="52">
        <f t="shared" si="937"/>
        <v>0.1333333333333333</v>
      </c>
      <c r="BN311" s="52">
        <f t="shared" si="937"/>
        <v>6.8773234200743438E-2</v>
      </c>
      <c r="BO311" s="52">
        <f t="shared" si="937"/>
        <v>-1.3023715415019763</v>
      </c>
      <c r="BP311" s="112">
        <f t="shared" si="937"/>
        <v>-0.22756892230576442</v>
      </c>
      <c r="BQ311" s="52">
        <f t="shared" ref="BQ311:CC311" si="938">+BQ310/BL310-1</f>
        <v>0.13628899835796382</v>
      </c>
      <c r="BR311" s="52">
        <f t="shared" si="938"/>
        <v>0.29411764705882359</v>
      </c>
      <c r="BS311" s="52">
        <f t="shared" si="938"/>
        <v>-7.3043478260869543E-2</v>
      </c>
      <c r="BT311" s="52">
        <f t="shared" si="938"/>
        <v>-4.594771241830065</v>
      </c>
      <c r="BU311" s="112">
        <f t="shared" si="938"/>
        <v>0.58014276443867629</v>
      </c>
      <c r="BV311" s="52">
        <f t="shared" si="938"/>
        <v>0.26445086705202314</v>
      </c>
      <c r="BW311" s="52">
        <f t="shared" si="938"/>
        <v>0.22121212121212119</v>
      </c>
      <c r="BX311" s="52">
        <f t="shared" si="938"/>
        <v>0.33771106941838647</v>
      </c>
      <c r="BY311" s="52">
        <f t="shared" si="938"/>
        <v>0.63454545454545452</v>
      </c>
      <c r="BZ311" s="112">
        <f t="shared" si="938"/>
        <v>0.3523613963039014</v>
      </c>
      <c r="CA311" s="52">
        <f t="shared" si="938"/>
        <v>0.11428571428571432</v>
      </c>
      <c r="CB311" s="52">
        <f t="shared" si="938"/>
        <v>0.22828784119106693</v>
      </c>
      <c r="CC311" s="52">
        <f t="shared" si="938"/>
        <v>0.10098176718092566</v>
      </c>
      <c r="CD311" s="52">
        <f t="shared" ref="CD311" si="939">+CD310/BY310-1</f>
        <v>-0.13125695216907673</v>
      </c>
      <c r="CE311" s="112">
        <f t="shared" ref="CE311" si="940">+CE310/BZ310-1</f>
        <v>7.227452171272386E-2</v>
      </c>
      <c r="CF311" s="52">
        <f t="shared" ref="CF311" si="941">+CF310/CA310-1</f>
        <v>-4.6153846153846101E-2</v>
      </c>
      <c r="CG311" s="52">
        <f t="shared" ref="CG311:CH311" si="942">+CG310/CB310-1</f>
        <v>-6.3636363636363602E-2</v>
      </c>
      <c r="CH311" s="52">
        <f t="shared" si="942"/>
        <v>-6.4968152866242024E-2</v>
      </c>
      <c r="CI311" s="52">
        <f t="shared" ref="CI311" si="943">+CI310/CD310-1</f>
        <v>2.0486555697823317E-2</v>
      </c>
      <c r="CJ311" s="112">
        <f t="shared" ref="CJ311:CL311" si="944">+CJ310/CE310-1</f>
        <v>-4.0498442367601251E-2</v>
      </c>
      <c r="CK311" s="52">
        <f t="shared" si="944"/>
        <v>-0.14838709677419359</v>
      </c>
      <c r="CL311" s="52">
        <f t="shared" si="944"/>
        <v>-0.1035598705501618</v>
      </c>
      <c r="CM311" s="52">
        <f t="shared" ref="CM311:CN311" si="945">+CM310/CH310-1</f>
        <v>-0.34604904632152589</v>
      </c>
      <c r="CN311" s="114">
        <f t="shared" si="945"/>
        <v>-0.40777917189460477</v>
      </c>
      <c r="CO311" s="112">
        <f t="shared" ref="CO311:CR311" si="946">+CO310/CJ310-1</f>
        <v>-0.23996458087367178</v>
      </c>
      <c r="CP311" s="52">
        <f t="shared" si="946"/>
        <v>-7.1969696969697017E-2</v>
      </c>
      <c r="CQ311" s="52">
        <f t="shared" si="946"/>
        <v>-0.1179302045728039</v>
      </c>
      <c r="CR311" s="52">
        <f t="shared" si="946"/>
        <v>7.2916666666666741E-2</v>
      </c>
      <c r="CS311" s="52">
        <f t="shared" ref="CS311" si="947">+CS310/CN310-1</f>
        <v>-8.0508474576271194E-2</v>
      </c>
      <c r="CT311" s="112">
        <f t="shared" ref="CT311:CU311" si="948">+CT310/CO310-1</f>
        <v>-6.1359223300970878E-2</v>
      </c>
      <c r="CU311" s="52">
        <f t="shared" si="948"/>
        <v>-9.52380952380949E-3</v>
      </c>
      <c r="CV311" s="52">
        <f t="shared" ref="CV311" si="949">+CV310/CQ310-1</f>
        <v>-0.10897655264163797</v>
      </c>
      <c r="CW311" s="52">
        <f t="shared" ref="CW311" si="950">+CW310/CR310-1</f>
        <v>-3.8828544466019355E-2</v>
      </c>
      <c r="CX311" s="52">
        <f t="shared" ref="CX311" si="951">+CX310/CS310-1</f>
        <v>-3.4200603795066509E-2</v>
      </c>
      <c r="CY311" s="112">
        <f t="shared" ref="CY311" si="952">+CY310/CT310-1</f>
        <v>-5.0359774734538565E-2</v>
      </c>
      <c r="CZ311" s="52">
        <f t="shared" ref="CZ311" si="953">+CZ310/CU310-1</f>
        <v>2.2943447643037018E-2</v>
      </c>
      <c r="DA311" s="52">
        <f t="shared" ref="DA311" si="954">+DA310/CV310-1</f>
        <v>6.4053254324951014E-2</v>
      </c>
      <c r="DB311" s="52">
        <f t="shared" ref="DB311" si="955">+DB310/CW310-1</f>
        <v>9.2726385090382779E-2</v>
      </c>
      <c r="DC311" s="52">
        <f t="shared" ref="DC311" si="956">+DC310/CX310-1</f>
        <v>0.11677687431401118</v>
      </c>
      <c r="DD311" s="112">
        <f t="shared" ref="DD311" si="957">+DD310/CY310-1</f>
        <v>6.6826260236943602E-2</v>
      </c>
      <c r="DE311" s="52">
        <f t="shared" ref="DE311" si="958">+DE310/CZ310-1</f>
        <v>3.9726815600530374E-2</v>
      </c>
      <c r="DF311" s="52">
        <f t="shared" ref="DF311" si="959">+DF310/DA310-1</f>
        <v>4.02257957402401E-2</v>
      </c>
      <c r="DG311" s="52">
        <f t="shared" ref="DG311" si="960">+DG310/DB310-1</f>
        <v>5.8864797528765278E-2</v>
      </c>
      <c r="DH311" s="52">
        <f t="shared" ref="DH311" si="961">+DH310/DC310-1</f>
        <v>6.7424749163879971E-2</v>
      </c>
      <c r="DI311" s="112">
        <f t="shared" ref="DI311" si="962">+DI310/DD310-1</f>
        <v>4.9390895571638005E-2</v>
      </c>
    </row>
    <row r="312" spans="1:113" s="3" customFormat="1" ht="12" customHeight="1">
      <c r="A312" s="490" t="str">
        <f t="shared" si="709"/>
        <v xml:space="preserve"> </v>
      </c>
      <c r="B312" s="491" t="s">
        <v>170</v>
      </c>
      <c r="C312" s="550"/>
      <c r="D312" s="549"/>
      <c r="E312" s="550"/>
      <c r="F312" s="549"/>
      <c r="G312" s="550"/>
      <c r="H312" s="549"/>
      <c r="I312" s="550"/>
      <c r="J312" s="549"/>
      <c r="K312" s="550"/>
      <c r="L312" s="549"/>
      <c r="M312" s="550"/>
      <c r="N312" s="549"/>
      <c r="O312" s="550"/>
      <c r="P312" s="549"/>
      <c r="Q312" s="550"/>
      <c r="R312" s="111">
        <f t="shared" ref="R312:AA312" si="963">+R310/R251</f>
        <v>0.26441947565543072</v>
      </c>
      <c r="S312" s="111">
        <f t="shared" si="963"/>
        <v>0.17641597028783659</v>
      </c>
      <c r="T312" s="111">
        <f t="shared" si="963"/>
        <v>0.18893617021276596</v>
      </c>
      <c r="U312" s="111">
        <f t="shared" si="963"/>
        <v>0.15942028985507245</v>
      </c>
      <c r="V312" s="229">
        <f t="shared" si="963"/>
        <v>0.19885667619436503</v>
      </c>
      <c r="W312" s="111">
        <f t="shared" si="963"/>
        <v>0.18758002560819462</v>
      </c>
      <c r="X312" s="111">
        <f t="shared" si="963"/>
        <v>0.10629251700680271</v>
      </c>
      <c r="Y312" s="111">
        <f t="shared" si="963"/>
        <v>0.16895715440582054</v>
      </c>
      <c r="Z312" s="111">
        <f t="shared" si="963"/>
        <v>0.14901387874360847</v>
      </c>
      <c r="AA312" s="229">
        <f t="shared" si="963"/>
        <v>0.15550149700598803</v>
      </c>
      <c r="AB312" s="229"/>
      <c r="AC312" s="111">
        <f t="shared" ref="AC312:BH312" si="964">+AC310/AC251</f>
        <v>0.17697937458416502</v>
      </c>
      <c r="AD312" s="111">
        <f t="shared" si="964"/>
        <v>0.12672413793103449</v>
      </c>
      <c r="AE312" s="111">
        <f t="shared" si="964"/>
        <v>0.1786764705882353</v>
      </c>
      <c r="AF312" s="111">
        <f t="shared" si="964"/>
        <v>0.1579699785561115</v>
      </c>
      <c r="AG312" s="229">
        <f t="shared" si="964"/>
        <v>0.1617484323127997</v>
      </c>
      <c r="AH312" s="111">
        <f t="shared" si="964"/>
        <v>0.20755848830233953</v>
      </c>
      <c r="AI312" s="111">
        <f t="shared" si="964"/>
        <v>0.12490869247626005</v>
      </c>
      <c r="AJ312" s="111">
        <f t="shared" si="964"/>
        <v>0.21480582524271843</v>
      </c>
      <c r="AK312" s="111">
        <f t="shared" si="964"/>
        <v>0.15636147443519618</v>
      </c>
      <c r="AL312" s="229">
        <f t="shared" si="964"/>
        <v>0.17813383600377003</v>
      </c>
      <c r="AM312" s="111">
        <f t="shared" si="964"/>
        <v>0.22412155745489079</v>
      </c>
      <c r="AN312" s="111">
        <f t="shared" si="964"/>
        <v>0.19179734620024125</v>
      </c>
      <c r="AO312" s="111">
        <f t="shared" si="964"/>
        <v>0.22190201729106629</v>
      </c>
      <c r="AP312" s="111">
        <f t="shared" si="964"/>
        <v>0.21389059618930548</v>
      </c>
      <c r="AQ312" s="229">
        <f t="shared" si="964"/>
        <v>0.2137243895593601</v>
      </c>
      <c r="AR312" s="111">
        <f t="shared" si="964"/>
        <v>0.28374524714828897</v>
      </c>
      <c r="AS312" s="111">
        <f t="shared" si="964"/>
        <v>0.23842999414176919</v>
      </c>
      <c r="AT312" s="111">
        <f t="shared" si="964"/>
        <v>0.22396114409066378</v>
      </c>
      <c r="AU312" s="111">
        <f t="shared" si="964"/>
        <v>0.19327731092436976</v>
      </c>
      <c r="AV312" s="229">
        <f t="shared" si="964"/>
        <v>0.23612579281183932</v>
      </c>
      <c r="AW312" s="111">
        <f t="shared" si="964"/>
        <v>0.21441202475685234</v>
      </c>
      <c r="AX312" s="111">
        <f t="shared" si="964"/>
        <v>0.17466517857142858</v>
      </c>
      <c r="AY312" s="111">
        <f t="shared" si="964"/>
        <v>0.18753246753246752</v>
      </c>
      <c r="AZ312" s="111">
        <f t="shared" si="964"/>
        <v>0.17478653942742339</v>
      </c>
      <c r="BA312" s="229">
        <f t="shared" si="964"/>
        <v>0.1890840652446675</v>
      </c>
      <c r="BB312" s="111">
        <f t="shared" si="964"/>
        <v>0.1924061433447099</v>
      </c>
      <c r="BC312" s="111">
        <f t="shared" si="964"/>
        <v>0.15799343647444913</v>
      </c>
      <c r="BD312" s="111">
        <f t="shared" si="964"/>
        <v>0.18138321009134406</v>
      </c>
      <c r="BE312" s="111">
        <f t="shared" si="964"/>
        <v>0.15490673154906731</v>
      </c>
      <c r="BF312" s="229">
        <f t="shared" si="964"/>
        <v>0.17171607877082881</v>
      </c>
      <c r="BG312" s="111">
        <f t="shared" si="964"/>
        <v>0.19217491369390102</v>
      </c>
      <c r="BH312" s="111">
        <f t="shared" si="964"/>
        <v>0.19455252918287938</v>
      </c>
      <c r="BI312" s="111">
        <f t="shared" ref="BI312:CN312" si="965">+BI310/BI251</f>
        <v>0.22094455852156059</v>
      </c>
      <c r="BJ312" s="111">
        <f t="shared" si="965"/>
        <v>0.20594220594220594</v>
      </c>
      <c r="BK312" s="229">
        <f t="shared" si="965"/>
        <v>0.20332246229107215</v>
      </c>
      <c r="BL312" s="111">
        <f t="shared" si="965"/>
        <v>0.21961774251712946</v>
      </c>
      <c r="BM312" s="111">
        <f t="shared" si="965"/>
        <v>0.20102483247930628</v>
      </c>
      <c r="BN312" s="111">
        <f t="shared" si="965"/>
        <v>0.21225544481358435</v>
      </c>
      <c r="BO312" s="111">
        <f t="shared" si="965"/>
        <v>-0.11521084337349398</v>
      </c>
      <c r="BP312" s="229">
        <f t="shared" si="965"/>
        <v>0.16486573232053064</v>
      </c>
      <c r="BQ312" s="111">
        <f t="shared" si="965"/>
        <v>0.23780068728522336</v>
      </c>
      <c r="BR312" s="111">
        <f t="shared" si="965"/>
        <v>0.2231237322515213</v>
      </c>
      <c r="BS312" s="111">
        <f t="shared" si="965"/>
        <v>0.20429283250287467</v>
      </c>
      <c r="BT312" s="111">
        <f t="shared" si="965"/>
        <v>0.18462571332661967</v>
      </c>
      <c r="BU312" s="229">
        <f t="shared" si="965"/>
        <v>0.21255237430167598</v>
      </c>
      <c r="BV312" s="111">
        <f t="shared" si="965"/>
        <v>0.26459026307831873</v>
      </c>
      <c r="BW312" s="111">
        <f t="shared" si="965"/>
        <v>0.25652450668364102</v>
      </c>
      <c r="BX312" s="111">
        <f t="shared" si="965"/>
        <v>0.25656711047139258</v>
      </c>
      <c r="BY312" s="111">
        <f t="shared" si="965"/>
        <v>0.27653029836973236</v>
      </c>
      <c r="BZ312" s="229">
        <f t="shared" si="965"/>
        <v>0.26388332398429359</v>
      </c>
      <c r="CA312" s="52">
        <f t="shared" si="965"/>
        <v>0.29252925292529253</v>
      </c>
      <c r="CB312" s="52">
        <f t="shared" si="965"/>
        <v>0.28374892519346517</v>
      </c>
      <c r="CC312" s="52">
        <f t="shared" si="965"/>
        <v>0.24183610597658656</v>
      </c>
      <c r="CD312" s="52">
        <f t="shared" si="965"/>
        <v>0.23313432835820896</v>
      </c>
      <c r="CE312" s="112">
        <f t="shared" si="965"/>
        <v>0.26315397227604709</v>
      </c>
      <c r="CF312" s="52">
        <f t="shared" si="965"/>
        <v>0.25761772853185594</v>
      </c>
      <c r="CG312" s="52">
        <f t="shared" si="965"/>
        <v>0.25988225399495374</v>
      </c>
      <c r="CH312" s="52">
        <f t="shared" si="965"/>
        <v>0.23390694710006374</v>
      </c>
      <c r="CI312" s="52">
        <f t="shared" si="965"/>
        <v>0.24210206561360875</v>
      </c>
      <c r="CJ312" s="112">
        <f t="shared" si="965"/>
        <v>0.24898949070331447</v>
      </c>
      <c r="CK312" s="52">
        <f t="shared" si="965"/>
        <v>0.25198854597518294</v>
      </c>
      <c r="CL312" s="52">
        <f t="shared" si="965"/>
        <v>0.25158946412352406</v>
      </c>
      <c r="CM312" s="52">
        <f t="shared" si="965"/>
        <v>0.17075773745997866</v>
      </c>
      <c r="CN312" s="114">
        <f t="shared" si="965"/>
        <v>0.15733333333333333</v>
      </c>
      <c r="CO312" s="112">
        <f t="shared" ref="CO312:DI312" si="966">+CO310/CO251</f>
        <v>0.21008403361344538</v>
      </c>
      <c r="CP312" s="52">
        <f t="shared" si="966"/>
        <v>0.22065445812068449</v>
      </c>
      <c r="CQ312" s="52">
        <f t="shared" si="966"/>
        <v>0.21609669811320756</v>
      </c>
      <c r="CR312" s="52">
        <f t="shared" si="966"/>
        <v>0.17919276270006959</v>
      </c>
      <c r="CS312" s="52">
        <f t="shared" si="966"/>
        <v>0.14588235294117646</v>
      </c>
      <c r="CT312" s="112">
        <f t="shared" si="966"/>
        <v>0.19225262488068723</v>
      </c>
      <c r="CU312" s="52">
        <f t="shared" si="966"/>
        <v>0.22921914357682618</v>
      </c>
      <c r="CV312" s="52">
        <f t="shared" si="966"/>
        <v>0.22609669811320757</v>
      </c>
      <c r="CW312" s="52">
        <f t="shared" si="966"/>
        <v>0.1841927627000696</v>
      </c>
      <c r="CX312" s="52">
        <f t="shared" si="966"/>
        <v>0.15338235294117647</v>
      </c>
      <c r="CY312" s="112">
        <f t="shared" si="966"/>
        <v>0.19985280235954817</v>
      </c>
      <c r="CZ312" s="52">
        <f t="shared" si="966"/>
        <v>0.25171914357682618</v>
      </c>
      <c r="DA312" s="52">
        <f t="shared" si="966"/>
        <v>0.24859669811320756</v>
      </c>
      <c r="DB312" s="52">
        <f t="shared" si="966"/>
        <v>0.20669276270006962</v>
      </c>
      <c r="DC312" s="52">
        <f t="shared" si="966"/>
        <v>0.17588235294117646</v>
      </c>
      <c r="DD312" s="112">
        <f t="shared" si="966"/>
        <v>0.22195248311517482</v>
      </c>
      <c r="DE312" s="52">
        <f t="shared" si="966"/>
        <v>0.26171914357682619</v>
      </c>
      <c r="DF312" s="52">
        <f t="shared" si="966"/>
        <v>0.25859669811320757</v>
      </c>
      <c r="DG312" s="52">
        <f t="shared" si="966"/>
        <v>0.21669276270006962</v>
      </c>
      <c r="DH312" s="52">
        <f t="shared" si="966"/>
        <v>0.18588235294117647</v>
      </c>
      <c r="DI312" s="112">
        <f t="shared" si="966"/>
        <v>0.23180584768197685</v>
      </c>
    </row>
    <row r="313" spans="1:113" s="3" customFormat="1" ht="12" customHeight="1">
      <c r="A313" s="490" t="str">
        <f t="shared" si="709"/>
        <v xml:space="preserve"> </v>
      </c>
      <c r="B313" s="491" t="s">
        <v>174</v>
      </c>
      <c r="C313" s="571"/>
      <c r="D313" s="572"/>
      <c r="E313" s="571"/>
      <c r="F313" s="572"/>
      <c r="G313" s="571"/>
      <c r="H313" s="572"/>
      <c r="I313" s="571"/>
      <c r="J313" s="572"/>
      <c r="K313" s="571"/>
      <c r="L313" s="572"/>
      <c r="M313" s="571"/>
      <c r="N313" s="572"/>
      <c r="O313" s="571"/>
      <c r="P313" s="572"/>
      <c r="Q313" s="571"/>
      <c r="R313" s="573" t="s">
        <v>126</v>
      </c>
      <c r="S313" s="572" t="s">
        <v>126</v>
      </c>
      <c r="T313" s="572" t="s">
        <v>126</v>
      </c>
      <c r="U313" s="572" t="s">
        <v>126</v>
      </c>
      <c r="V313" s="571" t="s">
        <v>126</v>
      </c>
      <c r="W313" s="572">
        <f>+(W312-R312)*100*100</f>
        <v>-768.39450047236107</v>
      </c>
      <c r="X313" s="572">
        <f>+(X312-S312)*100*100</f>
        <v>-701.23453281033881</v>
      </c>
      <c r="Y313" s="572">
        <f>+(Y312-T312)*100*100</f>
        <v>-199.79015806945415</v>
      </c>
      <c r="Z313" s="572">
        <f>+(Z312-U312)*100*100</f>
        <v>-104.06411111463983</v>
      </c>
      <c r="AA313" s="571">
        <f>+(AA312-V312)*100*100</f>
        <v>-433.55179188377002</v>
      </c>
      <c r="AB313" s="571"/>
      <c r="AC313" s="572">
        <f>+(AC312-W312)*100*100</f>
        <v>-106.00651024029601</v>
      </c>
      <c r="AD313" s="572">
        <f>+(AD312-X312)*100*100</f>
        <v>204.31620924231771</v>
      </c>
      <c r="AE313" s="572">
        <f>+(AE312-Y312)*100*100</f>
        <v>97.193161824147552</v>
      </c>
      <c r="AF313" s="572">
        <f>+(AF312-Z312)*100*100</f>
        <v>89.560998125030324</v>
      </c>
      <c r="AG313" s="571">
        <f>+(AG312-AA312)*100*100</f>
        <v>62.469353068116682</v>
      </c>
      <c r="AH313" s="572">
        <f t="shared" ref="AH313:CC313" si="967">+(AH312-AC312)*100*100</f>
        <v>305.79113718174511</v>
      </c>
      <c r="AI313" s="572">
        <f t="shared" si="967"/>
        <v>-18.154454547744393</v>
      </c>
      <c r="AJ313" s="572">
        <f t="shared" si="967"/>
        <v>361.29354654483137</v>
      </c>
      <c r="AK313" s="572">
        <f t="shared" si="967"/>
        <v>-16.085041209153161</v>
      </c>
      <c r="AL313" s="571">
        <f t="shared" si="967"/>
        <v>163.85403690970327</v>
      </c>
      <c r="AM313" s="572">
        <f t="shared" si="967"/>
        <v>165.63069152551262</v>
      </c>
      <c r="AN313" s="572">
        <f t="shared" si="967"/>
        <v>668.88653723981201</v>
      </c>
      <c r="AO313" s="572">
        <f t="shared" si="967"/>
        <v>70.961920483478551</v>
      </c>
      <c r="AP313" s="572">
        <f t="shared" si="967"/>
        <v>575.29121754109292</v>
      </c>
      <c r="AQ313" s="571">
        <f t="shared" si="967"/>
        <v>355.90553555590071</v>
      </c>
      <c r="AR313" s="572">
        <f t="shared" si="967"/>
        <v>596.23689693398182</v>
      </c>
      <c r="AS313" s="572">
        <f t="shared" si="967"/>
        <v>466.32647941527938</v>
      </c>
      <c r="AT313" s="572">
        <f t="shared" si="967"/>
        <v>20.591267995974938</v>
      </c>
      <c r="AU313" s="572">
        <f t="shared" si="967"/>
        <v>-206.13285264935718</v>
      </c>
      <c r="AV313" s="571">
        <f t="shared" si="967"/>
        <v>224.01403252479219</v>
      </c>
      <c r="AW313" s="572">
        <f t="shared" si="967"/>
        <v>-693.3322239143663</v>
      </c>
      <c r="AX313" s="572">
        <f t="shared" si="967"/>
        <v>-637.64815570340602</v>
      </c>
      <c r="AY313" s="572">
        <f t="shared" si="967"/>
        <v>-364.28676558196258</v>
      </c>
      <c r="AZ313" s="572">
        <f t="shared" si="967"/>
        <v>-184.9077149694636</v>
      </c>
      <c r="BA313" s="571">
        <f t="shared" si="967"/>
        <v>-470.41727567171813</v>
      </c>
      <c r="BB313" s="572">
        <f t="shared" si="967"/>
        <v>-220.05881412142435</v>
      </c>
      <c r="BC313" s="572">
        <f t="shared" si="967"/>
        <v>-166.7174209697944</v>
      </c>
      <c r="BD313" s="572">
        <f t="shared" si="967"/>
        <v>-61.492574411234621</v>
      </c>
      <c r="BE313" s="572">
        <f t="shared" si="967"/>
        <v>-198.79807878356081</v>
      </c>
      <c r="BF313" s="598">
        <f>+(BF312-BA312)*100*100</f>
        <v>-173.67986473838693</v>
      </c>
      <c r="BG313" s="572">
        <f t="shared" si="967"/>
        <v>-2.3122965080887847</v>
      </c>
      <c r="BH313" s="572">
        <f t="shared" si="967"/>
        <v>365.59092708430245</v>
      </c>
      <c r="BI313" s="572">
        <f t="shared" si="967"/>
        <v>395.61348430216526</v>
      </c>
      <c r="BJ313" s="572">
        <f t="shared" si="967"/>
        <v>510.35474393138634</v>
      </c>
      <c r="BK313" s="598">
        <f>+(BK312-BF312)*100*100</f>
        <v>316.06383520243338</v>
      </c>
      <c r="BL313" s="572">
        <f t="shared" si="967"/>
        <v>274.42828823228433</v>
      </c>
      <c r="BM313" s="572">
        <f t="shared" si="967"/>
        <v>64.723032964268953</v>
      </c>
      <c r="BN313" s="572">
        <f t="shared" si="967"/>
        <v>-86.891137079762316</v>
      </c>
      <c r="BO313" s="572">
        <f t="shared" si="967"/>
        <v>-3211.5304931569995</v>
      </c>
      <c r="BP313" s="598">
        <f>+(BP312-BK312)*100*100</f>
        <v>-384.56729970541505</v>
      </c>
      <c r="BQ313" s="572">
        <f t="shared" si="967"/>
        <v>181.82944768093901</v>
      </c>
      <c r="BR313" s="572">
        <f t="shared" si="967"/>
        <v>220.9889977221502</v>
      </c>
      <c r="BS313" s="572">
        <f t="shared" si="967"/>
        <v>-79.626123107096873</v>
      </c>
      <c r="BT313" s="572">
        <f t="shared" si="967"/>
        <v>2998.3655670011367</v>
      </c>
      <c r="BU313" s="598">
        <f>+(BU312-BP312)*100*100</f>
        <v>476.86641981145328</v>
      </c>
      <c r="BV313" s="572">
        <f t="shared" si="967"/>
        <v>267.89575793095378</v>
      </c>
      <c r="BW313" s="572">
        <f t="shared" si="967"/>
        <v>334.00774432119726</v>
      </c>
      <c r="BX313" s="572">
        <f t="shared" si="967"/>
        <v>522.74277968517913</v>
      </c>
      <c r="BY313" s="572">
        <f t="shared" si="967"/>
        <v>919.04585043112695</v>
      </c>
      <c r="BZ313" s="598">
        <f>+(BZ312-BU312)*100*100</f>
        <v>513.30949682617609</v>
      </c>
      <c r="CA313" s="572">
        <f t="shared" si="967"/>
        <v>279.38989846973794</v>
      </c>
      <c r="CB313" s="572">
        <f t="shared" si="967"/>
        <v>272.24418509824153</v>
      </c>
      <c r="CC313" s="572">
        <f t="shared" si="967"/>
        <v>-147.31004494806021</v>
      </c>
      <c r="CD313" s="572">
        <f t="shared" ref="CD313" si="968">+(CD312-BY312)*100*100</f>
        <v>-433.959700115234</v>
      </c>
      <c r="CE313" s="598">
        <f>+(CE312-BZ312)*100*100</f>
        <v>-7.2935170824650619</v>
      </c>
      <c r="CF313" s="572">
        <f t="shared" ref="CF313:CU313" si="969">+(CF312-CA312)*100*100</f>
        <v>-349.11524393436588</v>
      </c>
      <c r="CG313" s="572">
        <f t="shared" si="969"/>
        <v>-238.66671198511432</v>
      </c>
      <c r="CH313" s="572">
        <f t="shared" si="969"/>
        <v>-79.291588765228184</v>
      </c>
      <c r="CI313" s="599">
        <f t="shared" si="969"/>
        <v>89.677372553997884</v>
      </c>
      <c r="CJ313" s="598">
        <f>+(CJ312-CE312)*100*100</f>
        <v>-141.6448157273262</v>
      </c>
      <c r="CK313" s="572">
        <f t="shared" si="969"/>
        <v>-56.291825566729955</v>
      </c>
      <c r="CL313" s="572">
        <f t="shared" si="969"/>
        <v>-82.927898714296731</v>
      </c>
      <c r="CM313" s="572">
        <f t="shared" si="969"/>
        <v>-631.49209640085076</v>
      </c>
      <c r="CN313" s="599">
        <f t="shared" si="969"/>
        <v>-847.68732280275435</v>
      </c>
      <c r="CO313" s="598">
        <f>+(CO312-CJ312)*100*100</f>
        <v>-389.05457089869088</v>
      </c>
      <c r="CP313" s="572">
        <f t="shared" si="969"/>
        <v>-313.34087854498455</v>
      </c>
      <c r="CQ313" s="572">
        <f t="shared" si="969"/>
        <v>-354.92766010316507</v>
      </c>
      <c r="CR313" s="572">
        <f t="shared" si="969"/>
        <v>84.350252400909326</v>
      </c>
      <c r="CS313" s="599">
        <f t="shared" si="969"/>
        <v>-114.50980392156862</v>
      </c>
      <c r="CT313" s="598">
        <f>+(CT312-CO312)*100*100</f>
        <v>-178.31408732758152</v>
      </c>
      <c r="CU313" s="572">
        <f t="shared" si="969"/>
        <v>85.646854561416959</v>
      </c>
      <c r="CV313" s="600">
        <v>100</v>
      </c>
      <c r="CW313" s="600">
        <v>50</v>
      </c>
      <c r="CX313" s="600">
        <v>75</v>
      </c>
      <c r="CY313" s="598">
        <f>+(CY312-CT312)*100*100</f>
        <v>76.001774788609367</v>
      </c>
      <c r="CZ313" s="600">
        <v>225</v>
      </c>
      <c r="DA313" s="600">
        <v>225</v>
      </c>
      <c r="DB313" s="600">
        <v>225</v>
      </c>
      <c r="DC313" s="600">
        <v>225</v>
      </c>
      <c r="DD313" s="598">
        <f>+(DD312-CY312)*100*100</f>
        <v>220.99680755626653</v>
      </c>
      <c r="DE313" s="600">
        <v>100</v>
      </c>
      <c r="DF313" s="600">
        <v>100</v>
      </c>
      <c r="DG313" s="600">
        <v>100</v>
      </c>
      <c r="DH313" s="600">
        <v>100</v>
      </c>
      <c r="DI313" s="598">
        <f>+(DI312-DD312)*100*100</f>
        <v>98.533645668020256</v>
      </c>
    </row>
    <row r="314" spans="1:113" ht="12" customHeight="1">
      <c r="A314" s="219"/>
      <c r="B314" s="17"/>
      <c r="C314" s="79"/>
      <c r="D314" s="6"/>
      <c r="E314" s="79"/>
      <c r="F314" s="6"/>
      <c r="G314" s="79"/>
      <c r="H314" s="6"/>
      <c r="I314" s="79"/>
      <c r="J314" s="6"/>
      <c r="K314" s="79"/>
      <c r="L314" s="6"/>
      <c r="M314" s="79"/>
      <c r="N314" s="6"/>
      <c r="O314" s="79"/>
      <c r="P314" s="6"/>
      <c r="Q314" s="79"/>
      <c r="R314" s="6"/>
      <c r="S314" s="6"/>
      <c r="T314" s="6"/>
      <c r="U314" s="6"/>
      <c r="V314" s="79"/>
      <c r="W314" s="6"/>
      <c r="X314" s="6"/>
      <c r="Y314" s="6"/>
      <c r="Z314" s="6"/>
      <c r="AA314" s="79"/>
      <c r="AB314" s="79"/>
      <c r="AC314" s="6"/>
      <c r="AD314" s="6"/>
      <c r="AE314" s="6"/>
      <c r="AF314" s="6"/>
      <c r="AG314" s="79"/>
      <c r="AH314" s="6"/>
      <c r="AI314" s="6"/>
      <c r="AJ314" s="6"/>
      <c r="AK314" s="6"/>
      <c r="AL314" s="79"/>
      <c r="AM314" s="6"/>
      <c r="AN314" s="6"/>
      <c r="AO314" s="6"/>
      <c r="AP314" s="6"/>
      <c r="AQ314" s="79"/>
      <c r="AR314" s="6"/>
      <c r="AS314" s="6"/>
      <c r="AT314" s="6"/>
      <c r="AU314" s="6"/>
      <c r="AV314" s="79"/>
      <c r="AW314" s="6"/>
      <c r="AX314" s="6"/>
      <c r="AY314" s="6"/>
      <c r="AZ314" s="6"/>
      <c r="BA314" s="79"/>
      <c r="BB314" s="6"/>
      <c r="BC314" s="6"/>
      <c r="BD314" s="6"/>
      <c r="BE314" s="6"/>
      <c r="BF314" s="79"/>
      <c r="BG314" s="6"/>
      <c r="BH314" s="6"/>
      <c r="BI314" s="540"/>
      <c r="BJ314" s="540"/>
      <c r="BK314" s="79"/>
      <c r="BL314" s="540"/>
      <c r="BM314" s="540"/>
      <c r="BN314" s="540"/>
      <c r="BO314" s="540"/>
      <c r="BP314" s="79"/>
      <c r="BQ314" s="6"/>
      <c r="BR314" s="6"/>
      <c r="BS314" s="6"/>
      <c r="BT314" s="6"/>
      <c r="BU314" s="79"/>
      <c r="BV314" s="6"/>
      <c r="BW314" s="6"/>
      <c r="BX314" s="6"/>
      <c r="BY314" s="6"/>
      <c r="BZ314" s="79"/>
      <c r="CA314" s="6"/>
      <c r="CB314" s="6"/>
      <c r="CC314" s="6"/>
      <c r="CD314" s="6"/>
      <c r="CE314" s="79"/>
      <c r="CF314" s="6"/>
      <c r="CG314" s="6"/>
      <c r="CH314" s="6"/>
      <c r="CI314" s="6"/>
      <c r="CJ314" s="79"/>
      <c r="CK314" s="6"/>
      <c r="CL314" s="6"/>
      <c r="CM314" s="6"/>
      <c r="CN314" s="6"/>
      <c r="CO314" s="79"/>
      <c r="CP314" s="6"/>
      <c r="CQ314" s="6"/>
      <c r="CR314" s="6"/>
      <c r="CS314" s="6"/>
      <c r="CT314" s="79"/>
      <c r="CU314" s="6"/>
      <c r="CV314" s="6"/>
      <c r="CW314" s="6"/>
      <c r="CX314" s="6"/>
      <c r="CY314" s="79"/>
      <c r="CZ314" s="6"/>
      <c r="DA314" s="6"/>
      <c r="DB314" s="6"/>
      <c r="DC314" s="6"/>
      <c r="DD314" s="79"/>
      <c r="DE314" s="6"/>
      <c r="DF314" s="6"/>
      <c r="DG314" s="6"/>
      <c r="DH314" s="6"/>
      <c r="DI314" s="79"/>
    </row>
    <row r="315" spans="1:113" ht="12" customHeight="1">
      <c r="A315" s="219"/>
      <c r="B315" s="17" t="s">
        <v>407</v>
      </c>
      <c r="C315" s="79"/>
      <c r="D315" s="6"/>
      <c r="E315" s="79"/>
      <c r="F315" s="6"/>
      <c r="G315" s="79"/>
      <c r="H315" s="6"/>
      <c r="I315" s="79"/>
      <c r="J315" s="6"/>
      <c r="K315" s="79"/>
      <c r="L315" s="6"/>
      <c r="M315" s="79"/>
      <c r="N315" s="6"/>
      <c r="O315" s="79"/>
      <c r="P315" s="6"/>
      <c r="Q315" s="79"/>
      <c r="R315" s="6"/>
      <c r="S315" s="6"/>
      <c r="T315" s="6"/>
      <c r="U315" s="6"/>
      <c r="V315" s="79"/>
      <c r="W315" s="6"/>
      <c r="X315" s="6"/>
      <c r="Y315" s="6"/>
      <c r="Z315" s="6"/>
      <c r="AA315" s="79"/>
      <c r="AB315" s="79"/>
      <c r="AC315" s="6"/>
      <c r="AD315" s="6"/>
      <c r="AE315" s="6"/>
      <c r="AF315" s="6"/>
      <c r="AG315" s="79"/>
      <c r="AH315" s="6"/>
      <c r="AI315" s="6"/>
      <c r="AJ315" s="6"/>
      <c r="AK315" s="6"/>
      <c r="AL315" s="79"/>
      <c r="AM315" s="6"/>
      <c r="AN315" s="6"/>
      <c r="AO315" s="6"/>
      <c r="AP315" s="6"/>
      <c r="AQ315" s="79"/>
      <c r="AR315" s="6"/>
      <c r="AS315" s="6"/>
      <c r="AT315" s="6"/>
      <c r="AU315" s="6"/>
      <c r="AV315" s="79"/>
      <c r="AW315" s="6"/>
      <c r="AX315" s="6"/>
      <c r="AY315" s="6"/>
      <c r="AZ315" s="6"/>
      <c r="BA315" s="79"/>
      <c r="BB315" s="6"/>
      <c r="BC315" s="6"/>
      <c r="BD315" s="6"/>
      <c r="BE315" s="6"/>
      <c r="BF315" s="79"/>
      <c r="BG315" s="6"/>
      <c r="BH315" s="6"/>
      <c r="BI315" s="6"/>
      <c r="BJ315" s="6"/>
      <c r="BK315" s="79"/>
      <c r="BL315" s="6"/>
      <c r="BM315" s="6"/>
      <c r="BN315" s="6"/>
      <c r="BO315" s="6"/>
      <c r="BP315" s="79"/>
      <c r="BQ315" s="6"/>
      <c r="BR315" s="6"/>
      <c r="BS315" s="6"/>
      <c r="BT315" s="6"/>
      <c r="BU315" s="79"/>
      <c r="BV315" s="6"/>
      <c r="BW315" s="6"/>
      <c r="BX315" s="6"/>
      <c r="BY315" s="6"/>
      <c r="BZ315" s="79"/>
      <c r="CA315" s="6"/>
      <c r="CB315" s="6"/>
      <c r="CC315" s="6"/>
      <c r="CD315" s="6"/>
      <c r="CE315" s="36">
        <v>120</v>
      </c>
      <c r="CF315" s="43"/>
      <c r="CG315" s="43"/>
      <c r="CH315" s="43"/>
      <c r="CI315" s="43"/>
      <c r="CJ315" s="36">
        <v>146</v>
      </c>
      <c r="CK315" s="43">
        <v>35</v>
      </c>
      <c r="CL315" s="43">
        <v>36</v>
      </c>
      <c r="CM315" s="43">
        <v>37</v>
      </c>
      <c r="CN315" s="43">
        <f t="shared" ref="CN315" si="970">CO315-CM315-CL315-CK315</f>
        <v>35</v>
      </c>
      <c r="CO315" s="36">
        <v>143</v>
      </c>
      <c r="CP315" s="43">
        <v>39</v>
      </c>
      <c r="CQ315" s="43">
        <v>37</v>
      </c>
      <c r="CR315" s="43">
        <v>37</v>
      </c>
      <c r="CS315" s="43">
        <f t="shared" ref="CS315:CS316" si="971">CT315-CR315-CQ315-CP315</f>
        <v>40</v>
      </c>
      <c r="CT315" s="36">
        <v>153</v>
      </c>
      <c r="CU315" s="43"/>
      <c r="CV315" s="43"/>
      <c r="CW315" s="43"/>
      <c r="CX315" s="43"/>
      <c r="CY315" s="36"/>
      <c r="CZ315" s="43"/>
      <c r="DA315" s="43"/>
      <c r="DB315" s="43"/>
      <c r="DC315" s="43"/>
      <c r="DD315" s="36"/>
      <c r="DE315" s="43"/>
      <c r="DF315" s="43"/>
      <c r="DG315" s="43"/>
      <c r="DH315" s="43"/>
      <c r="DI315" s="36"/>
    </row>
    <row r="316" spans="1:113" ht="12" customHeight="1">
      <c r="A316" s="219"/>
      <c r="B316" s="17" t="s">
        <v>408</v>
      </c>
      <c r="C316" s="79"/>
      <c r="D316" s="6"/>
      <c r="E316" s="79"/>
      <c r="F316" s="6"/>
      <c r="G316" s="79"/>
      <c r="H316" s="6"/>
      <c r="I316" s="79"/>
      <c r="J316" s="6"/>
      <c r="K316" s="79"/>
      <c r="L316" s="6"/>
      <c r="M316" s="79"/>
      <c r="N316" s="6"/>
      <c r="O316" s="79"/>
      <c r="P316" s="6"/>
      <c r="Q316" s="79"/>
      <c r="R316" s="6"/>
      <c r="S316" s="6"/>
      <c r="T316" s="6"/>
      <c r="U316" s="6"/>
      <c r="V316" s="79"/>
      <c r="W316" s="6"/>
      <c r="X316" s="6"/>
      <c r="Y316" s="6"/>
      <c r="Z316" s="6"/>
      <c r="AA316" s="79"/>
      <c r="AB316" s="79"/>
      <c r="AC316" s="6"/>
      <c r="AD316" s="6"/>
      <c r="AE316" s="6"/>
      <c r="AF316" s="6"/>
      <c r="AG316" s="79"/>
      <c r="AH316" s="6"/>
      <c r="AI316" s="6"/>
      <c r="AJ316" s="6"/>
      <c r="AK316" s="6"/>
      <c r="AL316" s="79"/>
      <c r="AM316" s="6"/>
      <c r="AN316" s="6"/>
      <c r="AO316" s="6"/>
      <c r="AP316" s="6"/>
      <c r="AQ316" s="79"/>
      <c r="AR316" s="6"/>
      <c r="AS316" s="6"/>
      <c r="AT316" s="6"/>
      <c r="AU316" s="6"/>
      <c r="AV316" s="79"/>
      <c r="AW316" s="6"/>
      <c r="AX316" s="6"/>
      <c r="AY316" s="6"/>
      <c r="AZ316" s="6"/>
      <c r="BA316" s="79"/>
      <c r="BB316" s="6"/>
      <c r="BC316" s="6"/>
      <c r="BD316" s="6"/>
      <c r="BE316" s="6"/>
      <c r="BF316" s="79"/>
      <c r="BG316" s="6"/>
      <c r="BH316" s="6"/>
      <c r="BI316" s="6"/>
      <c r="BJ316" s="6"/>
      <c r="BK316" s="79"/>
      <c r="BL316" s="6"/>
      <c r="BM316" s="6"/>
      <c r="BN316" s="6"/>
      <c r="BO316" s="6"/>
      <c r="BP316" s="79"/>
      <c r="BQ316" s="6"/>
      <c r="BR316" s="6"/>
      <c r="BS316" s="6"/>
      <c r="BT316" s="6"/>
      <c r="BU316" s="79"/>
      <c r="BV316" s="6"/>
      <c r="BW316" s="6"/>
      <c r="BX316" s="6"/>
      <c r="BY316" s="6"/>
      <c r="BZ316" s="79"/>
      <c r="CA316" s="6"/>
      <c r="CB316" s="6"/>
      <c r="CC316" s="6"/>
      <c r="CD316" s="6"/>
      <c r="CE316" s="36">
        <v>2167</v>
      </c>
      <c r="CF316" s="43"/>
      <c r="CG316" s="43"/>
      <c r="CH316" s="43"/>
      <c r="CI316" s="43"/>
      <c r="CJ316" s="36">
        <v>2028</v>
      </c>
      <c r="CK316" s="39" t="s">
        <v>126</v>
      </c>
      <c r="CL316" s="39" t="s">
        <v>126</v>
      </c>
      <c r="CM316" s="39" t="s">
        <v>126</v>
      </c>
      <c r="CN316" s="39" t="s">
        <v>126</v>
      </c>
      <c r="CO316" s="36">
        <v>2042</v>
      </c>
      <c r="CP316" s="43">
        <v>2128</v>
      </c>
      <c r="CQ316" s="43">
        <v>2172</v>
      </c>
      <c r="CR316" s="43">
        <v>2269</v>
      </c>
      <c r="CS316" s="43">
        <f t="shared" si="971"/>
        <v>-4316</v>
      </c>
      <c r="CT316" s="36">
        <v>2253</v>
      </c>
      <c r="CU316" s="43"/>
      <c r="CV316" s="43"/>
      <c r="CW316" s="43"/>
      <c r="CX316" s="43"/>
      <c r="CY316" s="36"/>
      <c r="CZ316" s="43"/>
      <c r="DA316" s="43"/>
      <c r="DB316" s="43"/>
      <c r="DC316" s="43"/>
      <c r="DD316" s="36"/>
      <c r="DE316" s="43"/>
      <c r="DF316" s="43"/>
      <c r="DG316" s="43"/>
      <c r="DH316" s="43"/>
      <c r="DI316" s="36"/>
    </row>
    <row r="317" spans="1:113" ht="12" customHeight="1">
      <c r="A317" s="219"/>
      <c r="B317" s="491" t="s">
        <v>348</v>
      </c>
      <c r="C317" s="79"/>
      <c r="D317" s="6"/>
      <c r="E317" s="79"/>
      <c r="F317" s="6"/>
      <c r="G317" s="79"/>
      <c r="H317" s="6"/>
      <c r="I317" s="79"/>
      <c r="J317" s="6"/>
      <c r="K317" s="79"/>
      <c r="L317" s="6"/>
      <c r="M317" s="79"/>
      <c r="N317" s="6"/>
      <c r="O317" s="79"/>
      <c r="P317" s="6"/>
      <c r="Q317" s="79"/>
      <c r="R317" s="6"/>
      <c r="S317" s="6"/>
      <c r="T317" s="6"/>
      <c r="U317" s="6"/>
      <c r="V317" s="79"/>
      <c r="W317" s="6"/>
      <c r="X317" s="6"/>
      <c r="Y317" s="6"/>
      <c r="Z317" s="6"/>
      <c r="AA317" s="79"/>
      <c r="AB317" s="79"/>
      <c r="AC317" s="6"/>
      <c r="AD317" s="6"/>
      <c r="AE317" s="6"/>
      <c r="AF317" s="6"/>
      <c r="AG317" s="79"/>
      <c r="AH317" s="6"/>
      <c r="AI317" s="6"/>
      <c r="AJ317" s="6"/>
      <c r="AK317" s="6"/>
      <c r="AL317" s="79"/>
      <c r="AM317" s="6"/>
      <c r="AN317" s="6"/>
      <c r="AO317" s="6"/>
      <c r="AP317" s="6"/>
      <c r="AQ317" s="79"/>
      <c r="AR317" s="6"/>
      <c r="AS317" s="6"/>
      <c r="AT317" s="6"/>
      <c r="AU317" s="6"/>
      <c r="AV317" s="79"/>
      <c r="AW317" s="6"/>
      <c r="AX317" s="6"/>
      <c r="AY317" s="6"/>
      <c r="AZ317" s="6"/>
      <c r="BA317" s="79"/>
      <c r="BB317" s="6"/>
      <c r="BC317" s="6"/>
      <c r="BD317" s="6"/>
      <c r="BE317" s="6"/>
      <c r="BF317" s="79"/>
      <c r="BG317" s="6"/>
      <c r="BH317" s="6"/>
      <c r="BI317" s="6"/>
      <c r="BJ317" s="6"/>
      <c r="BK317" s="79"/>
      <c r="BL317" s="6"/>
      <c r="BM317" s="6"/>
      <c r="BN317" s="6"/>
      <c r="BO317" s="6"/>
      <c r="BP317" s="79"/>
      <c r="BQ317" s="6"/>
      <c r="BR317" s="6"/>
      <c r="BS317" s="6"/>
      <c r="BT317" s="6"/>
      <c r="BU317" s="79"/>
      <c r="BV317" s="6"/>
      <c r="BW317" s="6"/>
      <c r="BX317" s="6"/>
      <c r="BY317" s="6"/>
      <c r="BZ317" s="79"/>
      <c r="CA317" s="6"/>
      <c r="CB317" s="6"/>
      <c r="CC317" s="6"/>
      <c r="CD317" s="6"/>
      <c r="CE317" s="232" t="s">
        <v>126</v>
      </c>
      <c r="CF317" s="27"/>
      <c r="CG317" s="27"/>
      <c r="CH317" s="27"/>
      <c r="CI317" s="27"/>
      <c r="CJ317" s="112">
        <f>CJ316/CE316-1</f>
        <v>-6.4143977849561606E-2</v>
      </c>
      <c r="CK317" s="39" t="s">
        <v>126</v>
      </c>
      <c r="CL317" s="39" t="s">
        <v>126</v>
      </c>
      <c r="CM317" s="39" t="s">
        <v>126</v>
      </c>
      <c r="CN317" s="39" t="s">
        <v>126</v>
      </c>
      <c r="CO317" s="112">
        <f>CO316/CJ316-1</f>
        <v>6.9033530571991353E-3</v>
      </c>
      <c r="CP317" s="213" t="s">
        <v>126</v>
      </c>
      <c r="CQ317" s="213" t="s">
        <v>126</v>
      </c>
      <c r="CR317" s="213" t="s">
        <v>126</v>
      </c>
      <c r="CS317" s="39" t="s">
        <v>126</v>
      </c>
      <c r="CT317" s="112">
        <f>CT316/CO316-1</f>
        <v>0.10333006856023497</v>
      </c>
      <c r="CU317" s="213"/>
      <c r="CV317" s="27"/>
      <c r="CW317" s="27"/>
      <c r="CX317" s="27"/>
      <c r="CY317" s="112"/>
      <c r="CZ317" s="27"/>
      <c r="DA317" s="27"/>
      <c r="DB317" s="27"/>
      <c r="DC317" s="27"/>
      <c r="DD317" s="112"/>
      <c r="DE317" s="27"/>
      <c r="DF317" s="27"/>
      <c r="DG317" s="27"/>
      <c r="DH317" s="27"/>
      <c r="DI317" s="112"/>
    </row>
    <row r="318" spans="1:113" ht="12" customHeight="1">
      <c r="A318" s="219"/>
      <c r="B318" s="17"/>
      <c r="C318" s="79"/>
      <c r="D318" s="6"/>
      <c r="E318" s="79"/>
      <c r="F318" s="6"/>
      <c r="G318" s="79"/>
      <c r="H318" s="6"/>
      <c r="I318" s="79"/>
      <c r="J318" s="6"/>
      <c r="K318" s="79"/>
      <c r="L318" s="6"/>
      <c r="M318" s="79"/>
      <c r="N318" s="6"/>
      <c r="O318" s="79"/>
      <c r="P318" s="6"/>
      <c r="Q318" s="79"/>
      <c r="R318" s="6"/>
      <c r="S318" s="6"/>
      <c r="T318" s="6"/>
      <c r="U318" s="6"/>
      <c r="V318" s="79"/>
      <c r="W318" s="6"/>
      <c r="X318" s="6"/>
      <c r="Y318" s="6"/>
      <c r="Z318" s="6"/>
      <c r="AA318" s="79"/>
      <c r="AB318" s="79"/>
      <c r="AC318" s="6"/>
      <c r="AD318" s="6"/>
      <c r="AE318" s="6"/>
      <c r="AF318" s="6"/>
      <c r="AG318" s="79"/>
      <c r="AH318" s="6"/>
      <c r="AI318" s="6"/>
      <c r="AJ318" s="6"/>
      <c r="AK318" s="6"/>
      <c r="AL318" s="79"/>
      <c r="AM318" s="6"/>
      <c r="AN318" s="6"/>
      <c r="AO318" s="6"/>
      <c r="AP318" s="6"/>
      <c r="AQ318" s="79"/>
      <c r="AR318" s="6"/>
      <c r="AS318" s="6"/>
      <c r="AT318" s="6"/>
      <c r="AU318" s="6"/>
      <c r="AV318" s="79"/>
      <c r="AW318" s="6"/>
      <c r="AX318" s="6"/>
      <c r="AY318" s="6"/>
      <c r="AZ318" s="6"/>
      <c r="BA318" s="79"/>
      <c r="BB318" s="6"/>
      <c r="BC318" s="6"/>
      <c r="BD318" s="6"/>
      <c r="BE318" s="6"/>
      <c r="BF318" s="79"/>
      <c r="BG318" s="6"/>
      <c r="BH318" s="6"/>
      <c r="BI318" s="6"/>
      <c r="BJ318" s="6"/>
      <c r="BK318" s="79"/>
      <c r="BL318" s="6"/>
      <c r="BM318" s="6"/>
      <c r="BN318" s="6"/>
      <c r="BO318" s="6"/>
      <c r="BP318" s="79"/>
      <c r="BQ318" s="6"/>
      <c r="BR318" s="6"/>
      <c r="BS318" s="6"/>
      <c r="BT318" s="6"/>
      <c r="BU318" s="79"/>
      <c r="BV318" s="6"/>
      <c r="BW318" s="6"/>
      <c r="BX318" s="6"/>
      <c r="BY318" s="6"/>
      <c r="BZ318" s="79"/>
      <c r="CA318" s="6"/>
      <c r="CB318" s="6"/>
      <c r="CC318" s="6"/>
      <c r="CD318" s="6"/>
      <c r="CE318" s="79"/>
      <c r="CF318" s="6"/>
      <c r="CG318" s="6"/>
      <c r="CH318" s="6"/>
      <c r="CI318" s="6"/>
      <c r="CJ318" s="79"/>
      <c r="CK318" s="6"/>
      <c r="CL318" s="6"/>
      <c r="CM318" s="6"/>
      <c r="CN318" s="6"/>
      <c r="CO318" s="79"/>
      <c r="CP318" s="6"/>
      <c r="CQ318" s="6"/>
      <c r="CR318" s="6"/>
      <c r="CS318" s="6"/>
      <c r="CT318" s="79"/>
      <c r="CU318" s="6"/>
      <c r="CV318" s="6"/>
      <c r="CW318" s="6"/>
      <c r="CX318" s="6"/>
      <c r="CY318" s="79"/>
      <c r="CZ318" s="6"/>
      <c r="DA318" s="6"/>
      <c r="DB318" s="6"/>
      <c r="DC318" s="6"/>
      <c r="DD318" s="79"/>
      <c r="DE318" s="6"/>
      <c r="DF318" s="6"/>
      <c r="DG318" s="6"/>
      <c r="DH318" s="6"/>
      <c r="DI318" s="79"/>
    </row>
    <row r="319" spans="1:113" ht="12" customHeight="1">
      <c r="A319" s="5" t="str">
        <f t="shared" si="709"/>
        <v xml:space="preserve"> </v>
      </c>
      <c r="B319" s="61" t="s">
        <v>182</v>
      </c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37"/>
      <c r="S319" s="89"/>
      <c r="T319" s="89"/>
      <c r="U319" s="89"/>
      <c r="V319" s="89"/>
      <c r="W319" s="89"/>
      <c r="X319" s="227"/>
      <c r="Y319" s="89"/>
      <c r="Z319" s="89"/>
      <c r="AA319" s="89"/>
      <c r="AB319" s="89"/>
      <c r="AC319" s="89"/>
      <c r="AD319" s="227"/>
      <c r="AE319" s="89"/>
      <c r="AF319" s="89"/>
      <c r="AG319" s="89"/>
      <c r="AH319" s="89"/>
      <c r="AI319" s="227"/>
      <c r="AJ319" s="89"/>
      <c r="AK319" s="89"/>
      <c r="AL319" s="89"/>
      <c r="AM319" s="89"/>
      <c r="AN319" s="227"/>
      <c r="AO319" s="90"/>
      <c r="AP319" s="90"/>
      <c r="AQ319" s="89"/>
      <c r="AR319" s="89"/>
      <c r="AS319" s="227"/>
      <c r="AT319" s="90"/>
      <c r="AU319" s="90"/>
      <c r="AV319" s="90"/>
      <c r="AW319" s="89"/>
      <c r="AX319" s="227"/>
      <c r="AY319" s="90"/>
      <c r="AZ319" s="90"/>
      <c r="BA319" s="90"/>
      <c r="BB319" s="89"/>
      <c r="BC319" s="227"/>
      <c r="BD319" s="90"/>
      <c r="BE319" s="90"/>
      <c r="BF319" s="90"/>
      <c r="BG319" s="108"/>
      <c r="BH319" s="227"/>
      <c r="BI319" s="203"/>
      <c r="BJ319" s="203"/>
      <c r="BK319" s="46"/>
      <c r="BL319" s="203"/>
      <c r="BM319" s="227"/>
      <c r="BN319" s="203"/>
      <c r="BO319" s="203"/>
      <c r="BP319" s="203"/>
      <c r="BQ319" s="89"/>
      <c r="BR319" s="227"/>
      <c r="BS319" s="89"/>
      <c r="BT319" s="89"/>
      <c r="BU319" s="90"/>
      <c r="BV319" s="227"/>
      <c r="BW319" s="227"/>
      <c r="BX319" s="227"/>
      <c r="BY319" s="227"/>
      <c r="BZ319" s="90"/>
      <c r="CA319" s="227"/>
      <c r="CB319" s="227"/>
      <c r="CC319" s="227"/>
      <c r="CD319" s="227"/>
      <c r="CE319" s="90"/>
      <c r="CF319" s="227"/>
      <c r="CG319" s="227"/>
      <c r="CH319" s="208"/>
      <c r="CI319" s="90"/>
      <c r="CJ319" s="90"/>
      <c r="CK319" s="89"/>
      <c r="CL319" s="47"/>
      <c r="CM319" s="208"/>
      <c r="CN319" s="90"/>
      <c r="CO319" s="90"/>
      <c r="CP319" s="89"/>
      <c r="CQ319" s="47"/>
      <c r="CR319" s="208"/>
      <c r="CS319" s="208"/>
      <c r="CT319" s="208"/>
      <c r="CU319" s="208"/>
      <c r="CV319" s="47"/>
      <c r="CW319" s="208"/>
      <c r="CX319" s="89"/>
      <c r="CY319" s="47"/>
      <c r="CZ319" s="89"/>
      <c r="DA319" s="47"/>
      <c r="DB319" s="89"/>
      <c r="DC319" s="47"/>
      <c r="DD319" s="89"/>
      <c r="DE319" s="47"/>
      <c r="DF319" s="47"/>
      <c r="DG319" s="208"/>
      <c r="DH319" s="90"/>
      <c r="DI319" s="182"/>
    </row>
    <row r="320" spans="1:113" s="7" customFormat="1" ht="12" customHeight="1">
      <c r="A320" s="239" t="str">
        <f t="shared" si="709"/>
        <v xml:space="preserve"> </v>
      </c>
      <c r="B320" s="20" t="s">
        <v>180</v>
      </c>
      <c r="C320" s="36"/>
      <c r="D320" s="43"/>
      <c r="E320" s="36"/>
      <c r="F320" s="43"/>
      <c r="G320" s="36"/>
      <c r="H320" s="43"/>
      <c r="I320" s="36"/>
      <c r="J320" s="43"/>
      <c r="K320" s="36"/>
      <c r="L320" s="43"/>
      <c r="M320" s="36"/>
      <c r="N320" s="43"/>
      <c r="O320" s="36"/>
      <c r="P320" s="43"/>
      <c r="Q320" s="36"/>
      <c r="R320" s="43">
        <v>460</v>
      </c>
      <c r="S320" s="43">
        <v>482</v>
      </c>
      <c r="T320" s="43">
        <v>554</v>
      </c>
      <c r="U320" s="43">
        <v>564</v>
      </c>
      <c r="V320" s="36">
        <f>SUM(R320:U320)</f>
        <v>2060</v>
      </c>
      <c r="W320" s="43">
        <v>528</v>
      </c>
      <c r="X320" s="43">
        <v>650</v>
      </c>
      <c r="Y320" s="43">
        <v>694</v>
      </c>
      <c r="Z320" s="43">
        <v>667</v>
      </c>
      <c r="AA320" s="36">
        <f>SUM(W320:Z320)</f>
        <v>2539</v>
      </c>
      <c r="AB320" s="36"/>
      <c r="AC320" s="43">
        <v>577</v>
      </c>
      <c r="AD320" s="43">
        <v>582</v>
      </c>
      <c r="AE320" s="43">
        <v>641</v>
      </c>
      <c r="AF320" s="43">
        <v>678</v>
      </c>
      <c r="AG320" s="36">
        <f>SUM(AC320:AF320)</f>
        <v>2478</v>
      </c>
      <c r="AH320" s="43">
        <v>574</v>
      </c>
      <c r="AI320" s="43">
        <v>629</v>
      </c>
      <c r="AJ320" s="43">
        <v>697</v>
      </c>
      <c r="AK320" s="43">
        <v>702</v>
      </c>
      <c r="AL320" s="36">
        <f>SUM(AH320:AK320)</f>
        <v>2602</v>
      </c>
      <c r="AM320" s="43">
        <v>679</v>
      </c>
      <c r="AN320" s="43">
        <v>758</v>
      </c>
      <c r="AO320" s="43">
        <v>801</v>
      </c>
      <c r="AP320" s="43">
        <v>829</v>
      </c>
      <c r="AQ320" s="36">
        <f>SUM(AM320:AP320)</f>
        <v>3067</v>
      </c>
      <c r="AR320" s="43">
        <v>886</v>
      </c>
      <c r="AS320" s="43">
        <v>938</v>
      </c>
      <c r="AT320" s="43">
        <v>982</v>
      </c>
      <c r="AU320" s="43">
        <v>979</v>
      </c>
      <c r="AV320" s="36">
        <f>SUM(AR320:AU320)</f>
        <v>3785</v>
      </c>
      <c r="AW320" s="43">
        <v>1020</v>
      </c>
      <c r="AX320" s="43">
        <v>1055</v>
      </c>
      <c r="AY320" s="43">
        <v>1075</v>
      </c>
      <c r="AZ320" s="43">
        <v>1087</v>
      </c>
      <c r="BA320" s="36">
        <f>SUM(AW320:AZ320)</f>
        <v>4237</v>
      </c>
      <c r="BB320" s="43">
        <v>1108</v>
      </c>
      <c r="BC320" s="43">
        <v>1222</v>
      </c>
      <c r="BD320" s="43">
        <v>1336</v>
      </c>
      <c r="BE320" s="43">
        <v>1468</v>
      </c>
      <c r="BF320" s="36">
        <f>SUM(BB320:BE320)</f>
        <v>5134</v>
      </c>
      <c r="BG320" s="43">
        <v>1379</v>
      </c>
      <c r="BH320" s="43">
        <v>1544</v>
      </c>
      <c r="BI320" s="43">
        <v>1588</v>
      </c>
      <c r="BJ320" s="43">
        <v>1697</v>
      </c>
      <c r="BK320" s="36">
        <f>SUM(BG320:BJ320)</f>
        <v>6208</v>
      </c>
      <c r="BL320" s="43">
        <v>1679</v>
      </c>
      <c r="BM320" s="43">
        <v>1847</v>
      </c>
      <c r="BN320" s="43">
        <v>1506</v>
      </c>
      <c r="BO320" s="43">
        <v>1647</v>
      </c>
      <c r="BP320" s="36">
        <f>SUM(BL320:BO320)</f>
        <v>6679</v>
      </c>
      <c r="BQ320" s="43">
        <v>1780</v>
      </c>
      <c r="BR320" s="43">
        <v>2298</v>
      </c>
      <c r="BS320" s="43">
        <v>2279</v>
      </c>
      <c r="BT320" s="43">
        <v>1933</v>
      </c>
      <c r="BU320" s="36">
        <f>SUM(BQ320:BT320)</f>
        <v>8290</v>
      </c>
      <c r="BV320" s="43">
        <v>1982</v>
      </c>
      <c r="BW320" s="43">
        <v>1844</v>
      </c>
      <c r="BX320" s="43">
        <v>2160</v>
      </c>
      <c r="BY320" s="43">
        <v>1561</v>
      </c>
      <c r="BZ320" s="36">
        <f>SUM(BV320:BY320)</f>
        <v>7547</v>
      </c>
      <c r="CA320" s="43">
        <v>1656</v>
      </c>
      <c r="CB320" s="43">
        <v>1788</v>
      </c>
      <c r="CC320" s="43">
        <v>1994</v>
      </c>
      <c r="CD320" s="43">
        <v>1810</v>
      </c>
      <c r="CE320" s="36">
        <f>SUM(CA320:CD320)</f>
        <v>7248</v>
      </c>
      <c r="CF320" s="43">
        <v>1735</v>
      </c>
      <c r="CG320" s="43">
        <v>1863</v>
      </c>
      <c r="CH320" s="43">
        <v>2084</v>
      </c>
      <c r="CI320" s="369">
        <v>1863</v>
      </c>
      <c r="CJ320" s="36">
        <f>SUM(CF320:CI320)</f>
        <v>7545</v>
      </c>
      <c r="CK320" s="43">
        <v>1666</v>
      </c>
      <c r="CL320" s="43">
        <v>1711</v>
      </c>
      <c r="CM320" s="43">
        <v>1733</v>
      </c>
      <c r="CN320" s="43">
        <v>1476</v>
      </c>
      <c r="CO320" s="36">
        <f>SUM(CK320:CN320)</f>
        <v>6586</v>
      </c>
      <c r="CP320" s="43">
        <v>1512</v>
      </c>
      <c r="CQ320" s="43">
        <v>1423</v>
      </c>
      <c r="CR320" s="43">
        <v>1615</v>
      </c>
      <c r="CS320" s="43">
        <v>1297</v>
      </c>
      <c r="CT320" s="36">
        <f>SUM(CP320:CS320)</f>
        <v>5847</v>
      </c>
      <c r="CU320" s="43">
        <v>1180</v>
      </c>
      <c r="CV320" s="43">
        <f>CQ320*(1+CV322)*(1+CV323)</f>
        <v>1077.7956300000001</v>
      </c>
      <c r="CW320" s="43">
        <f>CR320*(1+CW322)*(1+CW323)</f>
        <v>1150.7080000000001</v>
      </c>
      <c r="CX320" s="43">
        <f>CS320*(1+CX322)*(1+CX323)</f>
        <v>907.55668999999978</v>
      </c>
      <c r="CY320" s="36">
        <f>SUM(CU320:CX320)</f>
        <v>4316.0603199999996</v>
      </c>
      <c r="CZ320" s="43">
        <f>CU320*(1+CZ322)*(1+CZ323)</f>
        <v>892.96499999999992</v>
      </c>
      <c r="DA320" s="43">
        <f>CV320*(1+DA322)*(1+DA323)</f>
        <v>862.23650400000008</v>
      </c>
      <c r="DB320" s="43">
        <f>CW320*(1+DB322)*(1+DB323)</f>
        <v>1058.6513600000003</v>
      </c>
      <c r="DC320" s="43">
        <f>CX320*(1+DC322)*(1+DC323)</f>
        <v>834.95215479999979</v>
      </c>
      <c r="DD320" s="36">
        <f>SUM(CZ320:DC320)</f>
        <v>3648.8050188000002</v>
      </c>
      <c r="DE320" s="43">
        <f>CZ320*(1+DE322)*(1+DE323)</f>
        <v>866.70577499999979</v>
      </c>
      <c r="DF320" s="43">
        <f>DA320*(1+DF322)*(1+DF323)</f>
        <v>845.16365592</v>
      </c>
      <c r="DG320" s="43">
        <f>DB320*(1+DG322)*(1+DG323)</f>
        <v>1069.0332140800003</v>
      </c>
      <c r="DH320" s="43">
        <f>DC320*(1+DH322)*(1+DH323)</f>
        <v>843.13964364799961</v>
      </c>
      <c r="DI320" s="36">
        <f>SUM(DE320:DH320)</f>
        <v>3624.0422886479996</v>
      </c>
    </row>
    <row r="321" spans="1:113" ht="12" customHeight="1">
      <c r="A321" s="219" t="str">
        <f t="shared" si="709"/>
        <v xml:space="preserve"> </v>
      </c>
      <c r="B321" s="491" t="s">
        <v>171</v>
      </c>
      <c r="C321" s="492"/>
      <c r="D321" s="522"/>
      <c r="E321" s="492"/>
      <c r="F321" s="522"/>
      <c r="G321" s="492"/>
      <c r="H321" s="522"/>
      <c r="I321" s="492"/>
      <c r="J321" s="522"/>
      <c r="K321" s="492"/>
      <c r="L321" s="522"/>
      <c r="M321" s="492"/>
      <c r="N321" s="522"/>
      <c r="O321" s="492"/>
      <c r="P321" s="522"/>
      <c r="Q321" s="492"/>
      <c r="R321" s="378" t="s">
        <v>126</v>
      </c>
      <c r="S321" s="522" t="s">
        <v>126</v>
      </c>
      <c r="T321" s="522" t="s">
        <v>126</v>
      </c>
      <c r="U321" s="522" t="s">
        <v>126</v>
      </c>
      <c r="V321" s="492" t="s">
        <v>126</v>
      </c>
      <c r="W321" s="52">
        <f>+W320/R320-1</f>
        <v>0.14782608695652177</v>
      </c>
      <c r="X321" s="52">
        <f>+X320/S320-1</f>
        <v>0.34854771784232375</v>
      </c>
      <c r="Y321" s="52">
        <f>+Y320/T320-1</f>
        <v>0.25270758122743686</v>
      </c>
      <c r="Z321" s="52">
        <f>+Z320/U320-1</f>
        <v>0.18262411347517737</v>
      </c>
      <c r="AA321" s="112">
        <f>+AA320/V320-1</f>
        <v>0.23252427184466029</v>
      </c>
      <c r="AB321" s="112"/>
      <c r="AC321" s="52">
        <f>+AC320/W320-1</f>
        <v>9.2803030303030276E-2</v>
      </c>
      <c r="AD321" s="52">
        <f>+AD320/X320-1</f>
        <v>-0.10461538461538467</v>
      </c>
      <c r="AE321" s="52">
        <f>+AE320/Y320-1</f>
        <v>-7.636887608069165E-2</v>
      </c>
      <c r="AF321" s="52">
        <f>+AF320/Z320-1</f>
        <v>1.6491754122938573E-2</v>
      </c>
      <c r="AG321" s="112">
        <f>+AG320/AA320-1</f>
        <v>-2.4025206774320629E-2</v>
      </c>
      <c r="AH321" s="52">
        <f t="shared" ref="AH321:AU321" si="972">+AH320/AC320-1</f>
        <v>-5.199306759098743E-3</v>
      </c>
      <c r="AI321" s="52">
        <f t="shared" si="972"/>
        <v>8.0756013745704402E-2</v>
      </c>
      <c r="AJ321" s="52">
        <f t="shared" si="972"/>
        <v>8.736349453978165E-2</v>
      </c>
      <c r="AK321" s="52">
        <f t="shared" si="972"/>
        <v>3.539823008849563E-2</v>
      </c>
      <c r="AL321" s="112">
        <f t="shared" si="972"/>
        <v>5.0040355125100966E-2</v>
      </c>
      <c r="AM321" s="52">
        <f t="shared" si="972"/>
        <v>0.18292682926829262</v>
      </c>
      <c r="AN321" s="52">
        <f t="shared" si="972"/>
        <v>0.20508744038155813</v>
      </c>
      <c r="AO321" s="52">
        <f t="shared" si="972"/>
        <v>0.14921090387374458</v>
      </c>
      <c r="AP321" s="52">
        <f t="shared" si="972"/>
        <v>0.18091168091168086</v>
      </c>
      <c r="AQ321" s="112">
        <f t="shared" si="972"/>
        <v>0.17870868562644127</v>
      </c>
      <c r="AR321" s="52">
        <f t="shared" si="972"/>
        <v>0.30486008836524303</v>
      </c>
      <c r="AS321" s="52">
        <f t="shared" si="972"/>
        <v>0.23746701846965701</v>
      </c>
      <c r="AT321" s="52">
        <f t="shared" si="972"/>
        <v>0.22596754057428226</v>
      </c>
      <c r="AU321" s="52">
        <f t="shared" si="972"/>
        <v>0.18094089264173707</v>
      </c>
      <c r="AV321" s="112">
        <f t="shared" ref="AV321:BG321" si="973">+AV320/AQ320-1</f>
        <v>0.23410498858819695</v>
      </c>
      <c r="AW321" s="52">
        <f t="shared" si="973"/>
        <v>0.15124153498871329</v>
      </c>
      <c r="AX321" s="52">
        <f t="shared" si="973"/>
        <v>0.12473347547974423</v>
      </c>
      <c r="AY321" s="52">
        <f t="shared" si="973"/>
        <v>9.4704684317718835E-2</v>
      </c>
      <c r="AZ321" s="52">
        <f t="shared" si="973"/>
        <v>0.11031664964249233</v>
      </c>
      <c r="BA321" s="112">
        <f t="shared" si="973"/>
        <v>0.11941875825627468</v>
      </c>
      <c r="BB321" s="52">
        <f t="shared" si="973"/>
        <v>8.6274509803921484E-2</v>
      </c>
      <c r="BC321" s="52">
        <f t="shared" si="973"/>
        <v>0.15829383886255921</v>
      </c>
      <c r="BD321" s="52">
        <f t="shared" si="973"/>
        <v>0.24279069767441852</v>
      </c>
      <c r="BE321" s="52">
        <f t="shared" si="973"/>
        <v>0.35050597976080966</v>
      </c>
      <c r="BF321" s="112">
        <f t="shared" ref="BF321:BP321" si="974">+BF320/BA320-1</f>
        <v>0.21170639603493036</v>
      </c>
      <c r="BG321" s="52">
        <f t="shared" si="973"/>
        <v>0.24458483754512628</v>
      </c>
      <c r="BH321" s="52">
        <f t="shared" si="974"/>
        <v>0.26350245499181679</v>
      </c>
      <c r="BI321" s="52">
        <f t="shared" si="974"/>
        <v>0.18862275449101795</v>
      </c>
      <c r="BJ321" s="52">
        <f t="shared" si="974"/>
        <v>0.15599455040871946</v>
      </c>
      <c r="BK321" s="112">
        <f t="shared" si="974"/>
        <v>0.20919361121932223</v>
      </c>
      <c r="BL321" s="52">
        <f t="shared" si="974"/>
        <v>0.21754894851341544</v>
      </c>
      <c r="BM321" s="52">
        <f t="shared" si="974"/>
        <v>0.19624352331606221</v>
      </c>
      <c r="BN321" s="52">
        <f t="shared" si="974"/>
        <v>-5.1637279596977281E-2</v>
      </c>
      <c r="BO321" s="52">
        <f t="shared" si="974"/>
        <v>-2.9463759575721893E-2</v>
      </c>
      <c r="BP321" s="112">
        <f t="shared" si="974"/>
        <v>7.5869845360824639E-2</v>
      </c>
      <c r="BQ321" s="52">
        <f t="shared" ref="BQ321:BZ321" si="975">+BQ320/BL320-1</f>
        <v>6.0154854079809361E-2</v>
      </c>
      <c r="BR321" s="52">
        <f t="shared" si="975"/>
        <v>0.24417975094748234</v>
      </c>
      <c r="BS321" s="52">
        <f t="shared" si="975"/>
        <v>0.51328021248339972</v>
      </c>
      <c r="BT321" s="52">
        <f t="shared" si="975"/>
        <v>0.17364905889496063</v>
      </c>
      <c r="BU321" s="112">
        <f t="shared" si="975"/>
        <v>0.24120377301991325</v>
      </c>
      <c r="BV321" s="52">
        <f t="shared" si="975"/>
        <v>0.11348314606741572</v>
      </c>
      <c r="BW321" s="52">
        <f t="shared" si="975"/>
        <v>-0.19756309834638819</v>
      </c>
      <c r="BX321" s="52">
        <f t="shared" si="975"/>
        <v>-5.2215884159719228E-2</v>
      </c>
      <c r="BY321" s="52">
        <f t="shared" si="975"/>
        <v>-0.19244697361614072</v>
      </c>
      <c r="BZ321" s="112">
        <f t="shared" si="975"/>
        <v>-8.9626055488540413E-2</v>
      </c>
      <c r="CA321" s="52">
        <f t="shared" ref="CA321" si="976">+CA320/BV320-1</f>
        <v>-0.16448032290615544</v>
      </c>
      <c r="CB321" s="52">
        <f t="shared" ref="CB321:CD321" si="977">+CB320/BW320-1</f>
        <v>-3.0368763557483747E-2</v>
      </c>
      <c r="CC321" s="52">
        <f t="shared" si="977"/>
        <v>-7.6851851851851838E-2</v>
      </c>
      <c r="CD321" s="52">
        <f t="shared" si="977"/>
        <v>0.15951313260730293</v>
      </c>
      <c r="CE321" s="112">
        <f t="shared" ref="CE321" si="978">+CE320/BZ320-1</f>
        <v>-3.9618391413806853E-2</v>
      </c>
      <c r="CF321" s="52">
        <f t="shared" ref="CF321" si="979">+CF320/CA320-1</f>
        <v>4.7705314009661937E-2</v>
      </c>
      <c r="CG321" s="52">
        <f t="shared" ref="CG321:CH321" si="980">+CG320/CB320-1</f>
        <v>4.1946308724832182E-2</v>
      </c>
      <c r="CH321" s="52">
        <f t="shared" si="980"/>
        <v>4.5135406218655971E-2</v>
      </c>
      <c r="CI321" s="114">
        <f t="shared" ref="CI321" si="981">+CI320/CD320-1</f>
        <v>2.9281767955801064E-2</v>
      </c>
      <c r="CJ321" s="112">
        <f t="shared" ref="CJ321:CM321" si="982">+CJ320/CE320-1</f>
        <v>4.0976821192052926E-2</v>
      </c>
      <c r="CK321" s="52">
        <f t="shared" si="982"/>
        <v>-3.9769452449567755E-2</v>
      </c>
      <c r="CL321" s="52">
        <f t="shared" si="982"/>
        <v>-8.1588835212023647E-2</v>
      </c>
      <c r="CM321" s="52">
        <f t="shared" si="982"/>
        <v>-0.16842610364683297</v>
      </c>
      <c r="CN321" s="52">
        <f t="shared" ref="CN321" si="983">+CN320/CI320-1</f>
        <v>-0.20772946859903385</v>
      </c>
      <c r="CO321" s="112">
        <f t="shared" ref="CO321:CP321" si="984">+CO320/CJ320-1</f>
        <v>-0.12710404241219353</v>
      </c>
      <c r="CP321" s="52">
        <f t="shared" si="984"/>
        <v>-9.2436974789915971E-2</v>
      </c>
      <c r="CQ321" s="52">
        <f t="shared" ref="CQ321" si="985">+CQ320/CL320-1</f>
        <v>-0.16832261835184104</v>
      </c>
      <c r="CR321" s="52">
        <f t="shared" ref="CR321" si="986">+CR320/CM320-1</f>
        <v>-6.8090017311021378E-2</v>
      </c>
      <c r="CS321" s="52">
        <f t="shared" ref="CS321" si="987">+CS320/CN320-1</f>
        <v>-0.12127371273712739</v>
      </c>
      <c r="CT321" s="112">
        <f t="shared" ref="CT321" si="988">+CT320/CO320-1</f>
        <v>-0.11220771333130886</v>
      </c>
      <c r="CU321" s="52">
        <f t="shared" ref="CU321" si="989">+CU320/CP320-1</f>
        <v>-0.21957671957671954</v>
      </c>
      <c r="CV321" s="52">
        <f t="shared" ref="CV321" si="990">+CV320/CQ320-1</f>
        <v>-0.24258915671117354</v>
      </c>
      <c r="CW321" s="52">
        <f t="shared" ref="CW321" si="991">+CW320/CR320-1</f>
        <v>-0.28748730650154797</v>
      </c>
      <c r="CX321" s="52">
        <f t="shared" ref="CX321" si="992">+CX320/CS320-1</f>
        <v>-0.30026469545104106</v>
      </c>
      <c r="CY321" s="112">
        <f t="shared" ref="CY321" si="993">+CY320/CT320-1</f>
        <v>-0.26183336411835134</v>
      </c>
      <c r="CZ321" s="52">
        <f t="shared" ref="CZ321" si="994">+CZ320/CU320-1</f>
        <v>-0.24325000000000008</v>
      </c>
      <c r="DA321" s="52">
        <f t="shared" ref="DA321" si="995">+DA320/CV320-1</f>
        <v>-0.19999999999999996</v>
      </c>
      <c r="DB321" s="52">
        <f t="shared" ref="DB321" si="996">+DB320/CW320-1</f>
        <v>-7.9999999999999849E-2</v>
      </c>
      <c r="DC321" s="52">
        <f t="shared" ref="DC321" si="997">+DC320/CX320-1</f>
        <v>-7.999999999999996E-2</v>
      </c>
      <c r="DD321" s="112">
        <f t="shared" ref="DD321" si="998">+DD320/CY320-1</f>
        <v>-0.15459823351124979</v>
      </c>
      <c r="DE321" s="52">
        <f t="shared" ref="DE321" si="999">+DE320/CZ320-1</f>
        <v>-2.9406779661017124E-2</v>
      </c>
      <c r="DF321" s="52">
        <f t="shared" ref="DF321" si="1000">+DF320/DA320-1</f>
        <v>-1.9800655621511565E-2</v>
      </c>
      <c r="DG321" s="52">
        <f t="shared" ref="DG321" si="1001">+DG320/DB320-1</f>
        <v>9.8066790184825336E-3</v>
      </c>
      <c r="DH321" s="52">
        <f t="shared" ref="DH321" si="1002">+DH320/DC320-1</f>
        <v>9.8059377425776528E-3</v>
      </c>
      <c r="DI321" s="112">
        <f t="shared" ref="DI321" si="1003">+DI320/DD320-1</f>
        <v>-6.7865314875455995E-3</v>
      </c>
    </row>
    <row r="322" spans="1:113" s="529" customFormat="1" ht="12" customHeight="1">
      <c r="A322" s="219" t="str">
        <f t="shared" si="709"/>
        <v xml:space="preserve"> </v>
      </c>
      <c r="B322" s="526" t="s">
        <v>172</v>
      </c>
      <c r="C322" s="112"/>
      <c r="D322" s="52"/>
      <c r="E322" s="112"/>
      <c r="F322" s="52"/>
      <c r="G322" s="112"/>
      <c r="H322" s="52"/>
      <c r="I322" s="112"/>
      <c r="J322" s="52"/>
      <c r="K322" s="112"/>
      <c r="L322" s="52"/>
      <c r="M322" s="112"/>
      <c r="N322" s="52"/>
      <c r="O322" s="112"/>
      <c r="P322" s="52"/>
      <c r="Q322" s="112"/>
      <c r="R322" s="52">
        <v>0.1</v>
      </c>
      <c r="S322" s="52">
        <v>0.17864818024263432</v>
      </c>
      <c r="T322" s="52">
        <v>0.17850436681222709</v>
      </c>
      <c r="U322" s="52">
        <v>0.16156431803490626</v>
      </c>
      <c r="V322" s="112">
        <v>0.16</v>
      </c>
      <c r="W322" s="52">
        <v>8.6217391304347815E-2</v>
      </c>
      <c r="X322" s="52">
        <v>0.28485477178423241</v>
      </c>
      <c r="Y322" s="52">
        <v>0.21</v>
      </c>
      <c r="Z322" s="52">
        <v>0.14000000000000001</v>
      </c>
      <c r="AA322" s="112">
        <v>0.18</v>
      </c>
      <c r="AB322" s="112"/>
      <c r="AC322" s="52">
        <v>0.06</v>
      </c>
      <c r="AD322" s="52">
        <v>-0.12</v>
      </c>
      <c r="AE322" s="52">
        <v>-0.1</v>
      </c>
      <c r="AF322" s="52">
        <v>0</v>
      </c>
      <c r="AG322" s="112">
        <v>-0.05</v>
      </c>
      <c r="AH322" s="52">
        <v>-0.03</v>
      </c>
      <c r="AI322" s="52">
        <v>0.05</v>
      </c>
      <c r="AJ322" s="52">
        <v>7.0000000000000007E-2</v>
      </c>
      <c r="AK322" s="52">
        <f>+(AL322*SUM(AC320:AF320)-AH322*AC320-AI322*AD320-AJ322*AE320)/AF320</f>
        <v>2.6076696165191739E-2</v>
      </c>
      <c r="AL322" s="112">
        <v>0.03</v>
      </c>
      <c r="AM322" s="52">
        <v>0.2</v>
      </c>
      <c r="AN322" s="52">
        <v>0.21</v>
      </c>
      <c r="AO322" s="52">
        <v>0.17</v>
      </c>
      <c r="AP322" s="52">
        <v>0.2</v>
      </c>
      <c r="AQ322" s="112">
        <v>0.19</v>
      </c>
      <c r="AR322" s="52">
        <v>0.3</v>
      </c>
      <c r="AS322" s="52">
        <v>0.28000000000000003</v>
      </c>
      <c r="AT322" s="52">
        <v>0.27</v>
      </c>
      <c r="AU322" s="52">
        <v>0.23</v>
      </c>
      <c r="AV322" s="112">
        <v>0.27</v>
      </c>
      <c r="AW322" s="52">
        <v>0.21</v>
      </c>
      <c r="AX322" s="52">
        <v>0.17</v>
      </c>
      <c r="AY322" s="52">
        <v>0.15</v>
      </c>
      <c r="AZ322" s="52">
        <v>0.16</v>
      </c>
      <c r="BA322" s="112">
        <v>0.17</v>
      </c>
      <c r="BB322" s="52">
        <v>0.12</v>
      </c>
      <c r="BC322" s="52">
        <v>0.15</v>
      </c>
      <c r="BD322" s="114">
        <v>0.19</v>
      </c>
      <c r="BE322" s="114">
        <v>0.25</v>
      </c>
      <c r="BF322" s="112">
        <f>SUMPRODUCT(BB322:BE322,AW320:AZ320)/BA320</f>
        <v>0.17858154354496106</v>
      </c>
      <c r="BG322" s="114">
        <v>0.2</v>
      </c>
      <c r="BH322" s="114">
        <v>0.31</v>
      </c>
      <c r="BI322" s="114">
        <v>0.24</v>
      </c>
      <c r="BJ322" s="114">
        <v>0.22</v>
      </c>
      <c r="BK322" s="112">
        <f>SUMPRODUCT(BG322:BJ322,BB320:BE320)/BF320</f>
        <v>0.24231008959875341</v>
      </c>
      <c r="BL322" s="114">
        <v>0.27</v>
      </c>
      <c r="BM322" s="114">
        <v>0.23</v>
      </c>
      <c r="BN322" s="114">
        <v>-0.04</v>
      </c>
      <c r="BO322" s="114">
        <v>0.01</v>
      </c>
      <c r="BP322" s="112">
        <f>SUMPRODUCT(BL322:BO322,BG320:BJ320)/BK320</f>
        <v>0.10968105670103094</v>
      </c>
      <c r="BQ322" s="114">
        <v>0.08</v>
      </c>
      <c r="BR322" s="114">
        <v>0.19</v>
      </c>
      <c r="BS322" s="114">
        <v>0.42</v>
      </c>
      <c r="BT322" s="114">
        <v>0.09</v>
      </c>
      <c r="BU322" s="112">
        <f>SUMPRODUCT(BQ322:BT322,BL320:BO320)/BP320</f>
        <v>0.18954933373259469</v>
      </c>
      <c r="BV322" s="114">
        <v>0.01</v>
      </c>
      <c r="BW322" s="114">
        <v>-0.24</v>
      </c>
      <c r="BX322" s="114">
        <v>-0.08</v>
      </c>
      <c r="BY322" s="114">
        <v>-0.2</v>
      </c>
      <c r="BZ322" s="112">
        <f>SUMPRODUCT(BV322:BY322,BQ320:BT320)/BU320</f>
        <v>-0.13300844390832325</v>
      </c>
      <c r="CA322" s="114">
        <v>-0.13</v>
      </c>
      <c r="CB322" s="114">
        <v>0.06</v>
      </c>
      <c r="CC322" s="114">
        <v>0.01</v>
      </c>
      <c r="CD322" s="114">
        <v>0.25</v>
      </c>
      <c r="CE322" s="112">
        <f>SUMPRODUCT(CA322:CD322,BV320:BY320)/BZ320</f>
        <v>3.5090764542202189E-2</v>
      </c>
      <c r="CF322" s="114">
        <v>0.12</v>
      </c>
      <c r="CG322" s="114">
        <v>0.08</v>
      </c>
      <c r="CH322" s="114">
        <v>0.06</v>
      </c>
      <c r="CI322" s="114">
        <v>7.0000000000000007E-2</v>
      </c>
      <c r="CJ322" s="112">
        <f>SUMPRODUCT(CF322:CI322,CA320:CD320)/CE320</f>
        <v>8.1139624724061818E-2</v>
      </c>
      <c r="CK322" s="114">
        <v>-0.03</v>
      </c>
      <c r="CL322" s="114">
        <v>-0.11</v>
      </c>
      <c r="CM322" s="114">
        <v>-0.15</v>
      </c>
      <c r="CN322" s="114">
        <v>-0.2</v>
      </c>
      <c r="CO322" s="112">
        <f>SUMPRODUCT(CK322:CN322,CF320:CI320)/CJ320</f>
        <v>-0.12487475149105368</v>
      </c>
      <c r="CP322" s="114">
        <v>-0.1</v>
      </c>
      <c r="CQ322" s="114">
        <v>-0.16</v>
      </c>
      <c r="CR322" s="114">
        <v>-0.1</v>
      </c>
      <c r="CS322" s="114">
        <v>-0.17</v>
      </c>
      <c r="CT322" s="112">
        <f>SUMPRODUCT(CP322:CS322,CK320:CN320)/CO320</f>
        <v>-0.13127543273610692</v>
      </c>
      <c r="CU322" s="114">
        <v>-0.26</v>
      </c>
      <c r="CV322" s="114">
        <f>SUM(CQ325*(1+CV327),CQ332*(1+CV334),CQ339*(1+CV341))/SUM(CQ325,CQ332,CQ339)-1</f>
        <v>-0.28613492621222769</v>
      </c>
      <c r="CW322" s="114">
        <f>SUM(CR325*(1+CW327),CR332*(1+CW334),CR339*(1+CW341))/SUM(CR325,CR332,CR339)-1</f>
        <v>-0.31489164086687305</v>
      </c>
      <c r="CX322" s="114">
        <f>SUM(CS325*(1+CX327),CS332*(1+CX334),CS339*(1+CX341))/SUM(CS325,CS332,CS339)-1</f>
        <v>-0.31465690053970707</v>
      </c>
      <c r="CY322" s="112">
        <f>SUMPRODUCT(CU322:CX322,CP320:CS320)/CT320</f>
        <v>-0.29364631434923893</v>
      </c>
      <c r="CZ322" s="114">
        <f>SUM(CU325*(1+CZ327),CU332*(1+CZ334),CU339*(1+CZ341))/SUM(CU325,CU332,CU339)-1</f>
        <v>-0.25</v>
      </c>
      <c r="DA322" s="114">
        <f>SUM(CV325*(1+DA327),CV332*(1+DA334),CV339*(1+DA341))/SUM(CV325,CV332,CV339)-1</f>
        <v>-0.19999999999999996</v>
      </c>
      <c r="DB322" s="114">
        <f>SUM(CW325*(1+DB327),CW332*(1+DB334),CW339*(1+DB341))/SUM(CW325,CW332,CW339)-1</f>
        <v>-7.9999999999999849E-2</v>
      </c>
      <c r="DC322" s="114">
        <f>SUM(CX325*(1+DC327),CX332*(1+DC334),CX339*(1+DC341))/SUM(CX325,CX332,CX339)-1</f>
        <v>-7.999999999999996E-2</v>
      </c>
      <c r="DD322" s="112">
        <f>SUMPRODUCT(CZ322:DC322,CU320:CX320)/CY320</f>
        <v>-0.15644366647776597</v>
      </c>
      <c r="DE322" s="114">
        <f>SUM(CZ325*(1+DE327),CZ332*(1+DE334),CZ339*(1+DE341))/SUM(CZ325,CZ332,CZ339)-1</f>
        <v>-2.9406779661017124E-2</v>
      </c>
      <c r="DF322" s="114">
        <f>SUM(DA325*(1+DF327),DA332*(1+DF334),DA339*(1+DF341))/SUM(DA325,DA332,DA339)-1</f>
        <v>-1.9800655621511565E-2</v>
      </c>
      <c r="DG322" s="114">
        <f>SUM(DB325*(1+DG327),DB332*(1+DG334),DB339*(1+DG341))/SUM(DB325,DB332,DB339)-1</f>
        <v>9.8066790184825336E-3</v>
      </c>
      <c r="DH322" s="114">
        <f>SUM(DC325*(1+DH327),DC332*(1+DH334),DC339*(1+DH341))/SUM(DC325,DC332,DC339)-1</f>
        <v>9.8059377425776528E-3</v>
      </c>
      <c r="DI322" s="112">
        <f>SUMPRODUCT(DE322:DH322,CZ320:DC320)/DD320</f>
        <v>-6.7865314875455336E-3</v>
      </c>
    </row>
    <row r="323" spans="1:113" ht="12" customHeight="1">
      <c r="A323" s="219" t="str">
        <f t="shared" si="709"/>
        <v xml:space="preserve"> </v>
      </c>
      <c r="B323" s="491" t="s">
        <v>141</v>
      </c>
      <c r="C323" s="492"/>
      <c r="D323" s="522"/>
      <c r="E323" s="492"/>
      <c r="F323" s="522"/>
      <c r="G323" s="492"/>
      <c r="H323" s="522"/>
      <c r="I323" s="492"/>
      <c r="J323" s="522"/>
      <c r="K323" s="492"/>
      <c r="L323" s="522"/>
      <c r="M323" s="492"/>
      <c r="N323" s="522"/>
      <c r="O323" s="492"/>
      <c r="P323" s="522"/>
      <c r="Q323" s="492"/>
      <c r="R323" s="399" t="s">
        <v>126</v>
      </c>
      <c r="S323" s="376" t="s">
        <v>126</v>
      </c>
      <c r="T323" s="376" t="s">
        <v>126</v>
      </c>
      <c r="U323" s="376" t="s">
        <v>126</v>
      </c>
      <c r="V323" s="375" t="s">
        <v>126</v>
      </c>
      <c r="W323" s="52">
        <f>(1+W321)/(1+W322)-1</f>
        <v>5.6718568626666244E-2</v>
      </c>
      <c r="X323" s="52">
        <f>(1+X321)/(1+X322)-1</f>
        <v>4.9572097529468673E-2</v>
      </c>
      <c r="Y323" s="52">
        <f>(1+Y321)/(1+Y322)-1</f>
        <v>3.5295521675567709E-2</v>
      </c>
      <c r="Z323" s="52">
        <f>(1+Z321)/(1+Z322)-1</f>
        <v>3.7389573223839623E-2</v>
      </c>
      <c r="AA323" s="112">
        <f>(1+AA321)/(1+AA322)-1</f>
        <v>4.4512094783610401E-2</v>
      </c>
      <c r="AB323" s="112"/>
      <c r="AC323" s="52">
        <f t="shared" ref="AC323:CH323" si="1004">(1+AC321)/(1+AC322)-1</f>
        <v>3.0946255002858747E-2</v>
      </c>
      <c r="AD323" s="52">
        <f t="shared" si="1004"/>
        <v>1.7482517482517501E-2</v>
      </c>
      <c r="AE323" s="52">
        <f t="shared" si="1004"/>
        <v>2.6256804354787056E-2</v>
      </c>
      <c r="AF323" s="52">
        <f t="shared" si="1004"/>
        <v>1.6491754122938573E-2</v>
      </c>
      <c r="AG323" s="112">
        <f t="shared" si="1004"/>
        <v>2.7341887605978332E-2</v>
      </c>
      <c r="AH323" s="52">
        <f t="shared" si="1004"/>
        <v>2.5567724990619878E-2</v>
      </c>
      <c r="AI323" s="52">
        <f t="shared" si="1004"/>
        <v>2.9291441662575579E-2</v>
      </c>
      <c r="AJ323" s="52">
        <f t="shared" si="1004"/>
        <v>1.6227564990449972E-2</v>
      </c>
      <c r="AK323" s="52">
        <f t="shared" si="1004"/>
        <v>9.0846366145354018E-3</v>
      </c>
      <c r="AL323" s="112">
        <f t="shared" si="1004"/>
        <v>1.9456655461262962E-2</v>
      </c>
      <c r="AM323" s="52">
        <f t="shared" si="1004"/>
        <v>-1.4227642276422814E-2</v>
      </c>
      <c r="AN323" s="52">
        <f t="shared" si="1004"/>
        <v>-4.0599666268114065E-3</v>
      </c>
      <c r="AO323" s="52">
        <f t="shared" si="1004"/>
        <v>-1.7768458227568673E-2</v>
      </c>
      <c r="AP323" s="52">
        <f t="shared" si="1004"/>
        <v>-1.5906932573599208E-2</v>
      </c>
      <c r="AQ323" s="112">
        <f t="shared" si="1004"/>
        <v>-9.4884994735787709E-3</v>
      </c>
      <c r="AR323" s="52">
        <f t="shared" si="1004"/>
        <v>3.7385295117253747E-3</v>
      </c>
      <c r="AS323" s="52">
        <f t="shared" si="1004"/>
        <v>-3.3228891820580531E-2</v>
      </c>
      <c r="AT323" s="52">
        <f t="shared" si="1004"/>
        <v>-3.467122789426591E-2</v>
      </c>
      <c r="AU323" s="52">
        <f t="shared" si="1004"/>
        <v>-3.9885453136799143E-2</v>
      </c>
      <c r="AV323" s="112">
        <f t="shared" si="1004"/>
        <v>-2.8263788513230748E-2</v>
      </c>
      <c r="AW323" s="52">
        <f t="shared" si="1004"/>
        <v>-4.8560714885360845E-2</v>
      </c>
      <c r="AX323" s="52">
        <f t="shared" si="1004"/>
        <v>-3.8689337196799789E-2</v>
      </c>
      <c r="AY323" s="52">
        <f t="shared" si="1004"/>
        <v>-4.8082883201983506E-2</v>
      </c>
      <c r="AZ323" s="52">
        <f t="shared" si="1004"/>
        <v>-4.2830474446127198E-2</v>
      </c>
      <c r="BA323" s="112">
        <f t="shared" si="1004"/>
        <v>-4.3231830550192529E-2</v>
      </c>
      <c r="BB323" s="52">
        <f t="shared" si="1004"/>
        <v>-3.0112044817927286E-2</v>
      </c>
      <c r="BC323" s="52">
        <f t="shared" si="1004"/>
        <v>7.2120337935297485E-3</v>
      </c>
      <c r="BD323" s="52">
        <f t="shared" si="1004"/>
        <v>4.4361930818839213E-2</v>
      </c>
      <c r="BE323" s="52">
        <f t="shared" si="1004"/>
        <v>8.0404783808647684E-2</v>
      </c>
      <c r="BF323" s="112">
        <f>SUMPRODUCT(BB323:BE323,AW320:AZ320)/BA320</f>
        <v>2.642989982726935E-2</v>
      </c>
      <c r="BG323" s="52">
        <f t="shared" si="1004"/>
        <v>3.7154031287605305E-2</v>
      </c>
      <c r="BH323" s="52">
        <f t="shared" si="1004"/>
        <v>-3.5494309166552052E-2</v>
      </c>
      <c r="BI323" s="52">
        <f t="shared" si="1004"/>
        <v>-4.1433262507243551E-2</v>
      </c>
      <c r="BJ323" s="52">
        <f t="shared" si="1004"/>
        <v>-5.2463483271541378E-2</v>
      </c>
      <c r="BK323" s="112">
        <f>SUMPRODUCT(BG323:BJ323,BB320:BE320)/BF320</f>
        <v>-2.6213208275644731E-2</v>
      </c>
      <c r="BL323" s="52">
        <f t="shared" si="1004"/>
        <v>-4.1300040540617755E-2</v>
      </c>
      <c r="BM323" s="52">
        <f t="shared" si="1004"/>
        <v>-2.7444289986941262E-2</v>
      </c>
      <c r="BN323" s="52">
        <f t="shared" si="1004"/>
        <v>-1.2122166246851251E-2</v>
      </c>
      <c r="BO323" s="52">
        <f t="shared" si="1004"/>
        <v>-3.9073029282893024E-2</v>
      </c>
      <c r="BP323" s="112">
        <f>SUMPRODUCT(BL323:BO323,BG320:BJ320)/BK320</f>
        <v>-2.9781519062245236E-2</v>
      </c>
      <c r="BQ323" s="52">
        <f t="shared" si="1004"/>
        <v>-1.8375135111287744E-2</v>
      </c>
      <c r="BR323" s="52">
        <f t="shared" si="1004"/>
        <v>4.5529202476875863E-2</v>
      </c>
      <c r="BS323" s="52">
        <f t="shared" si="1004"/>
        <v>6.569029048126751E-2</v>
      </c>
      <c r="BT323" s="52">
        <f t="shared" si="1004"/>
        <v>7.6742255866936171E-2</v>
      </c>
      <c r="BU323" s="112">
        <f>SUMPRODUCT(BQ323:BT323,BL320:BO320)/BP320</f>
        <v>4.1707539751545196E-2</v>
      </c>
      <c r="BV323" s="52">
        <f t="shared" si="1004"/>
        <v>0.1024585604627879</v>
      </c>
      <c r="BW323" s="52">
        <f t="shared" si="1004"/>
        <v>5.5838028491594471E-2</v>
      </c>
      <c r="BX323" s="52">
        <f t="shared" si="1004"/>
        <v>3.0200125913348641E-2</v>
      </c>
      <c r="BY323" s="52">
        <f t="shared" si="1004"/>
        <v>9.4412829798240505E-3</v>
      </c>
      <c r="BZ323" s="112">
        <f>SUMPRODUCT(BV323:BY323,BQ320:BT320)/BU320</f>
        <v>4.7981678414230157E-2</v>
      </c>
      <c r="CA323" s="52">
        <f t="shared" si="1004"/>
        <v>-3.9632555064546438E-2</v>
      </c>
      <c r="CB323" s="52">
        <f t="shared" si="1004"/>
        <v>-8.525355052592809E-2</v>
      </c>
      <c r="CC323" s="52">
        <f t="shared" si="1004"/>
        <v>-8.599193252658599E-2</v>
      </c>
      <c r="CD323" s="52">
        <f t="shared" si="1004"/>
        <v>-7.238949391415761E-2</v>
      </c>
      <c r="CE323" s="112">
        <f>SUMPRODUCT(CA323:CD323,BV320:BY320)/BZ320</f>
        <v>-7.082308805686606E-2</v>
      </c>
      <c r="CF323" s="52">
        <f t="shared" si="1004"/>
        <v>-6.454882677708762E-2</v>
      </c>
      <c r="CG323" s="52">
        <f t="shared" si="1004"/>
        <v>-3.5234899328859148E-2</v>
      </c>
      <c r="CH323" s="52">
        <f t="shared" si="1004"/>
        <v>-1.4023201680513298E-2</v>
      </c>
      <c r="CI323" s="114">
        <v>-0.02</v>
      </c>
      <c r="CJ323" s="112">
        <f>SUMPRODUCT(CF323:CI323,CA320:CD320)/CE320</f>
        <v>-3.2292373246937192E-2</v>
      </c>
      <c r="CK323" s="52">
        <f t="shared" ref="CK323:CU323" si="1005">(1+CK321)/(1+CK322)-1</f>
        <v>-1.0071600463471886E-2</v>
      </c>
      <c r="CL323" s="52">
        <f t="shared" si="1005"/>
        <v>3.1922657065141857E-2</v>
      </c>
      <c r="CM323" s="52">
        <f t="shared" si="1005"/>
        <v>-2.1677768996274049E-2</v>
      </c>
      <c r="CN323" s="52">
        <f t="shared" si="1005"/>
        <v>-9.6618357487923134E-3</v>
      </c>
      <c r="CO323" s="112">
        <f>SUMPRODUCT(CK323:CN323,CF320:CI320)/CJ320</f>
        <v>-2.806996326043689E-3</v>
      </c>
      <c r="CP323" s="52">
        <f t="shared" si="1005"/>
        <v>8.4033613445377853E-3</v>
      </c>
      <c r="CQ323" s="52">
        <f t="shared" si="1005"/>
        <v>-9.9078789902868891E-3</v>
      </c>
      <c r="CR323" s="52">
        <f t="shared" si="1005"/>
        <v>3.5455536321087333E-2</v>
      </c>
      <c r="CS323" s="52">
        <f t="shared" si="1005"/>
        <v>5.8706370196232038E-2</v>
      </c>
      <c r="CT323" s="112">
        <f>SUMPRODUCT(CP323:CS323,CK320:CN320)/CO320</f>
        <v>2.2038060416292429E-2</v>
      </c>
      <c r="CU323" s="52">
        <f t="shared" si="1005"/>
        <v>5.4626054626054632E-2</v>
      </c>
      <c r="CV323" s="53">
        <v>6.0999999999999999E-2</v>
      </c>
      <c r="CW323" s="53">
        <v>0.04</v>
      </c>
      <c r="CX323" s="53">
        <v>2.1000000000000001E-2</v>
      </c>
      <c r="CY323" s="112">
        <f>SUMPRODUCT(CU323:CX323,CP320:CS320)/CT320</f>
        <v>4.4678398254591183E-2</v>
      </c>
      <c r="CZ323" s="53">
        <v>8.9999999999999993E-3</v>
      </c>
      <c r="DA323" s="53">
        <v>0</v>
      </c>
      <c r="DB323" s="53">
        <v>0</v>
      </c>
      <c r="DC323" s="53">
        <v>0</v>
      </c>
      <c r="DD323" s="112">
        <f>SUMPRODUCT(CZ323:DC323,CU320:CX320)/CY320</f>
        <v>2.4605772886881249E-3</v>
      </c>
      <c r="DE323" s="53">
        <v>0</v>
      </c>
      <c r="DF323" s="53">
        <v>0</v>
      </c>
      <c r="DG323" s="53">
        <v>0</v>
      </c>
      <c r="DH323" s="53">
        <v>0</v>
      </c>
      <c r="DI323" s="112">
        <f>SUMPRODUCT(DE323:DH323,CZ320:DC320)/DD320</f>
        <v>0</v>
      </c>
    </row>
    <row r="324" spans="1:113" ht="12" customHeight="1">
      <c r="A324" s="219"/>
      <c r="B324" s="17"/>
      <c r="C324" s="79"/>
      <c r="D324" s="6"/>
      <c r="E324" s="79"/>
      <c r="F324" s="6"/>
      <c r="G324" s="79"/>
      <c r="H324" s="6"/>
      <c r="I324" s="79"/>
      <c r="J324" s="6"/>
      <c r="K324" s="79"/>
      <c r="L324" s="6"/>
      <c r="M324" s="79"/>
      <c r="N324" s="6"/>
      <c r="O324" s="79"/>
      <c r="P324" s="6"/>
      <c r="Q324" s="79"/>
      <c r="R324" s="6"/>
      <c r="S324" s="6"/>
      <c r="T324" s="6"/>
      <c r="U324" s="6"/>
      <c r="V324" s="79"/>
      <c r="W324" s="6"/>
      <c r="X324" s="9"/>
      <c r="Y324" s="6"/>
      <c r="Z324" s="376"/>
      <c r="AA324" s="79"/>
      <c r="AB324" s="79"/>
      <c r="AC324" s="6"/>
      <c r="AD324" s="9"/>
      <c r="AE324" s="6"/>
      <c r="AF324" s="376"/>
      <c r="AG324" s="79"/>
      <c r="AH324" s="6"/>
      <c r="AI324" s="9"/>
      <c r="AJ324" s="6"/>
      <c r="AK324" s="376"/>
      <c r="AL324" s="79"/>
      <c r="AM324" s="6"/>
      <c r="AN324" s="9"/>
      <c r="AO324" s="6"/>
      <c r="AP324" s="376"/>
      <c r="AQ324" s="79"/>
      <c r="AR324" s="6"/>
      <c r="AS324" s="9"/>
      <c r="AT324" s="6"/>
      <c r="AU324" s="376"/>
      <c r="AV324" s="79"/>
      <c r="AW324" s="376"/>
      <c r="AX324" s="9"/>
      <c r="AY324" s="6"/>
      <c r="AZ324" s="376"/>
      <c r="BA324" s="79"/>
      <c r="BB324" s="376"/>
      <c r="BC324" s="9"/>
      <c r="BD324" s="6"/>
      <c r="BE324" s="376"/>
      <c r="BF324" s="79"/>
      <c r="BG324" s="49"/>
      <c r="BH324" s="9"/>
      <c r="BI324" s="6"/>
      <c r="BJ324" s="376"/>
      <c r="BK324" s="42"/>
      <c r="BL324" s="231"/>
      <c r="BM324" s="9"/>
      <c r="BN324" s="6"/>
      <c r="BO324" s="376"/>
      <c r="BP324" s="246"/>
      <c r="BQ324" s="231"/>
      <c r="BR324" s="9"/>
      <c r="BS324" s="6"/>
      <c r="BT324" s="376"/>
      <c r="BU324" s="246"/>
      <c r="BV324" s="6"/>
      <c r="BW324" s="9"/>
      <c r="BX324" s="6"/>
      <c r="BY324" s="376"/>
      <c r="BZ324" s="79"/>
      <c r="CA324" s="376"/>
      <c r="CB324" s="9"/>
      <c r="CC324" s="6"/>
      <c r="CD324" s="376"/>
      <c r="CE324" s="42"/>
      <c r="CF324" s="376"/>
      <c r="CG324" s="9"/>
      <c r="CH324" s="6"/>
      <c r="CI324" s="463"/>
      <c r="CJ324" s="42"/>
      <c r="CK324" s="49"/>
      <c r="CL324" s="9"/>
      <c r="CM324" s="6"/>
      <c r="CN324" s="376"/>
      <c r="CO324" s="42"/>
      <c r="CP324" s="49"/>
      <c r="CQ324" s="9"/>
      <c r="CR324" s="6"/>
      <c r="CS324" s="376"/>
      <c r="CT324" s="42"/>
      <c r="CU324" s="49"/>
      <c r="CV324" s="9"/>
      <c r="CW324" s="6"/>
      <c r="CX324" s="376"/>
      <c r="CY324" s="42"/>
      <c r="CZ324" s="49"/>
      <c r="DA324" s="9"/>
      <c r="DB324" s="6"/>
      <c r="DC324" s="376"/>
      <c r="DD324" s="42"/>
      <c r="DE324" s="49"/>
      <c r="DF324" s="9"/>
      <c r="DG324" s="6"/>
      <c r="DH324" s="376"/>
      <c r="DI324" s="42"/>
    </row>
    <row r="325" spans="1:113" s="7" customFormat="1" ht="12" hidden="1" customHeight="1" outlineLevel="1">
      <c r="A325" s="239" t="str">
        <f t="shared" si="709"/>
        <v xml:space="preserve"> </v>
      </c>
      <c r="B325" s="20" t="s">
        <v>95</v>
      </c>
      <c r="C325" s="36"/>
      <c r="D325" s="43"/>
      <c r="E325" s="36"/>
      <c r="F325" s="43"/>
      <c r="G325" s="36"/>
      <c r="H325" s="43"/>
      <c r="I325" s="36"/>
      <c r="J325" s="43"/>
      <c r="K325" s="36"/>
      <c r="L325" s="43"/>
      <c r="M325" s="36"/>
      <c r="N325" s="43"/>
      <c r="O325" s="36"/>
      <c r="P325" s="43"/>
      <c r="Q325" s="36"/>
      <c r="R325" s="43">
        <v>246</v>
      </c>
      <c r="S325" s="43">
        <v>264</v>
      </c>
      <c r="T325" s="43">
        <v>333</v>
      </c>
      <c r="U325" s="43">
        <v>321</v>
      </c>
      <c r="V325" s="36">
        <f>SUM(R325:U325)</f>
        <v>1164</v>
      </c>
      <c r="W325" s="43">
        <v>314</v>
      </c>
      <c r="X325" s="43">
        <v>353</v>
      </c>
      <c r="Y325" s="43">
        <v>449</v>
      </c>
      <c r="Z325" s="43">
        <v>402</v>
      </c>
      <c r="AA325" s="36">
        <f>SUM(W325:Z325)</f>
        <v>1518</v>
      </c>
      <c r="AB325" s="36"/>
      <c r="AC325" s="43">
        <v>357</v>
      </c>
      <c r="AD325" s="43">
        <v>324</v>
      </c>
      <c r="AE325" s="43">
        <v>410</v>
      </c>
      <c r="AF325" s="43">
        <v>404</v>
      </c>
      <c r="AG325" s="36">
        <f>SUM(AC325:AF325)</f>
        <v>1495</v>
      </c>
      <c r="AH325" s="43">
        <v>341</v>
      </c>
      <c r="AI325" s="43">
        <v>358</v>
      </c>
      <c r="AJ325" s="43">
        <v>467</v>
      </c>
      <c r="AK325" s="43">
        <v>434</v>
      </c>
      <c r="AL325" s="36">
        <f>SUM(AH325:AK325)</f>
        <v>1600</v>
      </c>
      <c r="AM325" s="43">
        <v>440</v>
      </c>
      <c r="AN325" s="43">
        <v>463</v>
      </c>
      <c r="AO325" s="43">
        <v>562</v>
      </c>
      <c r="AP325" s="43">
        <v>551</v>
      </c>
      <c r="AQ325" s="36">
        <f>SUM(AM325:AP325)</f>
        <v>2016</v>
      </c>
      <c r="AR325" s="43">
        <v>599</v>
      </c>
      <c r="AS325" s="43">
        <v>600</v>
      </c>
      <c r="AT325" s="43">
        <v>719</v>
      </c>
      <c r="AU325" s="43">
        <v>681</v>
      </c>
      <c r="AV325" s="36">
        <f>SUM(AR325:AU325)</f>
        <v>2599</v>
      </c>
      <c r="AW325" s="43">
        <v>710</v>
      </c>
      <c r="AX325" s="43">
        <v>669</v>
      </c>
      <c r="AY325" s="43">
        <v>776</v>
      </c>
      <c r="AZ325" s="43">
        <v>765</v>
      </c>
      <c r="BA325" s="36">
        <f>SUM(AW325:AZ325)</f>
        <v>2920</v>
      </c>
      <c r="BB325" s="43">
        <v>761</v>
      </c>
      <c r="BC325" s="43">
        <v>793</v>
      </c>
      <c r="BD325" s="43">
        <v>939</v>
      </c>
      <c r="BE325" s="43">
        <v>1003</v>
      </c>
      <c r="BF325" s="36">
        <f>SUM(BB325:BE325)</f>
        <v>3496</v>
      </c>
      <c r="BG325" s="43">
        <v>958</v>
      </c>
      <c r="BH325" s="43">
        <v>1022</v>
      </c>
      <c r="BI325" s="43">
        <v>1115</v>
      </c>
      <c r="BJ325" s="43">
        <v>1167</v>
      </c>
      <c r="BK325" s="36">
        <f>SUM(BG325:BJ325)</f>
        <v>4262</v>
      </c>
      <c r="BL325" s="43">
        <v>1164</v>
      </c>
      <c r="BM325" s="43">
        <v>1247</v>
      </c>
      <c r="BN325" s="43">
        <v>1075</v>
      </c>
      <c r="BO325" s="43">
        <v>1149</v>
      </c>
      <c r="BP325" s="36">
        <f>SUM(BL325:BO325)</f>
        <v>4635</v>
      </c>
      <c r="BQ325" s="43">
        <v>1251</v>
      </c>
      <c r="BR325" s="43">
        <v>1567</v>
      </c>
      <c r="BS325" s="43">
        <v>1614</v>
      </c>
      <c r="BT325" s="43">
        <v>1316</v>
      </c>
      <c r="BU325" s="36">
        <f>SUM(BQ325:BT325)</f>
        <v>5748</v>
      </c>
      <c r="BV325" s="43">
        <v>1449</v>
      </c>
      <c r="BW325" s="43">
        <v>1235</v>
      </c>
      <c r="BX325" s="43">
        <v>1554</v>
      </c>
      <c r="BY325" s="43">
        <v>1178</v>
      </c>
      <c r="BZ325" s="36">
        <f>SUM(BV325:BY325)</f>
        <v>5416</v>
      </c>
      <c r="CA325" s="43">
        <v>1233</v>
      </c>
      <c r="CB325" s="43">
        <v>1370</v>
      </c>
      <c r="CC325" s="43">
        <v>1496</v>
      </c>
      <c r="CD325" s="43">
        <v>1336</v>
      </c>
      <c r="CE325" s="36">
        <f>SUM(CA325:CD325)</f>
        <v>5435</v>
      </c>
      <c r="CF325" s="43">
        <v>1287</v>
      </c>
      <c r="CG325" s="43">
        <v>1361</v>
      </c>
      <c r="CH325" s="43">
        <v>1547</v>
      </c>
      <c r="CI325" s="43">
        <v>1357</v>
      </c>
      <c r="CJ325" s="36">
        <f>SUM(CF325:CI325)</f>
        <v>5552</v>
      </c>
      <c r="CK325" s="43">
        <v>1246</v>
      </c>
      <c r="CL325" s="43">
        <v>1203</v>
      </c>
      <c r="CM325" s="43">
        <v>1282</v>
      </c>
      <c r="CN325" s="43">
        <v>1074</v>
      </c>
      <c r="CO325" s="36">
        <f>SUM(CK325:CN325)</f>
        <v>4805</v>
      </c>
      <c r="CP325" s="43">
        <v>1109</v>
      </c>
      <c r="CQ325" s="43">
        <v>954</v>
      </c>
      <c r="CR325" s="43">
        <v>1187</v>
      </c>
      <c r="CS325" s="43">
        <v>938</v>
      </c>
      <c r="CT325" s="36">
        <f>SUM(CP325:CS325)</f>
        <v>4188</v>
      </c>
      <c r="CU325" s="43">
        <v>866</v>
      </c>
      <c r="CV325" s="43">
        <f>CQ325*(1+CV327)*(1+CV330)</f>
        <v>718.65773999999988</v>
      </c>
      <c r="CW325" s="43">
        <f>CR325*(1+CW327)*(1+CW330)</f>
        <v>839.44640000000004</v>
      </c>
      <c r="CX325" s="43">
        <f>CS325*(1+CX327)*(1+CX330)</f>
        <v>651.2346399999999</v>
      </c>
      <c r="CY325" s="36">
        <f>SUM(CU325:CX325)</f>
        <v>3075.33878</v>
      </c>
      <c r="CZ325" s="43">
        <f>CU325*(1+CZ327)*(1+CZ330)</f>
        <v>655.3454999999999</v>
      </c>
      <c r="DA325" s="43">
        <f>CV325*(1+DA327)*(1+DA330)</f>
        <v>574.9261919999999</v>
      </c>
      <c r="DB325" s="43">
        <f>CW325*(1+DB327)*(1+DB330)</f>
        <v>772.29068800000005</v>
      </c>
      <c r="DC325" s="43">
        <f>CX325*(1+DC327)*(1+DC330)</f>
        <v>599.13586879999991</v>
      </c>
      <c r="DD325" s="36">
        <f>SUM(CZ325:DC325)</f>
        <v>2601.6982487999999</v>
      </c>
      <c r="DE325" s="43">
        <f>CZ325*(1+DE327)*(1+DE330)</f>
        <v>635.68513499999983</v>
      </c>
      <c r="DF325" s="43">
        <f>DA325*(1+DF327)*(1+DF330)</f>
        <v>563.42766815999994</v>
      </c>
      <c r="DG325" s="43">
        <f>DB325*(1+DG327)*(1+DG330)</f>
        <v>780.01359488000003</v>
      </c>
      <c r="DH325" s="43">
        <f>DC325*(1+DH327)*(1+DH330)</f>
        <v>605.1272274879999</v>
      </c>
      <c r="DI325" s="36">
        <f>SUM(DE325:DH325)</f>
        <v>2584.2536255279997</v>
      </c>
    </row>
    <row r="326" spans="1:113" ht="12" hidden="1" customHeight="1" outlineLevel="1">
      <c r="A326" s="219" t="str">
        <f t="shared" si="709"/>
        <v xml:space="preserve"> </v>
      </c>
      <c r="B326" s="491" t="s">
        <v>171</v>
      </c>
      <c r="C326" s="492"/>
      <c r="D326" s="522"/>
      <c r="E326" s="492"/>
      <c r="F326" s="522"/>
      <c r="G326" s="492"/>
      <c r="H326" s="522"/>
      <c r="I326" s="492"/>
      <c r="J326" s="522"/>
      <c r="K326" s="492"/>
      <c r="L326" s="522"/>
      <c r="M326" s="492"/>
      <c r="N326" s="522"/>
      <c r="O326" s="492"/>
      <c r="P326" s="522"/>
      <c r="Q326" s="492"/>
      <c r="R326" s="378" t="s">
        <v>126</v>
      </c>
      <c r="S326" s="522" t="s">
        <v>126</v>
      </c>
      <c r="T326" s="522" t="s">
        <v>126</v>
      </c>
      <c r="U326" s="522" t="s">
        <v>126</v>
      </c>
      <c r="V326" s="492" t="s">
        <v>126</v>
      </c>
      <c r="W326" s="52">
        <f>+W325/R325-1</f>
        <v>0.27642276422764223</v>
      </c>
      <c r="X326" s="52">
        <f>+X325/S325-1</f>
        <v>0.33712121212121215</v>
      </c>
      <c r="Y326" s="52">
        <f>+Y325/T325-1</f>
        <v>0.34834834834834827</v>
      </c>
      <c r="Z326" s="52">
        <f>+Z325/U325-1</f>
        <v>0.25233644859813076</v>
      </c>
      <c r="AA326" s="112">
        <f>+AA325/V325-1</f>
        <v>0.30412371134020622</v>
      </c>
      <c r="AB326" s="112"/>
      <c r="AC326" s="52">
        <f>+AC325/W325-1</f>
        <v>0.13694267515923575</v>
      </c>
      <c r="AD326" s="52">
        <f>+AD325/X325-1</f>
        <v>-8.2152974504249299E-2</v>
      </c>
      <c r="AE326" s="52">
        <f>+AE325/Y325-1</f>
        <v>-8.6859688195991103E-2</v>
      </c>
      <c r="AF326" s="52">
        <f>+AF325/Z325-1</f>
        <v>4.9751243781095411E-3</v>
      </c>
      <c r="AG326" s="112">
        <f>+AG325/AA325-1</f>
        <v>-1.5151515151515138E-2</v>
      </c>
      <c r="AH326" s="52">
        <f t="shared" ref="AH326:AU326" si="1006">+AH325/AC325-1</f>
        <v>-4.4817927170868299E-2</v>
      </c>
      <c r="AI326" s="52">
        <f t="shared" si="1006"/>
        <v>0.10493827160493829</v>
      </c>
      <c r="AJ326" s="52">
        <f t="shared" si="1006"/>
        <v>0.13902439024390234</v>
      </c>
      <c r="AK326" s="52">
        <f t="shared" si="1006"/>
        <v>7.4257425742574323E-2</v>
      </c>
      <c r="AL326" s="112">
        <f t="shared" si="1006"/>
        <v>7.0234113712374535E-2</v>
      </c>
      <c r="AM326" s="52">
        <f t="shared" si="1006"/>
        <v>0.29032258064516125</v>
      </c>
      <c r="AN326" s="52">
        <f t="shared" si="1006"/>
        <v>0.2932960893854748</v>
      </c>
      <c r="AO326" s="52">
        <f t="shared" si="1006"/>
        <v>0.20342612419700212</v>
      </c>
      <c r="AP326" s="52">
        <f t="shared" si="1006"/>
        <v>0.26958525345622131</v>
      </c>
      <c r="AQ326" s="112">
        <f t="shared" si="1006"/>
        <v>0.26</v>
      </c>
      <c r="AR326" s="52">
        <f t="shared" si="1006"/>
        <v>0.36136363636363633</v>
      </c>
      <c r="AS326" s="52">
        <f t="shared" si="1006"/>
        <v>0.29589632829373658</v>
      </c>
      <c r="AT326" s="52">
        <f t="shared" si="1006"/>
        <v>0.27935943060498225</v>
      </c>
      <c r="AU326" s="52">
        <f t="shared" si="1006"/>
        <v>0.23593466424682386</v>
      </c>
      <c r="AV326" s="112">
        <f t="shared" ref="AV326:BG326" si="1007">+AV325/AQ325-1</f>
        <v>0.28918650793650791</v>
      </c>
      <c r="AW326" s="52">
        <f t="shared" si="1007"/>
        <v>0.18530884808013348</v>
      </c>
      <c r="AX326" s="52">
        <f t="shared" si="1007"/>
        <v>0.11499999999999999</v>
      </c>
      <c r="AY326" s="52">
        <f t="shared" si="1007"/>
        <v>7.9276773296244718E-2</v>
      </c>
      <c r="AZ326" s="52">
        <f t="shared" si="1007"/>
        <v>0.12334801762114544</v>
      </c>
      <c r="BA326" s="112">
        <f t="shared" si="1007"/>
        <v>0.12350904193920731</v>
      </c>
      <c r="BB326" s="52">
        <f t="shared" si="1007"/>
        <v>7.1830985915492862E-2</v>
      </c>
      <c r="BC326" s="52">
        <f t="shared" si="1007"/>
        <v>0.18535127055306422</v>
      </c>
      <c r="BD326" s="52">
        <f t="shared" si="1007"/>
        <v>0.2100515463917525</v>
      </c>
      <c r="BE326" s="52">
        <f t="shared" si="1007"/>
        <v>0.31111111111111112</v>
      </c>
      <c r="BF326" s="112">
        <f t="shared" ref="BF326:BP326" si="1008">+BF325/BA325-1</f>
        <v>0.19726027397260282</v>
      </c>
      <c r="BG326" s="52">
        <f t="shared" si="1007"/>
        <v>0.25886990801576881</v>
      </c>
      <c r="BH326" s="52">
        <f t="shared" si="1008"/>
        <v>0.28877679697351821</v>
      </c>
      <c r="BI326" s="52">
        <f t="shared" si="1008"/>
        <v>0.18743343982960603</v>
      </c>
      <c r="BJ326" s="52">
        <f t="shared" si="1008"/>
        <v>0.16350947158524431</v>
      </c>
      <c r="BK326" s="112">
        <f t="shared" si="1008"/>
        <v>0.21910755148741412</v>
      </c>
      <c r="BL326" s="52">
        <f t="shared" si="1008"/>
        <v>0.21503131524008356</v>
      </c>
      <c r="BM326" s="52">
        <f t="shared" si="1008"/>
        <v>0.22015655577299409</v>
      </c>
      <c r="BN326" s="52">
        <f t="shared" si="1008"/>
        <v>-3.5874439461883401E-2</v>
      </c>
      <c r="BO326" s="52">
        <f t="shared" si="1008"/>
        <v>-1.5424164524421635E-2</v>
      </c>
      <c r="BP326" s="112">
        <f t="shared" si="1008"/>
        <v>8.7517597372125833E-2</v>
      </c>
      <c r="BQ326" s="52">
        <f t="shared" ref="BQ326:BZ326" si="1009">+BQ325/BL325-1</f>
        <v>7.474226804123707E-2</v>
      </c>
      <c r="BR326" s="52">
        <f t="shared" si="1009"/>
        <v>0.2566158781074579</v>
      </c>
      <c r="BS326" s="52">
        <f t="shared" si="1009"/>
        <v>0.50139534883720938</v>
      </c>
      <c r="BT326" s="52">
        <f t="shared" si="1009"/>
        <v>0.1453437771975632</v>
      </c>
      <c r="BU326" s="112">
        <f t="shared" si="1009"/>
        <v>0.24012944983818763</v>
      </c>
      <c r="BV326" s="52">
        <f t="shared" si="1009"/>
        <v>0.15827338129496393</v>
      </c>
      <c r="BW326" s="52">
        <f t="shared" si="1009"/>
        <v>-0.21186981493299295</v>
      </c>
      <c r="BX326" s="52">
        <f t="shared" si="1009"/>
        <v>-3.7174721189591087E-2</v>
      </c>
      <c r="BY326" s="52">
        <f t="shared" si="1009"/>
        <v>-0.10486322188449848</v>
      </c>
      <c r="BZ326" s="112">
        <f t="shared" si="1009"/>
        <v>-5.7759220598469052E-2</v>
      </c>
      <c r="CA326" s="52">
        <f t="shared" ref="CA326" si="1010">+CA325/BV325-1</f>
        <v>-0.14906832298136641</v>
      </c>
      <c r="CB326" s="52">
        <f t="shared" ref="CB326:CD326" si="1011">+CB325/BW325-1</f>
        <v>0.10931174089068829</v>
      </c>
      <c r="CC326" s="52">
        <f t="shared" si="1011"/>
        <v>-3.7323037323037322E-2</v>
      </c>
      <c r="CD326" s="52">
        <f t="shared" si="1011"/>
        <v>0.13412563667232602</v>
      </c>
      <c r="CE326" s="112">
        <f t="shared" ref="CE326" si="1012">+CE325/BZ325-1</f>
        <v>3.5081240768095601E-3</v>
      </c>
      <c r="CF326" s="52">
        <f t="shared" ref="CF326" si="1013">+CF325/CA325-1</f>
        <v>4.3795620437956151E-2</v>
      </c>
      <c r="CG326" s="52">
        <f t="shared" ref="CG326:CH326" si="1014">+CG325/CB325-1</f>
        <v>-6.5693430656934559E-3</v>
      </c>
      <c r="CH326" s="52">
        <f t="shared" si="1014"/>
        <v>3.4090909090909172E-2</v>
      </c>
      <c r="CI326" s="52">
        <f t="shared" ref="CI326" si="1015">+CI325/CD325-1</f>
        <v>1.5718562874251552E-2</v>
      </c>
      <c r="CJ326" s="112">
        <f t="shared" ref="CJ326:CL326" si="1016">+CJ325/CE325-1</f>
        <v>2.1527138914443356E-2</v>
      </c>
      <c r="CK326" s="52">
        <f t="shared" si="1016"/>
        <v>-3.1857031857031815E-2</v>
      </c>
      <c r="CL326" s="52">
        <f t="shared" si="1016"/>
        <v>-0.11609110947832479</v>
      </c>
      <c r="CM326" s="52">
        <f t="shared" ref="CM326" si="1017">+CM325/CH325-1</f>
        <v>-0.17129928894634772</v>
      </c>
      <c r="CN326" s="52">
        <f t="shared" ref="CN326" si="1018">+CN325/CI325-1</f>
        <v>-0.20854826823876194</v>
      </c>
      <c r="CO326" s="112">
        <f t="shared" ref="CO326" si="1019">+CO325/CJ325-1</f>
        <v>-0.1345461095100865</v>
      </c>
      <c r="CP326" s="52">
        <f t="shared" ref="CP326" si="1020">+CP325/CK325-1</f>
        <v>-0.1099518459069021</v>
      </c>
      <c r="CQ326" s="52">
        <f t="shared" ref="CQ326" si="1021">+CQ325/CL325-1</f>
        <v>-0.20698254364089774</v>
      </c>
      <c r="CR326" s="52">
        <f t="shared" ref="CR326" si="1022">+CR325/CM325-1</f>
        <v>-7.4102964118564763E-2</v>
      </c>
      <c r="CS326" s="52">
        <f t="shared" ref="CS326" si="1023">+CS325/CN325-1</f>
        <v>-0.12662942271880817</v>
      </c>
      <c r="CT326" s="112">
        <f t="shared" ref="CT326" si="1024">+CT325/CO325-1</f>
        <v>-0.12840790842872007</v>
      </c>
      <c r="CU326" s="52">
        <f t="shared" ref="CU326" si="1025">+CU325/CP325-1</f>
        <v>-0.21911632100991885</v>
      </c>
      <c r="CV326" s="52">
        <f t="shared" ref="CV326" si="1026">+CV325/CQ325-1</f>
        <v>-0.24669000000000008</v>
      </c>
      <c r="CW326" s="52">
        <f t="shared" ref="CW326" si="1027">+CW325/CR325-1</f>
        <v>-0.29279999999999995</v>
      </c>
      <c r="CX326" s="52">
        <f t="shared" ref="CX326" si="1028">+CX325/CS325-1</f>
        <v>-0.3057200000000001</v>
      </c>
      <c r="CY326" s="112">
        <f t="shared" ref="CY326" si="1029">+CY325/CT325-1</f>
        <v>-0.26567841929321867</v>
      </c>
      <c r="CZ326" s="52">
        <f t="shared" ref="CZ326" si="1030">+CZ325/CU325-1</f>
        <v>-0.24325000000000008</v>
      </c>
      <c r="DA326" s="52">
        <f t="shared" ref="DA326" si="1031">+DA325/CV325-1</f>
        <v>-0.19999999999999996</v>
      </c>
      <c r="DB326" s="52">
        <f t="shared" ref="DB326" si="1032">+DB325/CW325-1</f>
        <v>-7.999999999999996E-2</v>
      </c>
      <c r="DC326" s="52">
        <f t="shared" ref="DC326" si="1033">+DC325/CX325-1</f>
        <v>-7.999999999999996E-2</v>
      </c>
      <c r="DD326" s="112">
        <f t="shared" ref="DD326" si="1034">+DD325/CY325-1</f>
        <v>-0.15401247312336763</v>
      </c>
      <c r="DE326" s="52">
        <f t="shared" ref="DE326" si="1035">+DE325/CZ325-1</f>
        <v>-3.0000000000000138E-2</v>
      </c>
      <c r="DF326" s="52">
        <f t="shared" ref="DF326" si="1036">+DF325/DA325-1</f>
        <v>-1.9999999999999907E-2</v>
      </c>
      <c r="DG326" s="52">
        <f t="shared" ref="DG326" si="1037">+DG325/DB325-1</f>
        <v>1.0000000000000009E-2</v>
      </c>
      <c r="DH326" s="52">
        <f t="shared" ref="DH326" si="1038">+DH325/DC325-1</f>
        <v>1.0000000000000009E-2</v>
      </c>
      <c r="DI326" s="112">
        <f t="shared" ref="DI326" si="1039">+DI325/DD325-1</f>
        <v>-6.7050909074664045E-3</v>
      </c>
    </row>
    <row r="327" spans="1:113" s="529" customFormat="1" ht="12" hidden="1" customHeight="1" outlineLevel="1">
      <c r="A327" s="219" t="str">
        <f t="shared" si="709"/>
        <v xml:space="preserve"> </v>
      </c>
      <c r="B327" s="526" t="s">
        <v>173</v>
      </c>
      <c r="C327" s="112"/>
      <c r="D327" s="52"/>
      <c r="E327" s="112"/>
      <c r="F327" s="52"/>
      <c r="G327" s="112"/>
      <c r="H327" s="52"/>
      <c r="I327" s="112"/>
      <c r="J327" s="52"/>
      <c r="K327" s="112"/>
      <c r="L327" s="52"/>
      <c r="M327" s="112"/>
      <c r="N327" s="52"/>
      <c r="O327" s="112"/>
      <c r="P327" s="52"/>
      <c r="Q327" s="112"/>
      <c r="R327" s="52">
        <v>0.12</v>
      </c>
      <c r="S327" s="52">
        <v>0.24</v>
      </c>
      <c r="T327" s="52">
        <v>0.16</v>
      </c>
      <c r="U327" s="52">
        <v>0.25</v>
      </c>
      <c r="V327" s="232" t="s">
        <v>126</v>
      </c>
      <c r="W327" s="52">
        <v>0.21</v>
      </c>
      <c r="X327" s="52">
        <v>0.27</v>
      </c>
      <c r="Y327" s="52">
        <v>0.3</v>
      </c>
      <c r="Z327" s="52">
        <v>0.21</v>
      </c>
      <c r="AA327" s="232" t="s">
        <v>126</v>
      </c>
      <c r="AB327" s="232"/>
      <c r="AC327" s="52">
        <v>0.12</v>
      </c>
      <c r="AD327" s="52">
        <v>-0.09</v>
      </c>
      <c r="AE327" s="52">
        <v>-0.11</v>
      </c>
      <c r="AF327" s="52">
        <v>-0.01</v>
      </c>
      <c r="AG327" s="112">
        <v>-0.03</v>
      </c>
      <c r="AH327" s="27">
        <v>-7.0000000000000007E-2</v>
      </c>
      <c r="AI327" s="91">
        <v>0.08</v>
      </c>
      <c r="AJ327" s="91">
        <v>0.12</v>
      </c>
      <c r="AK327" s="91">
        <f>(AL327*SUM(AC325:AF325)-AH327*AC325-AI327*AD325-AJ327*AE325)/AF325</f>
        <v>6.0940594059405967E-2</v>
      </c>
      <c r="AL327" s="112">
        <v>0.05</v>
      </c>
      <c r="AM327" s="52">
        <v>0.31</v>
      </c>
      <c r="AN327" s="52">
        <v>0.3</v>
      </c>
      <c r="AO327" s="52">
        <v>0.22</v>
      </c>
      <c r="AP327" s="52">
        <v>0.28999999999999998</v>
      </c>
      <c r="AQ327" s="112">
        <v>0.28000000000000003</v>
      </c>
      <c r="AR327" s="52">
        <v>0.36</v>
      </c>
      <c r="AS327" s="52">
        <v>0.34</v>
      </c>
      <c r="AT327" s="52">
        <v>0.33</v>
      </c>
      <c r="AU327" s="52">
        <v>0.28000000000000003</v>
      </c>
      <c r="AV327" s="112">
        <v>0.33</v>
      </c>
      <c r="AW327" s="52">
        <v>0.25</v>
      </c>
      <c r="AX327" s="52">
        <v>0.16</v>
      </c>
      <c r="AY327" s="52">
        <v>0.14000000000000001</v>
      </c>
      <c r="AZ327" s="52">
        <v>0.18</v>
      </c>
      <c r="BA327" s="112">
        <v>0.18</v>
      </c>
      <c r="BB327" s="52">
        <v>0.1</v>
      </c>
      <c r="BC327" s="52">
        <v>0.17</v>
      </c>
      <c r="BD327" s="52">
        <v>0.16</v>
      </c>
      <c r="BE327" s="114">
        <v>0.21</v>
      </c>
      <c r="BF327" s="112">
        <f>SUMPRODUCT(BB327:BE327,AW325:AZ325)/BA325</f>
        <v>0.16080136986301369</v>
      </c>
      <c r="BG327" s="114">
        <v>0.22</v>
      </c>
      <c r="BH327" s="114">
        <v>0.33</v>
      </c>
      <c r="BI327" s="114">
        <v>0.23</v>
      </c>
      <c r="BJ327" s="114">
        <v>0.23</v>
      </c>
      <c r="BK327" s="112">
        <f>SUMPRODUCT(BG327:BJ327,BB325:BE325)/BF325</f>
        <v>0.25050629290617848</v>
      </c>
      <c r="BL327" s="114">
        <v>0.27</v>
      </c>
      <c r="BM327" s="114">
        <v>0.26</v>
      </c>
      <c r="BN327" s="114">
        <v>-0.03</v>
      </c>
      <c r="BO327" s="114">
        <v>0.03</v>
      </c>
      <c r="BP327" s="112">
        <f>SUMPRODUCT(BL327:BO327,BG325:BJ325)/BK325</f>
        <v>0.12340215861098081</v>
      </c>
      <c r="BQ327" s="114">
        <v>0.1</v>
      </c>
      <c r="BR327" s="114">
        <v>0.2</v>
      </c>
      <c r="BS327" s="114">
        <v>0.41</v>
      </c>
      <c r="BT327" s="114">
        <v>0.06</v>
      </c>
      <c r="BU327" s="112">
        <f>SUMPRODUCT(BQ327:BT327,BL325:BO325)/BP325</f>
        <v>0.18888673139158577</v>
      </c>
      <c r="BV327" s="114">
        <v>0.06</v>
      </c>
      <c r="BW327" s="114">
        <v>-0.25</v>
      </c>
      <c r="BX327" s="114">
        <v>-0.06</v>
      </c>
      <c r="BY327" s="114">
        <v>-0.12</v>
      </c>
      <c r="BZ327" s="112">
        <f>SUMPRODUCT(BV327:BY327,BQ325:BT325)/BU325</f>
        <v>-9.9417188587334712E-2</v>
      </c>
      <c r="CA327" s="114">
        <v>-0.11</v>
      </c>
      <c r="CB327" s="114">
        <v>0.21</v>
      </c>
      <c r="CC327" s="114">
        <v>0.05</v>
      </c>
      <c r="CD327" s="114">
        <v>0.22</v>
      </c>
      <c r="CE327" s="112">
        <f>SUMPRODUCT(CA327:CD327,BV325:BY325)/BZ325</f>
        <v>8.0653618906942393E-2</v>
      </c>
      <c r="CF327" s="114">
        <v>0.11</v>
      </c>
      <c r="CG327" s="114">
        <v>0.03</v>
      </c>
      <c r="CH327" s="114">
        <v>0.05</v>
      </c>
      <c r="CI327" s="114">
        <v>0.06</v>
      </c>
      <c r="CJ327" s="112">
        <f>SUMPRODUCT(CF327:CI327,CA325:CD325)/CE325</f>
        <v>6.1028518859245616E-2</v>
      </c>
      <c r="CK327" s="114">
        <v>-0.02</v>
      </c>
      <c r="CL327" s="114">
        <v>-0.14000000000000001</v>
      </c>
      <c r="CM327" s="114">
        <v>-0.15</v>
      </c>
      <c r="CN327" s="114">
        <v>-0.2</v>
      </c>
      <c r="CO327" s="112">
        <f>SUMPRODUCT(CK327:CN327,CF325:CI325)/CJ325</f>
        <v>-0.12963436599423631</v>
      </c>
      <c r="CP327" s="114">
        <v>-0.12</v>
      </c>
      <c r="CQ327" s="114">
        <v>-0.2</v>
      </c>
      <c r="CR327" s="114">
        <v>-0.1</v>
      </c>
      <c r="CS327" s="114">
        <v>-0.17</v>
      </c>
      <c r="CT327" s="112">
        <f>SUMPRODUCT(CP327:CS327,CK325:CN325)/CO325</f>
        <v>-0.14586888657648284</v>
      </c>
      <c r="CU327" s="114">
        <v>-0.26</v>
      </c>
      <c r="CV327" s="53">
        <v>-0.28999999999999998</v>
      </c>
      <c r="CW327" s="53">
        <v>-0.32</v>
      </c>
      <c r="CX327" s="53">
        <v>-0.32</v>
      </c>
      <c r="CY327" s="112">
        <f>SUMPRODUCT(CU327:CX327,CP325:CS325)/CT325</f>
        <v>-0.29727793696275073</v>
      </c>
      <c r="CZ327" s="53">
        <v>-0.25</v>
      </c>
      <c r="DA327" s="53">
        <v>-0.2</v>
      </c>
      <c r="DB327" s="53">
        <v>-0.08</v>
      </c>
      <c r="DC327" s="53">
        <v>-0.08</v>
      </c>
      <c r="DD327" s="112">
        <f>SUMPRODUCT(CZ327:DC327,CU325:CX325)/CY325</f>
        <v>-0.15591323932123013</v>
      </c>
      <c r="DE327" s="53">
        <v>-0.03</v>
      </c>
      <c r="DF327" s="53">
        <v>-0.02</v>
      </c>
      <c r="DG327" s="53">
        <v>0.01</v>
      </c>
      <c r="DH327" s="53">
        <v>0.01</v>
      </c>
      <c r="DI327" s="112">
        <f>SUMPRODUCT(DE327:DH327,CZ325:DC325)/DD325</f>
        <v>-6.7050909074663472E-3</v>
      </c>
    </row>
    <row r="328" spans="1:113" s="545" customFormat="1" ht="12" hidden="1" customHeight="1" outlineLevel="1">
      <c r="A328" s="219" t="str">
        <f t="shared" ref="A328:A411" si="1040">IF(ISBLANK(B328),"Scrap", " ")</f>
        <v xml:space="preserve"> </v>
      </c>
      <c r="B328" s="546" t="s">
        <v>142</v>
      </c>
      <c r="C328" s="112"/>
      <c r="D328" s="52"/>
      <c r="E328" s="112"/>
      <c r="F328" s="52"/>
      <c r="G328" s="112"/>
      <c r="H328" s="52"/>
      <c r="I328" s="112"/>
      <c r="J328" s="52"/>
      <c r="K328" s="112"/>
      <c r="L328" s="52"/>
      <c r="M328" s="112"/>
      <c r="N328" s="52"/>
      <c r="O328" s="112"/>
      <c r="P328" s="52"/>
      <c r="Q328" s="112"/>
      <c r="R328" s="378" t="s">
        <v>126</v>
      </c>
      <c r="S328" s="522" t="s">
        <v>126</v>
      </c>
      <c r="T328" s="522" t="s">
        <v>126</v>
      </c>
      <c r="U328" s="522" t="s">
        <v>126</v>
      </c>
      <c r="V328" s="492" t="s">
        <v>126</v>
      </c>
      <c r="W328" s="52">
        <v>0.2</v>
      </c>
      <c r="X328" s="52">
        <v>0.26</v>
      </c>
      <c r="Y328" s="52">
        <v>0.27</v>
      </c>
      <c r="Z328" s="52">
        <f>(AA328*SUM(R325:U325)-W328*R325-X328*S325-Y328*T325)/U325</f>
        <v>7.8037383177570127E-2</v>
      </c>
      <c r="AA328" s="112">
        <v>0.2</v>
      </c>
      <c r="AB328" s="112"/>
      <c r="AC328" s="52">
        <v>0.03</v>
      </c>
      <c r="AD328" s="52">
        <v>-0.1</v>
      </c>
      <c r="AE328" s="52">
        <v>-0.06</v>
      </c>
      <c r="AF328" s="52">
        <f>(AG328*SUM(W325:Z325)-AC328*W325-AD328*X325-AE328*Y325)/Z325</f>
        <v>9.3631840796019897E-2</v>
      </c>
      <c r="AG328" s="112">
        <v>-0.01</v>
      </c>
      <c r="AH328" s="52">
        <v>-0.06</v>
      </c>
      <c r="AI328" s="52">
        <v>7.0000000000000007E-2</v>
      </c>
      <c r="AJ328" s="52">
        <v>0.05</v>
      </c>
      <c r="AK328" s="52">
        <f>(AL328*SUM(AC325:AF325)-AH328*AC325-AI328*AD325-AJ328*AE325)/AF325</f>
        <v>-5.3861386138613875E-2</v>
      </c>
      <c r="AL328" s="112">
        <v>0</v>
      </c>
      <c r="AM328" s="52">
        <v>0.28000000000000003</v>
      </c>
      <c r="AN328" s="52">
        <v>0.22</v>
      </c>
      <c r="AO328" s="52">
        <v>0.17</v>
      </c>
      <c r="AP328" s="52">
        <f>(AQ328*SUM(AH325:AK325)-AM328*AH325-AN328*AI325-AO328*AJ325)/AK325</f>
        <v>0.15292626728110598</v>
      </c>
      <c r="AQ328" s="112">
        <v>0.2</v>
      </c>
      <c r="AR328" s="52">
        <v>0.27</v>
      </c>
      <c r="AS328" s="52">
        <v>0.28999999999999998</v>
      </c>
      <c r="AT328" s="52">
        <v>0.27</v>
      </c>
      <c r="AU328" s="52">
        <f>(AV328*SUM(AM325:AP325)-AR328*AM325-AS328*AN325-AT328*AO325)/AP325</f>
        <v>0.25319419237749557</v>
      </c>
      <c r="AV328" s="112">
        <v>0.27</v>
      </c>
      <c r="AW328" s="52">
        <v>0.26</v>
      </c>
      <c r="AX328" s="52">
        <v>0.19</v>
      </c>
      <c r="AY328" s="52">
        <v>0.14000000000000001</v>
      </c>
      <c r="AZ328" s="52">
        <f>(BA328*SUM(AR325:AU325)-AW328*AR325-AX328*AS325-AY328*AT325)/AU325</f>
        <v>0.25754772393538905</v>
      </c>
      <c r="BA328" s="112">
        <v>0.21</v>
      </c>
      <c r="BB328" s="52">
        <v>0.13</v>
      </c>
      <c r="BC328" s="52">
        <v>0.17</v>
      </c>
      <c r="BD328" s="52">
        <v>0.23</v>
      </c>
      <c r="BE328" s="52">
        <f>((BF328*SUM(AW325:AZ325))-BB328*AW325-BC328*AX325-BD328*AY325)/AZ325</f>
        <v>0.22260130718954235</v>
      </c>
      <c r="BF328" s="112">
        <v>0.19</v>
      </c>
      <c r="BG328" s="52">
        <v>0.23</v>
      </c>
      <c r="BH328" s="52">
        <v>0.33</v>
      </c>
      <c r="BI328" s="114">
        <v>0.1</v>
      </c>
      <c r="BJ328" s="114">
        <f>((BK328*SUM(BB325:BE325))-BG328*BB325-BH328*BC325-BI328*BD325)/BE325</f>
        <v>0.1680757726819542</v>
      </c>
      <c r="BK328" s="112">
        <v>0.2</v>
      </c>
      <c r="BL328" s="114">
        <v>0.17</v>
      </c>
      <c r="BM328" s="52">
        <v>0.19</v>
      </c>
      <c r="BN328" s="52">
        <v>-0.05</v>
      </c>
      <c r="BO328" s="114">
        <f>((BP328*SUM(BG325:BJ325))-BL328*BG325-BM328*BH325-BN328*BI325)/BJ325</f>
        <v>0.10703513281919454</v>
      </c>
      <c r="BP328" s="112">
        <v>0.1</v>
      </c>
      <c r="BQ328" s="52">
        <v>0.19</v>
      </c>
      <c r="BR328" s="114">
        <v>0.24</v>
      </c>
      <c r="BS328" s="114">
        <v>0.39</v>
      </c>
      <c r="BT328" s="114">
        <f>((BU328*SUM(BL325:BO325))-BQ328*BL325-BR328*BM325-BS328*BN325)/BO325</f>
        <v>-1.1044386422976451E-2</v>
      </c>
      <c r="BU328" s="112">
        <v>0.2</v>
      </c>
      <c r="BV328" s="52">
        <v>0.05</v>
      </c>
      <c r="BW328" s="114">
        <v>-0.2</v>
      </c>
      <c r="BX328" s="114">
        <v>0.02</v>
      </c>
      <c r="BY328" s="114">
        <f>((BZ328*SUM(BQ325:BT325))-BV328*BQ325-BW328*BR325-BX328*BS325)/BT325</f>
        <v>-0.1396580547112462</v>
      </c>
      <c r="BZ328" s="112">
        <v>-7.0000000000000007E-2</v>
      </c>
      <c r="CA328" s="52">
        <v>-0.1</v>
      </c>
      <c r="CB328" s="114">
        <v>0.15</v>
      </c>
      <c r="CC328" s="114">
        <v>0.06</v>
      </c>
      <c r="CD328" s="114">
        <f>((CE328*SUM(BV325:BY325))-CA328*BV325-CB328*BW325-CC328*BX325)/BY325</f>
        <v>0.20842954159592536</v>
      </c>
      <c r="CE328" s="112">
        <v>7.0000000000000007E-2</v>
      </c>
      <c r="CF328" s="114">
        <v>0.09</v>
      </c>
      <c r="CG328" s="114">
        <v>0.03</v>
      </c>
      <c r="CH328" s="114">
        <v>0.09</v>
      </c>
      <c r="CI328" s="114">
        <f>((CJ328*SUM(CA325:CD325))-CF328*CA325-CG328*CB325-CH328*CC325)/CD325</f>
        <v>0.11084580838323356</v>
      </c>
      <c r="CJ328" s="112">
        <v>0.08</v>
      </c>
      <c r="CK328" s="114">
        <v>-0.01</v>
      </c>
      <c r="CL328" s="114">
        <v>-0.09</v>
      </c>
      <c r="CM328" s="114">
        <v>-0.15</v>
      </c>
      <c r="CN328" s="114">
        <f>((CO328*SUM(CF325:CI325))-CK328*CF325-CL328*CG325-CM328*CH325)/CI325</f>
        <v>-0.17929992630803246</v>
      </c>
      <c r="CO328" s="112">
        <v>-0.11</v>
      </c>
      <c r="CP328" s="114">
        <v>-0.11</v>
      </c>
      <c r="CQ328" s="114">
        <v>-0.2</v>
      </c>
      <c r="CR328" s="114">
        <v>-0.1</v>
      </c>
      <c r="CS328" s="114">
        <f>((CT328*SUM(CK325:CN325))-CP328*CK325-CQ328*CL325-CR328*CM325)/CN325</f>
        <v>-0.15534450651769094</v>
      </c>
      <c r="CT328" s="112">
        <v>-0.14000000000000001</v>
      </c>
      <c r="CU328" s="114"/>
      <c r="CV328" s="52"/>
      <c r="CW328" s="52"/>
      <c r="CX328" s="52"/>
      <c r="CY328" s="112"/>
      <c r="CZ328" s="52"/>
      <c r="DA328" s="52"/>
      <c r="DB328" s="52"/>
      <c r="DC328" s="52"/>
      <c r="DD328" s="112"/>
      <c r="DE328" s="52"/>
      <c r="DF328" s="52"/>
      <c r="DG328" s="52"/>
      <c r="DH328" s="52"/>
      <c r="DI328" s="112"/>
    </row>
    <row r="329" spans="1:113" s="545" customFormat="1" ht="12" hidden="1" customHeight="1" outlineLevel="1">
      <c r="A329" s="219" t="str">
        <f t="shared" si="1040"/>
        <v xml:space="preserve"> </v>
      </c>
      <c r="B329" s="546" t="s">
        <v>143</v>
      </c>
      <c r="C329" s="112"/>
      <c r="D329" s="52"/>
      <c r="E329" s="112"/>
      <c r="F329" s="52"/>
      <c r="G329" s="112"/>
      <c r="H329" s="52"/>
      <c r="I329" s="112"/>
      <c r="J329" s="52"/>
      <c r="K329" s="112"/>
      <c r="L329" s="52"/>
      <c r="M329" s="112"/>
      <c r="N329" s="52"/>
      <c r="O329" s="112"/>
      <c r="P329" s="52"/>
      <c r="Q329" s="112"/>
      <c r="R329" s="378" t="s">
        <v>126</v>
      </c>
      <c r="S329" s="522" t="s">
        <v>126</v>
      </c>
      <c r="T329" s="522" t="s">
        <v>126</v>
      </c>
      <c r="U329" s="522" t="s">
        <v>126</v>
      </c>
      <c r="V329" s="492" t="s">
        <v>126</v>
      </c>
      <c r="W329" s="52">
        <v>0.01</v>
      </c>
      <c r="X329" s="52">
        <v>0.01</v>
      </c>
      <c r="Y329" s="52">
        <v>0.03</v>
      </c>
      <c r="Z329" s="52">
        <f>(AA329*SUM(R325:U325)-W329*R325-X329*S325-Y329*T325)/U325</f>
        <v>0.13429906542056075</v>
      </c>
      <c r="AA329" s="112">
        <v>0.05</v>
      </c>
      <c r="AB329" s="112"/>
      <c r="AC329" s="52">
        <v>0.09</v>
      </c>
      <c r="AD329" s="52">
        <v>0.01</v>
      </c>
      <c r="AE329" s="52">
        <v>-0.05</v>
      </c>
      <c r="AF329" s="52">
        <f>(AG329*SUM(W325:Z325)-AC329*W325-AD329*X325-AE329*Y325)/Z325</f>
        <v>-9.875621890547262E-2</v>
      </c>
      <c r="AG329" s="112">
        <v>-0.02</v>
      </c>
      <c r="AH329" s="52">
        <v>-0.01</v>
      </c>
      <c r="AI329" s="52">
        <v>0.01</v>
      </c>
      <c r="AJ329" s="52">
        <v>7.0000000000000007E-2</v>
      </c>
      <c r="AK329" s="52">
        <f>(AL329*SUM(AC325:AF325)-AH329*AC325-AI329*AD325-AJ329*AE325)/AF325</f>
        <v>0.11480198019801979</v>
      </c>
      <c r="AL329" s="112">
        <v>0.05</v>
      </c>
      <c r="AM329" s="52">
        <v>0.03</v>
      </c>
      <c r="AN329" s="52">
        <v>0.08</v>
      </c>
      <c r="AO329" s="52">
        <v>0.05</v>
      </c>
      <c r="AP329" s="52">
        <f>(AQ329*SUM(AH325:AK325)-AM329*AH325-AN329*AI325-AO329*AJ325)/AK325</f>
        <v>0.1515668202764977</v>
      </c>
      <c r="AQ329" s="112">
        <v>0.08</v>
      </c>
      <c r="AR329" s="52">
        <v>0.09</v>
      </c>
      <c r="AS329" s="52">
        <v>0.05</v>
      </c>
      <c r="AT329" s="52">
        <v>0.06</v>
      </c>
      <c r="AU329" s="52">
        <f>(AV329*SUM(AM325:AP325)-AR329*AM325-AS329*AN325-AT329*AO325)/AP325</f>
        <v>4.4446460980036261E-2</v>
      </c>
      <c r="AV329" s="112">
        <v>0.06</v>
      </c>
      <c r="AW329" s="52">
        <v>-0.01</v>
      </c>
      <c r="AX329" s="52">
        <v>-0.03</v>
      </c>
      <c r="AY329" s="52">
        <v>0</v>
      </c>
      <c r="AZ329" s="52">
        <f>(BA329*SUM(AR325:AU325)-AW329*AR325-AX329*AS325-AY329*AT325)/AU325</f>
        <v>-7.9265785609397954E-2</v>
      </c>
      <c r="BA329" s="112">
        <v>-0.03</v>
      </c>
      <c r="BB329" s="52">
        <v>-0.03</v>
      </c>
      <c r="BC329" s="52">
        <v>0</v>
      </c>
      <c r="BD329" s="52">
        <v>-7.0000000000000007E-2</v>
      </c>
      <c r="BE329" s="52">
        <f>((BF329*SUM(AW325:AZ325))-BB329*AW325-BC329*AX325-BD329*AY325)/AZ325</f>
        <v>-1.5660130718954234E-2</v>
      </c>
      <c r="BF329" s="112">
        <v>-0.03</v>
      </c>
      <c r="BG329" s="52">
        <v>-0.01</v>
      </c>
      <c r="BH329" s="52">
        <v>0</v>
      </c>
      <c r="BI329" s="114">
        <v>0.13</v>
      </c>
      <c r="BJ329" s="114">
        <f>((BK329*SUM(BB325:BE325))-BG329*BB325-BH329*BC325-BI329*BD325)/BE325</f>
        <v>6.0159521435692941E-2</v>
      </c>
      <c r="BK329" s="112">
        <v>0.05</v>
      </c>
      <c r="BL329" s="114">
        <v>0.1</v>
      </c>
      <c r="BM329" s="52">
        <v>7.0000000000000007E-2</v>
      </c>
      <c r="BN329" s="52">
        <v>0.02</v>
      </c>
      <c r="BO329" s="114">
        <f>((BP329*SUM(BG325:BJ325))-BL329*BG325-BM329*BH325-BN329*BI325)/BJ325</f>
        <v>-8.9460154241645259E-2</v>
      </c>
      <c r="BP329" s="112">
        <v>0.02</v>
      </c>
      <c r="BQ329" s="52">
        <v>-0.09</v>
      </c>
      <c r="BR329" s="114">
        <v>-0.04</v>
      </c>
      <c r="BS329" s="114">
        <v>0.02</v>
      </c>
      <c r="BT329" s="114">
        <f>((BU329*SUM(BL325:BO325))-BQ329*BL325-BR329*BM325-BS329*BN325)/BO325</f>
        <v>7.5535248041775443E-2</v>
      </c>
      <c r="BU329" s="112">
        <v>-0.01</v>
      </c>
      <c r="BV329" s="52">
        <v>0.01</v>
      </c>
      <c r="BW329" s="114">
        <v>-0.05</v>
      </c>
      <c r="BX329" s="114">
        <v>-0.08</v>
      </c>
      <c r="BY329" s="114">
        <f>((BZ329*SUM(BQ325:BT325))-BV329*BQ325-BW329*BR325-BX329*BS325)/BT325</f>
        <v>1.7112462006079045E-2</v>
      </c>
      <c r="BZ329" s="112">
        <v>-0.03</v>
      </c>
      <c r="CA329" s="52">
        <v>-0.11</v>
      </c>
      <c r="CB329" s="114">
        <v>0.06</v>
      </c>
      <c r="CC329" s="114">
        <v>-0.01</v>
      </c>
      <c r="CD329" s="114">
        <f>((CE329*SUM(BV325:BY325))-CA329*BV325-CB329*BW325-CC329*BX325)/BY325</f>
        <v>0.13157045840407472</v>
      </c>
      <c r="CE329" s="112">
        <v>0.01</v>
      </c>
      <c r="CF329" s="114">
        <v>0.02</v>
      </c>
      <c r="CG329" s="114">
        <v>0</v>
      </c>
      <c r="CH329" s="114">
        <v>-0.04</v>
      </c>
      <c r="CI329" s="114">
        <f>((CJ329*SUM(CA325:CD325))-CF329*CA325-CG329*CB325-CH329*CC325)/CD325</f>
        <v>-5.5029940119760486E-2</v>
      </c>
      <c r="CJ329" s="112">
        <v>-0.02</v>
      </c>
      <c r="CK329" s="114">
        <v>-0.01</v>
      </c>
      <c r="CL329" s="114">
        <v>-0.05</v>
      </c>
      <c r="CM329" s="114">
        <v>0</v>
      </c>
      <c r="CN329" s="114">
        <f>((CO329*SUM(CF325:CI325))-CK329*CF325-CL329*CG325-CM329*CH325)/CI325</f>
        <v>-2.2196020633750924E-2</v>
      </c>
      <c r="CO329" s="112">
        <v>-0.02</v>
      </c>
      <c r="CP329" s="114">
        <v>-0.01</v>
      </c>
      <c r="CQ329" s="114">
        <v>0</v>
      </c>
      <c r="CR329" s="114">
        <v>0</v>
      </c>
      <c r="CS329" s="114">
        <f>((CT329*SUM(CK325:CN325))-CP329*CK325-CQ329*CL325-CR329*CM325)/CN325</f>
        <v>-3.3137802607076355E-2</v>
      </c>
      <c r="CT329" s="112">
        <v>-0.01</v>
      </c>
      <c r="CU329" s="114"/>
      <c r="CV329" s="52"/>
      <c r="CW329" s="52"/>
      <c r="CX329" s="52"/>
      <c r="CY329" s="112"/>
      <c r="CZ329" s="52"/>
      <c r="DA329" s="52"/>
      <c r="DB329" s="52"/>
      <c r="DC329" s="52"/>
      <c r="DD329" s="112"/>
      <c r="DE329" s="52"/>
      <c r="DF329" s="52"/>
      <c r="DG329" s="52"/>
      <c r="DH329" s="52"/>
      <c r="DI329" s="112"/>
    </row>
    <row r="330" spans="1:113" ht="12" hidden="1" customHeight="1" outlineLevel="1">
      <c r="A330" s="219" t="str">
        <f t="shared" si="1040"/>
        <v xml:space="preserve"> </v>
      </c>
      <c r="B330" s="491" t="s">
        <v>141</v>
      </c>
      <c r="C330" s="492"/>
      <c r="D330" s="522"/>
      <c r="E330" s="492"/>
      <c r="F330" s="522"/>
      <c r="G330" s="492"/>
      <c r="H330" s="522"/>
      <c r="I330" s="492"/>
      <c r="J330" s="522"/>
      <c r="K330" s="492"/>
      <c r="L330" s="522"/>
      <c r="M330" s="492"/>
      <c r="N330" s="522"/>
      <c r="O330" s="492"/>
      <c r="P330" s="522"/>
      <c r="Q330" s="492"/>
      <c r="R330" s="378" t="s">
        <v>126</v>
      </c>
      <c r="S330" s="522" t="s">
        <v>126</v>
      </c>
      <c r="T330" s="522" t="s">
        <v>126</v>
      </c>
      <c r="U330" s="522" t="s">
        <v>126</v>
      </c>
      <c r="V330" s="492" t="s">
        <v>126</v>
      </c>
      <c r="W330" s="52">
        <f>(1+W326)/(1+W327)-1</f>
        <v>5.4894846469125902E-2</v>
      </c>
      <c r="X330" s="52">
        <f t="shared" ref="X330:AV330" si="1041">(1+X326)/(1+X327)-1</f>
        <v>5.2851348126938591E-2</v>
      </c>
      <c r="Y330" s="52">
        <f t="shared" si="1041"/>
        <v>3.7191037191037113E-2</v>
      </c>
      <c r="Z330" s="52">
        <f t="shared" si="1041"/>
        <v>3.4988800494323069E-2</v>
      </c>
      <c r="AA330" s="391" t="s">
        <v>126</v>
      </c>
      <c r="AB330" s="391"/>
      <c r="AC330" s="52">
        <f>(1+AC326)/(1+AC327)-1</f>
        <v>1.5127388535031816E-2</v>
      </c>
      <c r="AD330" s="52">
        <f t="shared" si="1041"/>
        <v>8.6231049403853177E-3</v>
      </c>
      <c r="AE330" s="52">
        <f t="shared" si="1041"/>
        <v>2.6000350341583101E-2</v>
      </c>
      <c r="AF330" s="52">
        <f t="shared" si="1041"/>
        <v>1.5126388260716661E-2</v>
      </c>
      <c r="AG330" s="112">
        <f t="shared" si="1041"/>
        <v>1.5307716338644139E-2</v>
      </c>
      <c r="AH330" s="52">
        <f>(1+AH326)/(1+AH327)-1</f>
        <v>2.7077497665733086E-2</v>
      </c>
      <c r="AI330" s="52">
        <f t="shared" si="1041"/>
        <v>2.309099222679456E-2</v>
      </c>
      <c r="AJ330" s="52">
        <f t="shared" si="1041"/>
        <v>1.6986062717769812E-2</v>
      </c>
      <c r="AK330" s="52">
        <f t="shared" si="1041"/>
        <v>1.2551910783444642E-2</v>
      </c>
      <c r="AL330" s="112">
        <f t="shared" si="1041"/>
        <v>1.9270584487975695E-2</v>
      </c>
      <c r="AM330" s="52">
        <f>(1+AM326)/(1+AM327)-1</f>
        <v>-1.5020930805220489E-2</v>
      </c>
      <c r="AN330" s="52">
        <f t="shared" si="1041"/>
        <v>-5.1568543188655891E-3</v>
      </c>
      <c r="AO330" s="52">
        <f t="shared" si="1041"/>
        <v>-1.3585144100817903E-2</v>
      </c>
      <c r="AP330" s="52">
        <f t="shared" si="1041"/>
        <v>-1.5825384917657948E-2</v>
      </c>
      <c r="AQ330" s="112">
        <f t="shared" si="1041"/>
        <v>-1.5625E-2</v>
      </c>
      <c r="AR330" s="52">
        <f>(1+AR326)/(1+AR327)-1</f>
        <v>1.0026737967914201E-3</v>
      </c>
      <c r="AS330" s="52">
        <f t="shared" si="1041"/>
        <v>-3.2913187840495128E-2</v>
      </c>
      <c r="AT330" s="52">
        <f t="shared" si="1041"/>
        <v>-3.807561608647958E-2</v>
      </c>
      <c r="AU330" s="52">
        <f t="shared" si="1041"/>
        <v>-3.4426043557168828E-2</v>
      </c>
      <c r="AV330" s="112">
        <f t="shared" si="1041"/>
        <v>-3.068683613796408E-2</v>
      </c>
      <c r="AW330" s="52">
        <f>(1+AW326)/(1+AW327)-1</f>
        <v>-5.175292153589317E-2</v>
      </c>
      <c r="AX330" s="52">
        <f t="shared" ref="AX330:BE330" si="1042">(1+AX326)/(1+AX327)-1</f>
        <v>-3.8793103448275801E-2</v>
      </c>
      <c r="AY330" s="52">
        <f t="shared" si="1042"/>
        <v>-5.3265988336627546E-2</v>
      </c>
      <c r="AZ330" s="52">
        <f t="shared" si="1042"/>
        <v>-4.8010154558351226E-2</v>
      </c>
      <c r="BA330" s="112">
        <f t="shared" si="1042"/>
        <v>-4.7873693271858198E-2</v>
      </c>
      <c r="BB330" s="52">
        <f>(1+BB326)/(1+BB327)-1</f>
        <v>-2.5608194622279257E-2</v>
      </c>
      <c r="BC330" s="52">
        <f t="shared" si="1042"/>
        <v>1.312074406244812E-2</v>
      </c>
      <c r="BD330" s="52">
        <f t="shared" si="1042"/>
        <v>4.3147884820476268E-2</v>
      </c>
      <c r="BE330" s="52">
        <f t="shared" si="1042"/>
        <v>8.356290174471992E-2</v>
      </c>
      <c r="BF330" s="232">
        <f>(1+BF326)/(1+BF327)-1</f>
        <v>3.1408391699168536E-2</v>
      </c>
      <c r="BG330" s="52">
        <f>(1+BG326)/(1+BG327)-1</f>
        <v>3.1860580340794087E-2</v>
      </c>
      <c r="BH330" s="52">
        <f>+BH323</f>
        <v>-3.5494309166552052E-2</v>
      </c>
      <c r="BI330" s="114">
        <f>+BI323</f>
        <v>-4.1433262507243551E-2</v>
      </c>
      <c r="BJ330" s="114">
        <f t="shared" ref="BJ330:BS330" si="1043">(1+BJ326)/(1+BJ327)-1</f>
        <v>-5.4057340174598068E-2</v>
      </c>
      <c r="BK330" s="232">
        <f t="shared" si="1043"/>
        <v>-2.5108823199756714E-2</v>
      </c>
      <c r="BL330" s="52">
        <f t="shared" si="1043"/>
        <v>-4.3282428944816154E-2</v>
      </c>
      <c r="BM330" s="52">
        <f t="shared" si="1043"/>
        <v>-3.1621781132544435E-2</v>
      </c>
      <c r="BN330" s="52">
        <f t="shared" si="1043"/>
        <v>-6.0561231565807727E-3</v>
      </c>
      <c r="BO330" s="114">
        <f t="shared" si="1043"/>
        <v>-4.4101130606234662E-2</v>
      </c>
      <c r="BP330" s="232">
        <f t="shared" si="1043"/>
        <v>-3.1942756174889397E-2</v>
      </c>
      <c r="BQ330" s="52">
        <f t="shared" si="1043"/>
        <v>-2.2961574507966431E-2</v>
      </c>
      <c r="BR330" s="52">
        <f t="shared" si="1043"/>
        <v>4.7179898422881728E-2</v>
      </c>
      <c r="BS330" s="52">
        <f t="shared" si="1043"/>
        <v>6.4819396338446467E-2</v>
      </c>
      <c r="BT330" s="114">
        <f t="shared" ref="BT330" si="1044">(1+BT326)/(1+BT327)-1</f>
        <v>8.0512997356191551E-2</v>
      </c>
      <c r="BU330" s="232">
        <f t="shared" ref="BU330:CU330" si="1045">(1+BU326)/(1+BU327)-1</f>
        <v>4.3101430181344824E-2</v>
      </c>
      <c r="BV330" s="52">
        <f t="shared" si="1045"/>
        <v>9.2710737070720528E-2</v>
      </c>
      <c r="BW330" s="52">
        <f t="shared" si="1045"/>
        <v>5.08402467560094E-2</v>
      </c>
      <c r="BX330" s="52">
        <f t="shared" si="1045"/>
        <v>2.428221150043508E-2</v>
      </c>
      <c r="BY330" s="114">
        <f t="shared" si="1045"/>
        <v>1.7200884222160706E-2</v>
      </c>
      <c r="BZ330" s="232">
        <f t="shared" si="1045"/>
        <v>4.6256676744163672E-2</v>
      </c>
      <c r="CA330" s="52">
        <f t="shared" si="1045"/>
        <v>-4.3896992113894862E-2</v>
      </c>
      <c r="CB330" s="52">
        <f t="shared" si="1045"/>
        <v>-8.3213437280422853E-2</v>
      </c>
      <c r="CC330" s="52">
        <f t="shared" si="1045"/>
        <v>-8.3164797450511752E-2</v>
      </c>
      <c r="CD330" s="114">
        <f t="shared" si="1045"/>
        <v>-7.0388822399732764E-2</v>
      </c>
      <c r="CE330" s="232">
        <f t="shared" si="1045"/>
        <v>-7.1387809637063815E-2</v>
      </c>
      <c r="CF330" s="52">
        <f t="shared" si="1045"/>
        <v>-5.9643585191030524E-2</v>
      </c>
      <c r="CG330" s="52">
        <f t="shared" si="1045"/>
        <v>-3.550421656863445E-2</v>
      </c>
      <c r="CH330" s="52">
        <f t="shared" si="1045"/>
        <v>-1.5151515151515138E-2</v>
      </c>
      <c r="CI330" s="52">
        <f t="shared" si="1045"/>
        <v>-4.177494068466836E-2</v>
      </c>
      <c r="CJ330" s="232">
        <f>(1+CJ326)/(1+CJ327)-1</f>
        <v>-3.7229329129882194E-2</v>
      </c>
      <c r="CK330" s="52">
        <f t="shared" si="1045"/>
        <v>-1.2099012099011985E-2</v>
      </c>
      <c r="CL330" s="52">
        <f t="shared" si="1045"/>
        <v>2.7801035490319981E-2</v>
      </c>
      <c r="CM330" s="52">
        <f t="shared" si="1045"/>
        <v>-2.5057986995703163E-2</v>
      </c>
      <c r="CN330" s="52">
        <f t="shared" si="1045"/>
        <v>-1.0685335298452503E-2</v>
      </c>
      <c r="CO330" s="232">
        <f>(1+CO326)/(1+CO327)-1</f>
        <v>-5.6433104938259371E-3</v>
      </c>
      <c r="CP330" s="52">
        <f t="shared" si="1045"/>
        <v>1.141835692397497E-2</v>
      </c>
      <c r="CQ330" s="52">
        <f t="shared" si="1045"/>
        <v>-8.7281795511222615E-3</v>
      </c>
      <c r="CR330" s="52">
        <f t="shared" si="1045"/>
        <v>2.8774484312705795E-2</v>
      </c>
      <c r="CS330" s="52">
        <f t="shared" si="1045"/>
        <v>5.225370756770098E-2</v>
      </c>
      <c r="CT330" s="232">
        <f>(1+CT326)/(1+CT327)-1</f>
        <v>2.0442971662483878E-2</v>
      </c>
      <c r="CU330" s="52">
        <f t="shared" si="1045"/>
        <v>5.5248214851461031E-2</v>
      </c>
      <c r="CV330" s="52">
        <f>+CV323</f>
        <v>6.0999999999999999E-2</v>
      </c>
      <c r="CW330" s="52">
        <f>+CW323</f>
        <v>0.04</v>
      </c>
      <c r="CX330" s="52">
        <f>+CX323</f>
        <v>2.1000000000000001E-2</v>
      </c>
      <c r="CY330" s="232">
        <f>(1+CY326)/(1+CY327)-1</f>
        <v>4.4967305470608343E-2</v>
      </c>
      <c r="CZ330" s="52">
        <f>+CZ323</f>
        <v>8.9999999999999993E-3</v>
      </c>
      <c r="DA330" s="52">
        <f>+DA323</f>
        <v>0</v>
      </c>
      <c r="DB330" s="52">
        <f>+DB323</f>
        <v>0</v>
      </c>
      <c r="DC330" s="52">
        <f>+DC323</f>
        <v>0</v>
      </c>
      <c r="DD330" s="232">
        <f>(1+DD326)/(1+DD327)-1</f>
        <v>2.2518611668946864E-3</v>
      </c>
      <c r="DE330" s="52">
        <f>+DE323</f>
        <v>0</v>
      </c>
      <c r="DF330" s="52">
        <f>+DF323</f>
        <v>0</v>
      </c>
      <c r="DG330" s="52">
        <f>+DG323</f>
        <v>0</v>
      </c>
      <c r="DH330" s="52">
        <f>+DH323</f>
        <v>0</v>
      </c>
      <c r="DI330" s="232">
        <f>(1+DI326)/(1+DI327)-1</f>
        <v>0</v>
      </c>
    </row>
    <row r="331" spans="1:113" ht="12" hidden="1" customHeight="1" outlineLevel="1">
      <c r="A331" s="219"/>
      <c r="B331" s="17"/>
      <c r="C331" s="79"/>
      <c r="D331" s="6"/>
      <c r="E331" s="79"/>
      <c r="F331" s="6"/>
      <c r="G331" s="79"/>
      <c r="H331" s="6"/>
      <c r="I331" s="79"/>
      <c r="J331" s="6"/>
      <c r="K331" s="79"/>
      <c r="L331" s="6"/>
      <c r="M331" s="79"/>
      <c r="N331" s="6"/>
      <c r="O331" s="79"/>
      <c r="P331" s="6"/>
      <c r="Q331" s="79"/>
      <c r="R331" s="6"/>
      <c r="S331" s="6"/>
      <c r="T331" s="6"/>
      <c r="U331" s="6"/>
      <c r="V331" s="79"/>
      <c r="W331" s="6"/>
      <c r="X331" s="6"/>
      <c r="Y331" s="6"/>
      <c r="Z331" s="6"/>
      <c r="AA331" s="79"/>
      <c r="AB331" s="79"/>
      <c r="AC331" s="6"/>
      <c r="AD331" s="6"/>
      <c r="AE331" s="6"/>
      <c r="AF331" s="6"/>
      <c r="AG331" s="79"/>
      <c r="AH331" s="6"/>
      <c r="AI331" s="6"/>
      <c r="AJ331" s="6"/>
      <c r="AK331" s="6"/>
      <c r="AL331" s="79"/>
      <c r="AM331" s="6"/>
      <c r="AN331" s="6"/>
      <c r="AO331" s="6"/>
      <c r="AP331" s="6"/>
      <c r="AQ331" s="79"/>
      <c r="AR331" s="6"/>
      <c r="AS331" s="6"/>
      <c r="AT331" s="6"/>
      <c r="AU331" s="6"/>
      <c r="AV331" s="79"/>
      <c r="AW331" s="376"/>
      <c r="AX331" s="376"/>
      <c r="AY331" s="376"/>
      <c r="AZ331" s="376"/>
      <c r="BA331" s="375"/>
      <c r="BB331" s="376"/>
      <c r="BC331" s="376"/>
      <c r="BD331" s="376"/>
      <c r="BE331" s="6"/>
      <c r="BF331" s="79"/>
      <c r="BG331" s="49"/>
      <c r="BH331" s="49"/>
      <c r="BI331" s="24"/>
      <c r="BJ331" s="24"/>
      <c r="BK331" s="42"/>
      <c r="BL331" s="49"/>
      <c r="BM331" s="49"/>
      <c r="BN331" s="231"/>
      <c r="BO331" s="231"/>
      <c r="BP331" s="246"/>
      <c r="BQ331" s="231"/>
      <c r="BR331" s="231"/>
      <c r="BS331" s="231"/>
      <c r="BT331" s="49"/>
      <c r="BU331" s="246"/>
      <c r="BV331" s="6"/>
      <c r="BW331" s="6"/>
      <c r="BX331" s="6"/>
      <c r="BY331" s="6"/>
      <c r="BZ331" s="246"/>
      <c r="CA331" s="6"/>
      <c r="CB331" s="6"/>
      <c r="CC331" s="6"/>
      <c r="CD331" s="6"/>
      <c r="CE331" s="79"/>
      <c r="CF331" s="6"/>
      <c r="CG331" s="6"/>
      <c r="CH331" s="6"/>
      <c r="CI331" s="6"/>
      <c r="CJ331" s="79"/>
      <c r="CK331" s="6"/>
      <c r="CL331" s="6"/>
      <c r="CM331" s="6"/>
      <c r="CN331" s="6"/>
      <c r="CO331" s="79"/>
      <c r="CP331" s="6"/>
      <c r="CQ331" s="6"/>
      <c r="CR331" s="6"/>
      <c r="CS331" s="6"/>
      <c r="CT331" s="79"/>
      <c r="CU331" s="6"/>
      <c r="CV331" s="6"/>
      <c r="CW331" s="6"/>
      <c r="CX331" s="6"/>
      <c r="CY331" s="79"/>
      <c r="CZ331" s="6"/>
      <c r="DA331" s="6"/>
      <c r="DB331" s="6"/>
      <c r="DC331" s="6"/>
      <c r="DD331" s="79"/>
      <c r="DE331" s="6"/>
      <c r="DF331" s="6"/>
      <c r="DG331" s="6"/>
      <c r="DH331" s="6"/>
      <c r="DI331" s="79"/>
    </row>
    <row r="332" spans="1:113" s="7" customFormat="1" ht="12" hidden="1" customHeight="1" outlineLevel="1">
      <c r="A332" s="239" t="str">
        <f t="shared" si="1040"/>
        <v xml:space="preserve"> </v>
      </c>
      <c r="B332" s="20" t="s">
        <v>96</v>
      </c>
      <c r="C332" s="36"/>
      <c r="D332" s="43"/>
      <c r="E332" s="36"/>
      <c r="F332" s="43"/>
      <c r="G332" s="36"/>
      <c r="H332" s="43"/>
      <c r="I332" s="36"/>
      <c r="J332" s="43"/>
      <c r="K332" s="36"/>
      <c r="L332" s="43"/>
      <c r="M332" s="36"/>
      <c r="N332" s="43"/>
      <c r="O332" s="36"/>
      <c r="P332" s="43"/>
      <c r="Q332" s="36"/>
      <c r="R332" s="43">
        <v>182</v>
      </c>
      <c r="S332" s="43">
        <v>191</v>
      </c>
      <c r="T332" s="43">
        <v>201</v>
      </c>
      <c r="U332" s="43">
        <v>223</v>
      </c>
      <c r="V332" s="36">
        <f>SUM(R332:U332)</f>
        <v>797</v>
      </c>
      <c r="W332" s="43">
        <v>177</v>
      </c>
      <c r="X332" s="43">
        <v>268</v>
      </c>
      <c r="Y332" s="43">
        <v>221</v>
      </c>
      <c r="Z332" s="43">
        <v>230</v>
      </c>
      <c r="AA332" s="36">
        <f>SUM(W332:Z332)</f>
        <v>896</v>
      </c>
      <c r="AB332" s="36"/>
      <c r="AC332" s="43">
        <v>181</v>
      </c>
      <c r="AD332" s="43">
        <v>228</v>
      </c>
      <c r="AE332" s="43">
        <v>199</v>
      </c>
      <c r="AF332" s="43">
        <v>236</v>
      </c>
      <c r="AG332" s="36">
        <f>SUM(AC332:AF332)</f>
        <v>844</v>
      </c>
      <c r="AH332" s="43">
        <v>197</v>
      </c>
      <c r="AI332" s="43">
        <v>245</v>
      </c>
      <c r="AJ332" s="43">
        <v>199</v>
      </c>
      <c r="AK332" s="43">
        <v>235</v>
      </c>
      <c r="AL332" s="36">
        <f>SUM(AH332:AK332)</f>
        <v>876</v>
      </c>
      <c r="AM332" s="43">
        <v>202</v>
      </c>
      <c r="AN332" s="43">
        <v>266</v>
      </c>
      <c r="AO332" s="43">
        <v>212</v>
      </c>
      <c r="AP332" s="43">
        <v>245</v>
      </c>
      <c r="AQ332" s="36">
        <f>SUM(AM332:AP332)</f>
        <v>925</v>
      </c>
      <c r="AR332" s="43">
        <v>246</v>
      </c>
      <c r="AS332" s="43">
        <v>306</v>
      </c>
      <c r="AT332" s="43">
        <v>235</v>
      </c>
      <c r="AU332" s="43">
        <v>268</v>
      </c>
      <c r="AV332" s="36">
        <f>SUM(AR332:AU332)</f>
        <v>1055</v>
      </c>
      <c r="AW332" s="43">
        <v>269</v>
      </c>
      <c r="AX332" s="43">
        <v>355</v>
      </c>
      <c r="AY332" s="43">
        <v>271</v>
      </c>
      <c r="AZ332" s="43">
        <v>293</v>
      </c>
      <c r="BA332" s="36">
        <f>SUM(AW332:AZ332)</f>
        <v>1188</v>
      </c>
      <c r="BB332" s="43">
        <v>309</v>
      </c>
      <c r="BC332" s="43">
        <v>397</v>
      </c>
      <c r="BD332" s="43">
        <v>368</v>
      </c>
      <c r="BE332" s="43">
        <v>434</v>
      </c>
      <c r="BF332" s="36">
        <f>SUM(BB332:BE332)</f>
        <v>1508</v>
      </c>
      <c r="BG332" s="43">
        <v>380</v>
      </c>
      <c r="BH332" s="43">
        <v>490</v>
      </c>
      <c r="BI332" s="369">
        <v>444</v>
      </c>
      <c r="BJ332" s="369">
        <v>494</v>
      </c>
      <c r="BK332" s="36">
        <f>SUM(BG332:BJ332)</f>
        <v>1808</v>
      </c>
      <c r="BL332" s="43">
        <v>465</v>
      </c>
      <c r="BM332" s="43">
        <v>563</v>
      </c>
      <c r="BN332" s="43">
        <v>400</v>
      </c>
      <c r="BO332" s="43">
        <v>468</v>
      </c>
      <c r="BP332" s="36">
        <f>SUM(BL332:BO332)</f>
        <v>1896</v>
      </c>
      <c r="BQ332" s="43">
        <v>478</v>
      </c>
      <c r="BR332" s="43">
        <v>681</v>
      </c>
      <c r="BS332" s="43">
        <v>616</v>
      </c>
      <c r="BT332" s="43">
        <v>572</v>
      </c>
      <c r="BU332" s="36">
        <f>SUM(BQ332:BT332)</f>
        <v>2347</v>
      </c>
      <c r="BV332" s="43">
        <v>476</v>
      </c>
      <c r="BW332" s="43">
        <v>564</v>
      </c>
      <c r="BX332" s="43">
        <v>548</v>
      </c>
      <c r="BY332" s="43">
        <v>350</v>
      </c>
      <c r="BZ332" s="36">
        <f>SUM(BV332:BY332)</f>
        <v>1938</v>
      </c>
      <c r="CA332" s="43">
        <v>374</v>
      </c>
      <c r="CB332" s="43">
        <v>393</v>
      </c>
      <c r="CC332" s="43">
        <v>461</v>
      </c>
      <c r="CD332" s="43">
        <v>438</v>
      </c>
      <c r="CE332" s="36">
        <f>SUM(CA332:CD332)</f>
        <v>1666</v>
      </c>
      <c r="CF332" s="43">
        <v>401</v>
      </c>
      <c r="CG332" s="43">
        <v>469</v>
      </c>
      <c r="CH332" s="369">
        <v>498</v>
      </c>
      <c r="CI332" s="43">
        <v>460</v>
      </c>
      <c r="CJ332" s="36">
        <f>SUM(CF332:CI332)</f>
        <v>1828</v>
      </c>
      <c r="CK332" s="43">
        <v>360</v>
      </c>
      <c r="CL332" s="43">
        <v>472</v>
      </c>
      <c r="CM332" s="43">
        <v>412</v>
      </c>
      <c r="CN332" s="43">
        <v>372</v>
      </c>
      <c r="CO332" s="36">
        <f>SUM(CK332:CN332)</f>
        <v>1616</v>
      </c>
      <c r="CP332" s="43">
        <v>362</v>
      </c>
      <c r="CQ332" s="43">
        <v>442</v>
      </c>
      <c r="CR332" s="43">
        <v>397</v>
      </c>
      <c r="CS332" s="43">
        <v>334</v>
      </c>
      <c r="CT332" s="36">
        <f>SUM(CP332:CS332)</f>
        <v>1535</v>
      </c>
      <c r="CU332" s="43">
        <v>279</v>
      </c>
      <c r="CV332" s="43">
        <f>CQ332*(1+CV334)*(1+CV337)</f>
        <v>337.65264000000002</v>
      </c>
      <c r="CW332" s="43">
        <f>CR332*(1+CW334)*(1+CW337)</f>
        <v>289.01599999999996</v>
      </c>
      <c r="CX332" s="43">
        <f>CS332*(1+CX334)*(1+CX337)</f>
        <v>238.70979999999997</v>
      </c>
      <c r="CY332" s="36">
        <f>SUM(CU332:CX332)</f>
        <v>1144.37844</v>
      </c>
      <c r="CZ332" s="43">
        <f>CU332*(1+CZ334)*(1+CZ337)</f>
        <v>211.13324999999998</v>
      </c>
      <c r="DA332" s="43">
        <f>CV332*(1+DA334)*(1+DA337)</f>
        <v>270.12211200000002</v>
      </c>
      <c r="DB332" s="43">
        <f>CW332*(1+DB334)*(1+DB337)</f>
        <v>265.89471999999995</v>
      </c>
      <c r="DC332" s="43">
        <f>CX332*(1+DC334)*(1+DC337)</f>
        <v>219.61301599999999</v>
      </c>
      <c r="DD332" s="36">
        <f>SUM(CZ332:DC332)</f>
        <v>966.7630979999999</v>
      </c>
      <c r="DE332" s="43">
        <f>CZ332*(1+DE334)*(1+DE337)</f>
        <v>204.79925249999997</v>
      </c>
      <c r="DF332" s="43">
        <f>DA332*(1+DF334)*(1+DF337)</f>
        <v>264.71966975999999</v>
      </c>
      <c r="DG332" s="43">
        <f>DB332*(1+DG334)*(1+DG337)</f>
        <v>268.55366719999995</v>
      </c>
      <c r="DH332" s="43">
        <f>DC332*(1+DH334)*(1+DH337)</f>
        <v>221.80914615999998</v>
      </c>
      <c r="DI332" s="36">
        <f>SUM(DE332:DH332)</f>
        <v>959.88173561999986</v>
      </c>
    </row>
    <row r="333" spans="1:113" ht="12" hidden="1" customHeight="1" outlineLevel="1">
      <c r="A333" s="219" t="str">
        <f t="shared" si="1040"/>
        <v xml:space="preserve"> </v>
      </c>
      <c r="B333" s="491" t="s">
        <v>171</v>
      </c>
      <c r="C333" s="492"/>
      <c r="D333" s="522"/>
      <c r="E333" s="492"/>
      <c r="F333" s="522"/>
      <c r="G333" s="492"/>
      <c r="H333" s="522"/>
      <c r="I333" s="492"/>
      <c r="J333" s="522"/>
      <c r="K333" s="492"/>
      <c r="L333" s="522"/>
      <c r="M333" s="492"/>
      <c r="N333" s="522"/>
      <c r="O333" s="492"/>
      <c r="P333" s="522"/>
      <c r="Q333" s="492"/>
      <c r="R333" s="378" t="s">
        <v>126</v>
      </c>
      <c r="S333" s="522" t="s">
        <v>126</v>
      </c>
      <c r="T333" s="522" t="s">
        <v>126</v>
      </c>
      <c r="U333" s="522" t="s">
        <v>126</v>
      </c>
      <c r="V333" s="492" t="s">
        <v>126</v>
      </c>
      <c r="W333" s="52">
        <f>+W332/R332-1</f>
        <v>-2.7472527472527486E-2</v>
      </c>
      <c r="X333" s="52">
        <f>+X332/S332-1</f>
        <v>0.40314136125654443</v>
      </c>
      <c r="Y333" s="52">
        <f>+Y332/T332-1</f>
        <v>9.9502487562189046E-2</v>
      </c>
      <c r="Z333" s="52">
        <f>+Z332/U332-1</f>
        <v>3.1390134529148073E-2</v>
      </c>
      <c r="AA333" s="112">
        <f>+AA332/V332-1</f>
        <v>0.12421580928481801</v>
      </c>
      <c r="AB333" s="112"/>
      <c r="AC333" s="52">
        <f>+AC332/W332-1</f>
        <v>2.2598870056497189E-2</v>
      </c>
      <c r="AD333" s="52">
        <f>+AD332/X332-1</f>
        <v>-0.14925373134328357</v>
      </c>
      <c r="AE333" s="52">
        <f>+AE332/Y332-1</f>
        <v>-9.9547511312217174E-2</v>
      </c>
      <c r="AF333" s="52">
        <f>+AF332/Z332-1</f>
        <v>2.6086956521739202E-2</v>
      </c>
      <c r="AG333" s="112">
        <f>+AG332/AA332-1</f>
        <v>-5.8035714285714302E-2</v>
      </c>
      <c r="AH333" s="52">
        <f t="shared" ref="AH333:AU333" si="1046">+AH332/AC332-1</f>
        <v>8.8397790055248615E-2</v>
      </c>
      <c r="AI333" s="52">
        <f t="shared" si="1046"/>
        <v>7.4561403508771829E-2</v>
      </c>
      <c r="AJ333" s="52">
        <f t="shared" si="1046"/>
        <v>0</v>
      </c>
      <c r="AK333" s="52">
        <f t="shared" si="1046"/>
        <v>-4.237288135593209E-3</v>
      </c>
      <c r="AL333" s="112">
        <f t="shared" si="1046"/>
        <v>3.7914691943127909E-2</v>
      </c>
      <c r="AM333" s="52">
        <f t="shared" si="1046"/>
        <v>2.5380710659898442E-2</v>
      </c>
      <c r="AN333" s="52">
        <f t="shared" si="1046"/>
        <v>8.5714285714285632E-2</v>
      </c>
      <c r="AO333" s="52">
        <f t="shared" si="1046"/>
        <v>6.5326633165829096E-2</v>
      </c>
      <c r="AP333" s="52">
        <f t="shared" si="1046"/>
        <v>4.2553191489361764E-2</v>
      </c>
      <c r="AQ333" s="112">
        <f t="shared" si="1046"/>
        <v>5.5936073059360769E-2</v>
      </c>
      <c r="AR333" s="52">
        <f t="shared" si="1046"/>
        <v>0.21782178217821779</v>
      </c>
      <c r="AS333" s="52">
        <f t="shared" si="1046"/>
        <v>0.15037593984962405</v>
      </c>
      <c r="AT333" s="52">
        <f t="shared" si="1046"/>
        <v>0.10849056603773577</v>
      </c>
      <c r="AU333" s="52">
        <f t="shared" si="1046"/>
        <v>9.3877551020408179E-2</v>
      </c>
      <c r="AV333" s="112">
        <f t="shared" ref="AV333:BG333" si="1047">+AV332/AQ332-1</f>
        <v>0.14054054054054044</v>
      </c>
      <c r="AW333" s="52">
        <f t="shared" si="1047"/>
        <v>9.3495934959349603E-2</v>
      </c>
      <c r="AX333" s="52">
        <f t="shared" si="1047"/>
        <v>0.16013071895424846</v>
      </c>
      <c r="AY333" s="52">
        <f t="shared" si="1047"/>
        <v>0.15319148936170213</v>
      </c>
      <c r="AZ333" s="52">
        <f t="shared" si="1047"/>
        <v>9.3283582089552342E-2</v>
      </c>
      <c r="BA333" s="112">
        <f t="shared" si="1047"/>
        <v>0.12606635071090055</v>
      </c>
      <c r="BB333" s="52">
        <f t="shared" si="1047"/>
        <v>0.14869888475836435</v>
      </c>
      <c r="BC333" s="52">
        <f t="shared" si="1047"/>
        <v>0.11830985915492964</v>
      </c>
      <c r="BD333" s="52">
        <f t="shared" si="1047"/>
        <v>0.35793357933579339</v>
      </c>
      <c r="BE333" s="52">
        <f t="shared" si="1047"/>
        <v>0.48122866894197958</v>
      </c>
      <c r="BF333" s="112">
        <f t="shared" ref="BF333:BP333" si="1048">+BF332/BA332-1</f>
        <v>0.26936026936026947</v>
      </c>
      <c r="BG333" s="52">
        <f t="shared" si="1047"/>
        <v>0.22977346278317157</v>
      </c>
      <c r="BH333" s="52">
        <f t="shared" si="1048"/>
        <v>0.23425692695214106</v>
      </c>
      <c r="BI333" s="114">
        <f t="shared" si="1048"/>
        <v>0.20652173913043481</v>
      </c>
      <c r="BJ333" s="114">
        <f t="shared" si="1048"/>
        <v>0.13824884792626735</v>
      </c>
      <c r="BK333" s="112">
        <f t="shared" si="1048"/>
        <v>0.19893899204244025</v>
      </c>
      <c r="BL333" s="52">
        <f t="shared" si="1048"/>
        <v>0.22368421052631571</v>
      </c>
      <c r="BM333" s="52">
        <f t="shared" si="1048"/>
        <v>0.1489795918367347</v>
      </c>
      <c r="BN333" s="52">
        <f t="shared" si="1048"/>
        <v>-9.9099099099099086E-2</v>
      </c>
      <c r="BO333" s="52">
        <f t="shared" si="1048"/>
        <v>-5.2631578947368474E-2</v>
      </c>
      <c r="BP333" s="112">
        <f t="shared" si="1048"/>
        <v>4.8672566371681381E-2</v>
      </c>
      <c r="BQ333" s="52">
        <f t="shared" ref="BQ333:BZ333" si="1049">+BQ332/BL332-1</f>
        <v>2.7956989247311936E-2</v>
      </c>
      <c r="BR333" s="52">
        <f t="shared" si="1049"/>
        <v>0.20959147424511548</v>
      </c>
      <c r="BS333" s="52">
        <f t="shared" si="1049"/>
        <v>0.54</v>
      </c>
      <c r="BT333" s="52">
        <f t="shared" si="1049"/>
        <v>0.22222222222222232</v>
      </c>
      <c r="BU333" s="112">
        <f t="shared" si="1049"/>
        <v>0.2378691983122363</v>
      </c>
      <c r="BV333" s="52">
        <f t="shared" si="1049"/>
        <v>-4.1841004184099972E-3</v>
      </c>
      <c r="BW333" s="52">
        <f t="shared" si="1049"/>
        <v>-0.17180616740088106</v>
      </c>
      <c r="BX333" s="52">
        <f t="shared" si="1049"/>
        <v>-0.11038961038961037</v>
      </c>
      <c r="BY333" s="52">
        <f t="shared" si="1049"/>
        <v>-0.38811188811188813</v>
      </c>
      <c r="BZ333" s="112">
        <f t="shared" si="1049"/>
        <v>-0.17426501917341286</v>
      </c>
      <c r="CA333" s="52">
        <f t="shared" ref="CA333" si="1050">+CA332/BV332-1</f>
        <v>-0.2142857142857143</v>
      </c>
      <c r="CB333" s="52">
        <f t="shared" ref="CB333:CD333" si="1051">+CB332/BW332-1</f>
        <v>-0.30319148936170215</v>
      </c>
      <c r="CC333" s="52">
        <f t="shared" si="1051"/>
        <v>-0.15875912408759119</v>
      </c>
      <c r="CD333" s="52">
        <f t="shared" si="1051"/>
        <v>0.25142857142857133</v>
      </c>
      <c r="CE333" s="112">
        <f t="shared" ref="CE333" si="1052">+CE332/BZ332-1</f>
        <v>-0.14035087719298245</v>
      </c>
      <c r="CF333" s="52">
        <f t="shared" ref="CF333" si="1053">+CF332/CA332-1</f>
        <v>7.2192513368984024E-2</v>
      </c>
      <c r="CG333" s="52">
        <f t="shared" ref="CG333:CH333" si="1054">+CG332/CB332-1</f>
        <v>0.19338422391857502</v>
      </c>
      <c r="CH333" s="52">
        <f t="shared" si="1054"/>
        <v>8.0260303687635481E-2</v>
      </c>
      <c r="CI333" s="114">
        <f t="shared" ref="CI333" si="1055">+CI332/CD332-1</f>
        <v>5.0228310502283158E-2</v>
      </c>
      <c r="CJ333" s="112">
        <f t="shared" ref="CJ333" si="1056">+CJ332/CE332-1</f>
        <v>9.7238895558223293E-2</v>
      </c>
      <c r="CK333" s="114">
        <f t="shared" ref="CK333:CM333" si="1057">+CK332/CF332-1</f>
        <v>-0.10224438902743138</v>
      </c>
      <c r="CL333" s="52">
        <f t="shared" si="1057"/>
        <v>6.3965884861407751E-3</v>
      </c>
      <c r="CM333" s="52">
        <f t="shared" si="1057"/>
        <v>-0.17269076305220887</v>
      </c>
      <c r="CN333" s="52">
        <f t="shared" ref="CN333" si="1058">+CN332/CI332-1</f>
        <v>-0.19130434782608696</v>
      </c>
      <c r="CO333" s="112">
        <f t="shared" ref="CO333:CQ333" si="1059">+CO332/CJ332-1</f>
        <v>-0.11597374179431075</v>
      </c>
      <c r="CP333" s="114">
        <f t="shared" si="1059"/>
        <v>5.5555555555555358E-3</v>
      </c>
      <c r="CQ333" s="52">
        <f t="shared" si="1059"/>
        <v>-6.3559322033898358E-2</v>
      </c>
      <c r="CR333" s="52">
        <f t="shared" ref="CR333" si="1060">+CR332/CM332-1</f>
        <v>-3.6407766990291246E-2</v>
      </c>
      <c r="CS333" s="52">
        <f t="shared" ref="CS333" si="1061">+CS332/CN332-1</f>
        <v>-0.10215053763440862</v>
      </c>
      <c r="CT333" s="112">
        <f t="shared" ref="CT333" si="1062">+CT332/CO332-1</f>
        <v>-5.0123762376237613E-2</v>
      </c>
      <c r="CU333" s="52">
        <f t="shared" ref="CU333" si="1063">+CU332/CP332-1</f>
        <v>-0.22928176795580113</v>
      </c>
      <c r="CV333" s="52">
        <f t="shared" ref="CV333" si="1064">+CV332/CQ332-1</f>
        <v>-0.23607999999999996</v>
      </c>
      <c r="CW333" s="52">
        <f t="shared" ref="CW333" si="1065">+CW332/CR332-1</f>
        <v>-0.27200000000000013</v>
      </c>
      <c r="CX333" s="52">
        <f t="shared" ref="CX333" si="1066">+CX332/CS332-1</f>
        <v>-0.28530000000000011</v>
      </c>
      <c r="CY333" s="112">
        <f t="shared" ref="CY333" si="1067">+CY332/CT332-1</f>
        <v>-0.25447658631921832</v>
      </c>
      <c r="CZ333" s="52">
        <f t="shared" ref="CZ333" si="1068">+CZ332/CU332-1</f>
        <v>-0.24325000000000008</v>
      </c>
      <c r="DA333" s="52">
        <f t="shared" ref="DA333" si="1069">+DA332/CV332-1</f>
        <v>-0.19999999999999996</v>
      </c>
      <c r="DB333" s="52">
        <f t="shared" ref="DB333" si="1070">+DB332/CW332-1</f>
        <v>-8.0000000000000071E-2</v>
      </c>
      <c r="DC333" s="52">
        <f t="shared" ref="DC333" si="1071">+DC332/CX332-1</f>
        <v>-7.999999999999996E-2</v>
      </c>
      <c r="DD333" s="112">
        <f t="shared" ref="DD333" si="1072">+DD332/CY332-1</f>
        <v>-0.15520682301564515</v>
      </c>
      <c r="DE333" s="52">
        <f t="shared" ref="DE333" si="1073">+DE332/CZ332-1</f>
        <v>-3.0000000000000027E-2</v>
      </c>
      <c r="DF333" s="52">
        <f t="shared" ref="DF333" si="1074">+DF332/DA332-1</f>
        <v>-2.0000000000000129E-2</v>
      </c>
      <c r="DG333" s="52">
        <f t="shared" ref="DG333" si="1075">+DG332/DB332-1</f>
        <v>1.0000000000000009E-2</v>
      </c>
      <c r="DH333" s="52">
        <f t="shared" ref="DH333" si="1076">+DH332/DC332-1</f>
        <v>1.0000000000000009E-2</v>
      </c>
      <c r="DI333" s="112">
        <f t="shared" ref="DI333" si="1077">+DI332/DD332-1</f>
        <v>-7.1179406767137854E-3</v>
      </c>
    </row>
    <row r="334" spans="1:113" s="529" customFormat="1" ht="12" hidden="1" customHeight="1" outlineLevel="1">
      <c r="A334" s="219" t="str">
        <f t="shared" si="1040"/>
        <v xml:space="preserve"> </v>
      </c>
      <c r="B334" s="526" t="s">
        <v>173</v>
      </c>
      <c r="C334" s="112"/>
      <c r="D334" s="52"/>
      <c r="E334" s="112"/>
      <c r="F334" s="52"/>
      <c r="G334" s="112"/>
      <c r="H334" s="52"/>
      <c r="I334" s="112"/>
      <c r="J334" s="52"/>
      <c r="K334" s="112"/>
      <c r="L334" s="52"/>
      <c r="M334" s="112"/>
      <c r="N334" s="52"/>
      <c r="O334" s="112"/>
      <c r="P334" s="52"/>
      <c r="Q334" s="112"/>
      <c r="R334" s="52">
        <v>0.08</v>
      </c>
      <c r="S334" s="52">
        <v>0.11</v>
      </c>
      <c r="T334" s="52">
        <v>0.28000000000000003</v>
      </c>
      <c r="U334" s="52">
        <v>7.0000000000000007E-2</v>
      </c>
      <c r="V334" s="232" t="s">
        <v>126</v>
      </c>
      <c r="W334" s="52">
        <v>-0.08</v>
      </c>
      <c r="X334" s="52">
        <v>0.34</v>
      </c>
      <c r="Y334" s="52">
        <v>0.06</v>
      </c>
      <c r="Z334" s="52">
        <v>0.03</v>
      </c>
      <c r="AA334" s="232" t="s">
        <v>126</v>
      </c>
      <c r="AB334" s="232"/>
      <c r="AC334" s="52">
        <v>-0.01</v>
      </c>
      <c r="AD334" s="52">
        <v>-0.17</v>
      </c>
      <c r="AE334" s="52">
        <v>-0.13</v>
      </c>
      <c r="AF334" s="52">
        <v>-0.01</v>
      </c>
      <c r="AG334" s="112">
        <v>-0.08</v>
      </c>
      <c r="AH334" s="52">
        <v>0.06</v>
      </c>
      <c r="AI334" s="52">
        <v>0.04</v>
      </c>
      <c r="AJ334" s="52">
        <v>-0.02</v>
      </c>
      <c r="AK334" s="91">
        <f>(AL334*SUM(AC332:AF332)-AH334*AC332-AI334*AD332-AJ334*AE332)/AF332</f>
        <v>-3.2033898305084747E-2</v>
      </c>
      <c r="AL334" s="112">
        <v>0.01</v>
      </c>
      <c r="AM334" s="52">
        <v>0.04</v>
      </c>
      <c r="AN334" s="52">
        <v>0.09</v>
      </c>
      <c r="AO334" s="52">
        <v>0.08</v>
      </c>
      <c r="AP334" s="52">
        <v>0.06</v>
      </c>
      <c r="AQ334" s="112">
        <v>7.0000000000000007E-2</v>
      </c>
      <c r="AR334" s="52">
        <v>0.22</v>
      </c>
      <c r="AS334" s="52">
        <v>0.19</v>
      </c>
      <c r="AT334" s="52">
        <v>0.15</v>
      </c>
      <c r="AU334" s="52">
        <v>0.14000000000000001</v>
      </c>
      <c r="AV334" s="112">
        <v>0.17</v>
      </c>
      <c r="AW334" s="52">
        <v>0.15</v>
      </c>
      <c r="AX334" s="52">
        <v>0.21</v>
      </c>
      <c r="AY334" s="52">
        <v>0.22</v>
      </c>
      <c r="AZ334" s="52">
        <v>0.14000000000000001</v>
      </c>
      <c r="BA334" s="112">
        <v>0.18</v>
      </c>
      <c r="BB334" s="52">
        <v>0.18</v>
      </c>
      <c r="BC334" s="52">
        <v>0.11</v>
      </c>
      <c r="BD334" s="52">
        <v>0.3</v>
      </c>
      <c r="BE334" s="114">
        <v>0.37</v>
      </c>
      <c r="BF334" s="112">
        <f>SUMPRODUCT(BB334:BE334,AW332:AZ332)/BA332</f>
        <v>0.23331649831649828</v>
      </c>
      <c r="BG334" s="114">
        <v>0.19</v>
      </c>
      <c r="BH334" s="114">
        <v>0.28000000000000003</v>
      </c>
      <c r="BI334" s="114">
        <v>0.26</v>
      </c>
      <c r="BJ334" s="114">
        <v>0.21</v>
      </c>
      <c r="BK334" s="112">
        <f>SUMPRODUCT(BG334:BJ334,BB332:BE332)/BF332</f>
        <v>0.23653183023872679</v>
      </c>
      <c r="BL334" s="114">
        <v>0.28000000000000003</v>
      </c>
      <c r="BM334" s="114">
        <v>0.18</v>
      </c>
      <c r="BN334" s="114">
        <v>-0.09</v>
      </c>
      <c r="BO334" s="114">
        <v>-0.01</v>
      </c>
      <c r="BP334" s="112">
        <f>SUMPRODUCT(BL334:BO334,BG332:BJ332)/BK332</f>
        <v>8.2798672566371689E-2</v>
      </c>
      <c r="BQ334" s="114">
        <v>0.05</v>
      </c>
      <c r="BR334" s="114">
        <v>0.16</v>
      </c>
      <c r="BS334" s="114">
        <v>0.44</v>
      </c>
      <c r="BT334" s="114">
        <v>0.13</v>
      </c>
      <c r="BU334" s="112">
        <f>SUMPRODUCT(BQ334:BT334,BL332:BO332)/BP332</f>
        <v>0.18468881856540081</v>
      </c>
      <c r="BV334" s="114">
        <v>-0.09</v>
      </c>
      <c r="BW334" s="114">
        <v>-0.21</v>
      </c>
      <c r="BX334" s="114">
        <v>-0.13</v>
      </c>
      <c r="BY334" s="114">
        <v>-0.4</v>
      </c>
      <c r="BZ334" s="112">
        <f>SUMPRODUCT(BV334:BY334,BQ332:BT332)/BU332</f>
        <v>-0.21086919471665955</v>
      </c>
      <c r="CA334" s="114">
        <v>-0.18</v>
      </c>
      <c r="CB334" s="114">
        <v>-0.24</v>
      </c>
      <c r="CC334" s="114">
        <v>-0.08</v>
      </c>
      <c r="CD334" s="114">
        <v>0.36</v>
      </c>
      <c r="CE334" s="112">
        <f>SUMPRODUCT(CA334:CD334,BV332:BY332)/BZ332</f>
        <v>-7.166150670794634E-2</v>
      </c>
      <c r="CF334" s="114">
        <v>0.14000000000000001</v>
      </c>
      <c r="CG334" s="114">
        <v>0.24</v>
      </c>
      <c r="CH334" s="114">
        <v>0.1</v>
      </c>
      <c r="CI334" s="114">
        <v>0.09</v>
      </c>
      <c r="CJ334" s="112">
        <f>SUMPRODUCT(CF334:CI334,CA332:CD332)/CE332</f>
        <v>0.13937575030012003</v>
      </c>
      <c r="CK334" s="114">
        <v>-0.09</v>
      </c>
      <c r="CL334" s="114">
        <v>-0.03</v>
      </c>
      <c r="CM334" s="114">
        <v>-0.15</v>
      </c>
      <c r="CN334" s="114">
        <v>-0.19</v>
      </c>
      <c r="CO334" s="112">
        <f>SUMPRODUCT(CK334:CN334,CF332:CI332)/CJ332</f>
        <v>-0.1161159737417943</v>
      </c>
      <c r="CP334" s="114">
        <v>0</v>
      </c>
      <c r="CQ334" s="114">
        <v>-0.06</v>
      </c>
      <c r="CR334" s="114">
        <v>-7.0000000000000007E-2</v>
      </c>
      <c r="CS334" s="114">
        <v>-0.15</v>
      </c>
      <c r="CT334" s="112">
        <f>SUMPRODUCT(CP334:CS334,CK332:CN332)/CO332</f>
        <v>-6.9900990099009908E-2</v>
      </c>
      <c r="CU334" s="114">
        <v>-0.27</v>
      </c>
      <c r="CV334" s="53">
        <v>-0.28000000000000003</v>
      </c>
      <c r="CW334" s="53">
        <v>-0.3</v>
      </c>
      <c r="CX334" s="53">
        <v>-0.3</v>
      </c>
      <c r="CY334" s="112">
        <f>SUMPRODUCT(CU334:CX334,CP332:CS332)/CT332</f>
        <v>-0.28716612377850165</v>
      </c>
      <c r="CZ334" s="53">
        <v>-0.25</v>
      </c>
      <c r="DA334" s="53">
        <v>-0.2</v>
      </c>
      <c r="DB334" s="53">
        <v>-0.08</v>
      </c>
      <c r="DC334" s="53">
        <v>-0.08</v>
      </c>
      <c r="DD334" s="112">
        <f>SUMPRODUCT(CZ334:DC334,CU332:CX332)/CY332</f>
        <v>-0.15685247617912135</v>
      </c>
      <c r="DE334" s="53">
        <v>-0.03</v>
      </c>
      <c r="DF334" s="53">
        <v>-0.02</v>
      </c>
      <c r="DG334" s="53">
        <v>0.01</v>
      </c>
      <c r="DH334" s="53">
        <v>0.01</v>
      </c>
      <c r="DI334" s="112">
        <f>SUMPRODUCT(DE334:DH334,CZ332:DC332)/DD332</f>
        <v>-7.1179406767137472E-3</v>
      </c>
    </row>
    <row r="335" spans="1:113" s="545" customFormat="1" ht="12" hidden="1" customHeight="1" outlineLevel="1">
      <c r="A335" s="219" t="str">
        <f t="shared" si="1040"/>
        <v xml:space="preserve"> </v>
      </c>
      <c r="B335" s="546" t="s">
        <v>142</v>
      </c>
      <c r="C335" s="112"/>
      <c r="D335" s="52"/>
      <c r="E335" s="112"/>
      <c r="F335" s="52"/>
      <c r="G335" s="112"/>
      <c r="H335" s="52"/>
      <c r="I335" s="112"/>
      <c r="J335" s="52"/>
      <c r="K335" s="112"/>
      <c r="L335" s="52"/>
      <c r="M335" s="112"/>
      <c r="N335" s="52"/>
      <c r="O335" s="112"/>
      <c r="P335" s="52"/>
      <c r="Q335" s="112"/>
      <c r="R335" s="378" t="s">
        <v>126</v>
      </c>
      <c r="S335" s="522" t="s">
        <v>126</v>
      </c>
      <c r="T335" s="522" t="s">
        <v>126</v>
      </c>
      <c r="U335" s="522" t="s">
        <v>126</v>
      </c>
      <c r="V335" s="492" t="s">
        <v>126</v>
      </c>
      <c r="W335" s="52">
        <v>0.05</v>
      </c>
      <c r="X335" s="52">
        <v>0.05</v>
      </c>
      <c r="Y335" s="52">
        <v>-5.0000000000000001E-3</v>
      </c>
      <c r="Z335" s="52">
        <f>(AA335*SUM(R332:U332)-W335*R332-X335*S332-Y335*T332)/U332</f>
        <v>-7.6457399103139045E-3</v>
      </c>
      <c r="AA335" s="112">
        <v>0.02</v>
      </c>
      <c r="AB335" s="112"/>
      <c r="AC335" s="52">
        <v>-0.04</v>
      </c>
      <c r="AD335" s="52">
        <v>-0.22</v>
      </c>
      <c r="AE335" s="52">
        <v>-0.05</v>
      </c>
      <c r="AF335" s="52">
        <f>(AG335*SUM(W332:Z332)-AC335*W332-AD335*X332-AE335*Y332)/Z332</f>
        <v>0.21830434782608699</v>
      </c>
      <c r="AG335" s="112">
        <v>-0.03</v>
      </c>
      <c r="AH335" s="52">
        <v>7.0000000000000007E-2</v>
      </c>
      <c r="AI335" s="52">
        <v>0.18</v>
      </c>
      <c r="AJ335" s="52">
        <v>-0.06</v>
      </c>
      <c r="AK335" s="52">
        <f>(AL335*SUM(AC332:AF332)-AH335*AC332-AI335*AD332-AJ335*AE332)/AF332</f>
        <v>-0.14122881355932207</v>
      </c>
      <c r="AL335" s="112">
        <v>0.01</v>
      </c>
      <c r="AM335" s="52">
        <v>0.17</v>
      </c>
      <c r="AN335" s="52">
        <v>0.15</v>
      </c>
      <c r="AO335" s="52">
        <v>0.09</v>
      </c>
      <c r="AP335" s="52">
        <f>(AQ335*SUM(AH332:AK332)-AM335*AH332-AN335*AI332-AO335*AJ332)/AK332</f>
        <v>-7.6893617021276617E-2</v>
      </c>
      <c r="AQ335" s="112">
        <v>0.08</v>
      </c>
      <c r="AR335" s="52">
        <v>0.16</v>
      </c>
      <c r="AS335" s="52">
        <v>0.26</v>
      </c>
      <c r="AT335" s="52">
        <v>0.17</v>
      </c>
      <c r="AU335" s="52">
        <f>(AV335*SUM(AM332:AP332)-AR335*AM332-AS335*AN332-AT335*AO332)/AP332</f>
        <v>8.0530612244898006E-2</v>
      </c>
      <c r="AV335" s="112">
        <v>0.17</v>
      </c>
      <c r="AW335" s="52">
        <v>0.15</v>
      </c>
      <c r="AX335" s="52">
        <v>0.21</v>
      </c>
      <c r="AY335" s="52">
        <v>0.19</v>
      </c>
      <c r="AZ335" s="52">
        <f>(BA335*SUM(AR332:AU332)-AW335*AR332-AX335*AS332-AY335*AT332)/AU332</f>
        <v>4.641791044776121E-2</v>
      </c>
      <c r="BA335" s="112">
        <v>0.15</v>
      </c>
      <c r="BB335" s="52">
        <v>0.13</v>
      </c>
      <c r="BC335" s="52">
        <v>0.08</v>
      </c>
      <c r="BD335" s="52">
        <v>0.18</v>
      </c>
      <c r="BE335" s="52">
        <f>((BF335*SUM(AW332:AZ332))-BB335*AW332-BC335*AX332-BD335*AY332)/AZ332</f>
        <v>0.42815699658703077</v>
      </c>
      <c r="BF335" s="112">
        <v>0.2</v>
      </c>
      <c r="BG335" s="52">
        <v>0.16</v>
      </c>
      <c r="BH335" s="52">
        <v>0.15</v>
      </c>
      <c r="BI335" s="114">
        <v>0.1</v>
      </c>
      <c r="BJ335" s="114">
        <f>((BK335*SUM(BB332:BE332))-BG335*BB332-BH335*BC332-BI335*BD332)/BE332</f>
        <v>0.15052995391705079</v>
      </c>
      <c r="BK335" s="112">
        <v>0.14000000000000001</v>
      </c>
      <c r="BL335" s="114">
        <v>0.2</v>
      </c>
      <c r="BM335" s="52">
        <v>0.18</v>
      </c>
      <c r="BN335" s="52">
        <v>-0.12</v>
      </c>
      <c r="BO335" s="114">
        <f>((BP335*SUM(BG332:BJ332))-BL335*BG332-BM335*BH332-BN335*BI332)/BJ332</f>
        <v>6.8259109311740923E-2</v>
      </c>
      <c r="BP335" s="112">
        <v>0.08</v>
      </c>
      <c r="BQ335" s="52">
        <v>0.11</v>
      </c>
      <c r="BR335" s="114">
        <v>0.21</v>
      </c>
      <c r="BS335" s="52">
        <v>0.52</v>
      </c>
      <c r="BT335" s="114">
        <f>((BU335*SUM(BL332:BO332))-BQ335*BL332-BR335*BM332-BS335*BN332)/BO332</f>
        <v>-7.7136752136752126E-2</v>
      </c>
      <c r="BU335" s="112">
        <v>0.18</v>
      </c>
      <c r="BV335" s="52">
        <v>-0.04</v>
      </c>
      <c r="BW335" s="114">
        <v>-0.17</v>
      </c>
      <c r="BX335" s="52">
        <v>-0.03</v>
      </c>
      <c r="BY335" s="114">
        <f>((BZ335*SUM(BQ332:BT332))-BV335*BQ332-BW335*BR332-BX335*BS332)/BT332</f>
        <v>-0.34734265734265735</v>
      </c>
      <c r="BZ335" s="112">
        <v>-0.15</v>
      </c>
      <c r="CA335" s="52">
        <v>-7.0000000000000007E-2</v>
      </c>
      <c r="CB335" s="114">
        <v>0.28000000000000003</v>
      </c>
      <c r="CC335" s="114">
        <v>-0.16</v>
      </c>
      <c r="CD335" s="114">
        <f>((CE335*SUM(BV332:BY332))-CA335*BV332-CB335*BW332-CC335*BX332)/BY332</f>
        <v>-0.54845714285714275</v>
      </c>
      <c r="CE335" s="112">
        <v>-0.08</v>
      </c>
      <c r="CF335" s="114">
        <v>-0.02</v>
      </c>
      <c r="CG335" s="114">
        <v>0.16</v>
      </c>
      <c r="CH335" s="114">
        <v>0.1</v>
      </c>
      <c r="CI335" s="114">
        <f>((CJ335*SUM(CA332:CD332))-CF335*CA332-CG335*CB332-CH335*CC332)/CD332</f>
        <v>3.4520547945205489E-2</v>
      </c>
      <c r="CJ335" s="112">
        <v>7.0000000000000007E-2</v>
      </c>
      <c r="CK335" s="114">
        <v>-0.15</v>
      </c>
      <c r="CL335" s="114">
        <v>-7.0000000000000007E-2</v>
      </c>
      <c r="CM335" s="114">
        <v>-0.19</v>
      </c>
      <c r="CN335" s="114">
        <f>((CO335*SUM(CF332:CI332))-CK335*CF332-CL335*CG332-CM335*CH332)/CI332</f>
        <v>-0.26773913043478265</v>
      </c>
      <c r="CO335" s="112">
        <v>-0.17</v>
      </c>
      <c r="CP335" s="114">
        <v>-0.02</v>
      </c>
      <c r="CQ335" s="114">
        <v>-0.12</v>
      </c>
      <c r="CR335" s="114">
        <v>-0.09</v>
      </c>
      <c r="CS335" s="114">
        <f>((CT335*SUM(CK332:CN332))-CP335*CK332-CQ335*CL332-CR335*CM332)/CN332</f>
        <v>-7.6236559139784943E-2</v>
      </c>
      <c r="CT335" s="112">
        <v>-0.08</v>
      </c>
      <c r="CU335" s="114"/>
      <c r="CV335" s="52"/>
      <c r="CW335" s="52"/>
      <c r="CX335" s="52"/>
      <c r="CY335" s="112"/>
      <c r="CZ335" s="52"/>
      <c r="DA335" s="52"/>
      <c r="DB335" s="52"/>
      <c r="DC335" s="52"/>
      <c r="DD335" s="112"/>
      <c r="DE335" s="52"/>
      <c r="DF335" s="52"/>
      <c r="DG335" s="52"/>
      <c r="DH335" s="52"/>
      <c r="DI335" s="112"/>
    </row>
    <row r="336" spans="1:113" s="545" customFormat="1" ht="12" hidden="1" customHeight="1" outlineLevel="1">
      <c r="A336" s="219" t="str">
        <f t="shared" si="1040"/>
        <v xml:space="preserve"> </v>
      </c>
      <c r="B336" s="546" t="s">
        <v>143</v>
      </c>
      <c r="C336" s="112"/>
      <c r="D336" s="52"/>
      <c r="E336" s="112"/>
      <c r="F336" s="52"/>
      <c r="G336" s="112"/>
      <c r="H336" s="52"/>
      <c r="I336" s="112"/>
      <c r="J336" s="52"/>
      <c r="K336" s="112"/>
      <c r="L336" s="52"/>
      <c r="M336" s="112"/>
      <c r="N336" s="52"/>
      <c r="O336" s="112"/>
      <c r="P336" s="52"/>
      <c r="Q336" s="112"/>
      <c r="R336" s="378" t="s">
        <v>126</v>
      </c>
      <c r="S336" s="522" t="s">
        <v>126</v>
      </c>
      <c r="T336" s="522" t="s">
        <v>126</v>
      </c>
      <c r="U336" s="522" t="s">
        <v>126</v>
      </c>
      <c r="V336" s="492" t="s">
        <v>126</v>
      </c>
      <c r="W336" s="52">
        <v>-0.13</v>
      </c>
      <c r="X336" s="52">
        <v>0.28999999999999998</v>
      </c>
      <c r="Y336" s="52">
        <v>0.06</v>
      </c>
      <c r="Z336" s="52">
        <f>(AA336*SUM(R332:U332)-W336*R332-X336*S332-Y336*T332)/U332</f>
        <v>5.3811659192825163E-2</v>
      </c>
      <c r="AA336" s="112">
        <v>7.0000000000000007E-2</v>
      </c>
      <c r="AB336" s="112"/>
      <c r="AC336" s="52">
        <v>0.03</v>
      </c>
      <c r="AD336" s="52">
        <v>0.05</v>
      </c>
      <c r="AE336" s="52">
        <v>-0.08</v>
      </c>
      <c r="AF336" s="52">
        <f>(AG336*SUM(W332:Z332)-AC336*W332-AD336*X332-AE336*Y332)/Z332</f>
        <v>-0.23821739130434783</v>
      </c>
      <c r="AG336" s="112">
        <v>-0.06</v>
      </c>
      <c r="AH336" s="52">
        <v>0.01</v>
      </c>
      <c r="AI336" s="52">
        <v>-0.14000000000000001</v>
      </c>
      <c r="AJ336" s="52">
        <v>0.04</v>
      </c>
      <c r="AK336" s="52">
        <f>(AL336*SUM(AC332:AF332)-AH336*AC332-AI336*AD332-AJ336*AE332)/AF332</f>
        <v>9.3855932203389836E-2</v>
      </c>
      <c r="AL336" s="112">
        <v>0</v>
      </c>
      <c r="AM336" s="52">
        <v>-0.13</v>
      </c>
      <c r="AN336" s="52">
        <v>-0.06</v>
      </c>
      <c r="AO336" s="52">
        <v>-0.01</v>
      </c>
      <c r="AP336" s="52">
        <f>(AQ336*SUM(AH332:AK332)-AM336*AH332-AN336*AI332-AO336*AJ332)/AK332</f>
        <v>0.14272340425531915</v>
      </c>
      <c r="AQ336" s="112">
        <v>-0.01</v>
      </c>
      <c r="AR336" s="52">
        <v>0.06</v>
      </c>
      <c r="AS336" s="52">
        <v>-7.0000000000000007E-2</v>
      </c>
      <c r="AT336" s="52">
        <v>-0.02</v>
      </c>
      <c r="AU336" s="52">
        <f>(AV336*SUM(AM332:AP332)-AR336*AM332-AS336*AN332-AT336*AO332)/AP332</f>
        <v>4.3836734693877562E-2</v>
      </c>
      <c r="AV336" s="112">
        <v>0</v>
      </c>
      <c r="AW336" s="52">
        <v>0</v>
      </c>
      <c r="AX336" s="52">
        <v>0</v>
      </c>
      <c r="AY336" s="52">
        <v>0.03</v>
      </c>
      <c r="AZ336" s="52">
        <f>(BA336*SUM(AR332:AU332)-AW336*AR332-AX336*AS332-AY336*AT332)/AU332</f>
        <v>9.1791044776119393E-2</v>
      </c>
      <c r="BA336" s="112">
        <v>0.03</v>
      </c>
      <c r="BB336" s="52">
        <v>0.05</v>
      </c>
      <c r="BC336" s="52">
        <v>0.03</v>
      </c>
      <c r="BD336" s="52">
        <v>0.12</v>
      </c>
      <c r="BE336" s="52">
        <f>((BF336*SUM(AW332:AZ332))-BB336*AW332-BC336*AX332-BD336*AY332)/AZ332</f>
        <v>-7.1604095563139916E-2</v>
      </c>
      <c r="BF336" s="112">
        <v>0.03</v>
      </c>
      <c r="BG336" s="52">
        <v>0.03</v>
      </c>
      <c r="BH336" s="52">
        <v>0.13</v>
      </c>
      <c r="BI336" s="114">
        <v>0.16</v>
      </c>
      <c r="BJ336" s="114">
        <f>((BK336*SUM(BB332:BE332))-BG336*BB332-BH336*BC332-BI336*BD332)/BE332</f>
        <v>3.6774193548387096E-2</v>
      </c>
      <c r="BK336" s="112">
        <v>0.09</v>
      </c>
      <c r="BL336" s="52">
        <v>0.08</v>
      </c>
      <c r="BM336" s="52">
        <v>0</v>
      </c>
      <c r="BN336" s="52">
        <v>0.03</v>
      </c>
      <c r="BO336" s="114">
        <f>((BP336*SUM(BG332:BJ332))-BL336*BG332-BM336*BH332-BN336*BI332)/BJ332</f>
        <v>-8.8502024291497977E-2</v>
      </c>
      <c r="BP336" s="112">
        <v>0</v>
      </c>
      <c r="BQ336" s="52">
        <v>-0.06</v>
      </c>
      <c r="BR336" s="114">
        <v>-0.05</v>
      </c>
      <c r="BS336" s="52">
        <v>-0.08</v>
      </c>
      <c r="BT336" s="114">
        <f>((BU336*SUM(BL332:BO332))-BQ336*BL332-BR336*BM332-BS336*BN332)/BO332</f>
        <v>0.22865384615384615</v>
      </c>
      <c r="BU336" s="112">
        <v>0.01</v>
      </c>
      <c r="BV336" s="52">
        <v>-0.05</v>
      </c>
      <c r="BW336" s="114">
        <v>-0.04</v>
      </c>
      <c r="BX336" s="52">
        <v>-0.1</v>
      </c>
      <c r="BY336" s="114">
        <f>((BZ336*SUM(BQ332:BT332))-BV336*BQ332-BW336*BR332-BX336*BS332)/BT332</f>
        <v>-4.9090909090909053E-2</v>
      </c>
      <c r="BZ336" s="112">
        <v>-0.06</v>
      </c>
      <c r="CA336" s="52">
        <v>-0.11</v>
      </c>
      <c r="CB336" s="114">
        <v>0.04</v>
      </c>
      <c r="CC336" s="114">
        <v>0.08</v>
      </c>
      <c r="CD336" s="114">
        <f>((CE336*SUM(BV332:BY332))-CA336*BV332-CB336*BW332-CC336*BX332)/BY332</f>
        <v>1.5257142857142827E-2</v>
      </c>
      <c r="CE336" s="112">
        <v>0.01</v>
      </c>
      <c r="CF336" s="114">
        <v>0.16</v>
      </c>
      <c r="CG336" s="114">
        <v>0.08</v>
      </c>
      <c r="CH336" s="114">
        <v>0</v>
      </c>
      <c r="CI336" s="114">
        <f>((CJ336*SUM(CA332:CD332))-CF336*CA332-CG336*CB332-CH336*CC332)/CD332</f>
        <v>5.7853881278538813E-2</v>
      </c>
      <c r="CJ336" s="112">
        <v>7.0000000000000007E-2</v>
      </c>
      <c r="CK336" s="114">
        <v>0.06</v>
      </c>
      <c r="CL336" s="114">
        <v>0.04</v>
      </c>
      <c r="CM336" s="114">
        <v>0.04</v>
      </c>
      <c r="CN336" s="114">
        <f>((CO336*SUM(CF332:CI332))-CK336*CF332-CL336*CG332-CM336*CH332)/CI332</f>
        <v>6.2304347826086952E-2</v>
      </c>
      <c r="CO336" s="112">
        <v>0.05</v>
      </c>
      <c r="CP336" s="114">
        <v>0.02</v>
      </c>
      <c r="CQ336" s="114">
        <v>0.06</v>
      </c>
      <c r="CR336" s="114">
        <v>0.02</v>
      </c>
      <c r="CS336" s="114">
        <f>((CT336*SUM(CK332:CN332))-CP336*CK332-CQ336*CL332-CR336*CM332)/CN332</f>
        <v>-7.4193548387096783E-2</v>
      </c>
      <c r="CT336" s="112">
        <v>0.01</v>
      </c>
      <c r="CU336" s="114"/>
      <c r="CV336" s="52"/>
      <c r="CW336" s="52"/>
      <c r="CX336" s="52"/>
      <c r="CY336" s="112"/>
      <c r="CZ336" s="52"/>
      <c r="DA336" s="52"/>
      <c r="DB336" s="52"/>
      <c r="DC336" s="52"/>
      <c r="DD336" s="112"/>
      <c r="DE336" s="52"/>
      <c r="DF336" s="52"/>
      <c r="DG336" s="52"/>
      <c r="DH336" s="52"/>
      <c r="DI336" s="112"/>
    </row>
    <row r="337" spans="1:113" ht="12" hidden="1" customHeight="1" outlineLevel="1">
      <c r="A337" s="219" t="str">
        <f t="shared" si="1040"/>
        <v xml:space="preserve"> </v>
      </c>
      <c r="B337" s="491" t="s">
        <v>141</v>
      </c>
      <c r="C337" s="492"/>
      <c r="D337" s="522"/>
      <c r="E337" s="492"/>
      <c r="F337" s="522"/>
      <c r="G337" s="492"/>
      <c r="H337" s="522"/>
      <c r="I337" s="492"/>
      <c r="J337" s="522"/>
      <c r="K337" s="492"/>
      <c r="L337" s="522"/>
      <c r="M337" s="492"/>
      <c r="N337" s="522"/>
      <c r="O337" s="492"/>
      <c r="P337" s="522"/>
      <c r="Q337" s="492"/>
      <c r="R337" s="378" t="s">
        <v>126</v>
      </c>
      <c r="S337" s="522" t="s">
        <v>126</v>
      </c>
      <c r="T337" s="522" t="s">
        <v>126</v>
      </c>
      <c r="U337" s="522" t="s">
        <v>126</v>
      </c>
      <c r="V337" s="492" t="s">
        <v>126</v>
      </c>
      <c r="W337" s="52">
        <f>(1+W333)/(1+W334)-1</f>
        <v>5.7095078834209279E-2</v>
      </c>
      <c r="X337" s="52">
        <f t="shared" ref="X337:BE337" si="1078">(1+X333)/(1+X334)-1</f>
        <v>4.7120418848167311E-2</v>
      </c>
      <c r="Y337" s="52">
        <f t="shared" si="1078"/>
        <v>3.7266497700178203E-2</v>
      </c>
      <c r="Z337" s="52">
        <f t="shared" si="1078"/>
        <v>1.349645173930103E-3</v>
      </c>
      <c r="AA337" s="391" t="s">
        <v>126</v>
      </c>
      <c r="AB337" s="391"/>
      <c r="AC337" s="52">
        <f>(1+AC333)/(1+AC334)-1</f>
        <v>3.2928151572219289E-2</v>
      </c>
      <c r="AD337" s="52">
        <f t="shared" si="1078"/>
        <v>2.4995504405682434E-2</v>
      </c>
      <c r="AE337" s="52">
        <f t="shared" si="1078"/>
        <v>3.5002860560669813E-2</v>
      </c>
      <c r="AF337" s="52">
        <f t="shared" si="1078"/>
        <v>3.6451471234079991E-2</v>
      </c>
      <c r="AG337" s="112">
        <f t="shared" si="1078"/>
        <v>2.3874223602484479E-2</v>
      </c>
      <c r="AH337" s="52">
        <f>(1+AH333)/(1+AH334)-1</f>
        <v>2.6790367976649687E-2</v>
      </c>
      <c r="AI337" s="52">
        <f t="shared" si="1078"/>
        <v>3.3232118758434348E-2</v>
      </c>
      <c r="AJ337" s="52">
        <f t="shared" si="1078"/>
        <v>2.0408163265306145E-2</v>
      </c>
      <c r="AK337" s="52">
        <f t="shared" si="1078"/>
        <v>2.8716511994396843E-2</v>
      </c>
      <c r="AL337" s="112">
        <f t="shared" si="1078"/>
        <v>2.7638308854582183E-2</v>
      </c>
      <c r="AM337" s="52">
        <f>(1+AM333)/(1+AM334)-1</f>
        <v>-1.4057008980866925E-2</v>
      </c>
      <c r="AN337" s="52">
        <f t="shared" si="1078"/>
        <v>-3.9318479685453989E-3</v>
      </c>
      <c r="AO337" s="52">
        <f t="shared" si="1078"/>
        <v>-1.3586450772380521E-2</v>
      </c>
      <c r="AP337" s="52">
        <f t="shared" si="1078"/>
        <v>-1.6459253311922883E-2</v>
      </c>
      <c r="AQ337" s="112">
        <f t="shared" si="1078"/>
        <v>-1.3143856953868549E-2</v>
      </c>
      <c r="AR337" s="52">
        <f>(1+AR333)/(1+AR334)-1</f>
        <v>-1.7854244440838052E-3</v>
      </c>
      <c r="AS337" s="52">
        <f t="shared" si="1078"/>
        <v>-3.3297529538131032E-2</v>
      </c>
      <c r="AT337" s="52">
        <f t="shared" si="1078"/>
        <v>-3.6095159967186263E-2</v>
      </c>
      <c r="AU337" s="52">
        <f t="shared" si="1078"/>
        <v>-4.0458288578589463E-2</v>
      </c>
      <c r="AV337" s="112">
        <f t="shared" si="1078"/>
        <v>-2.5179025179025261E-2</v>
      </c>
      <c r="AW337" s="52">
        <f>(1+AW333)/(1+AW334)-1</f>
        <v>-4.9133969600565486E-2</v>
      </c>
      <c r="AX337" s="52">
        <f t="shared" si="1078"/>
        <v>-4.1214281855992962E-2</v>
      </c>
      <c r="AY337" s="52">
        <f t="shared" si="1078"/>
        <v>-5.4761074293686707E-2</v>
      </c>
      <c r="AZ337" s="52">
        <f t="shared" si="1078"/>
        <v>-4.0979313956533092E-2</v>
      </c>
      <c r="BA337" s="112">
        <f t="shared" si="1078"/>
        <v>-4.5706482448389263E-2</v>
      </c>
      <c r="BB337" s="52">
        <f>(1+BB333)/(1+BB334)-1</f>
        <v>-2.652636884884374E-2</v>
      </c>
      <c r="BC337" s="52">
        <f t="shared" si="1078"/>
        <v>7.4863595990355414E-3</v>
      </c>
      <c r="BD337" s="52">
        <f t="shared" si="1078"/>
        <v>4.4564291796764133E-2</v>
      </c>
      <c r="BE337" s="52">
        <f t="shared" si="1078"/>
        <v>8.1188809446700372E-2</v>
      </c>
      <c r="BF337" s="112">
        <f>(1+BF333)/(1+BF334)-1</f>
        <v>2.9225078147394834E-2</v>
      </c>
      <c r="BG337" s="52">
        <f>(1+BG333)/(1+BG334)-1</f>
        <v>3.3423077969051862E-2</v>
      </c>
      <c r="BH337" s="52">
        <f>+BH323</f>
        <v>-3.5494309166552052E-2</v>
      </c>
      <c r="BI337" s="114">
        <f>+BI323</f>
        <v>-4.1433262507243551E-2</v>
      </c>
      <c r="BJ337" s="114">
        <f t="shared" ref="BJ337:BS337" si="1079">(1+BJ333)/(1+BJ334)-1</f>
        <v>-5.9298472788208767E-2</v>
      </c>
      <c r="BK337" s="112">
        <f t="shared" si="1079"/>
        <v>-3.0401836230150803E-2</v>
      </c>
      <c r="BL337" s="52">
        <f t="shared" si="1079"/>
        <v>-4.3996710526315819E-2</v>
      </c>
      <c r="BM337" s="52">
        <f t="shared" si="1079"/>
        <v>-2.6288481494292526E-2</v>
      </c>
      <c r="BN337" s="52">
        <f t="shared" si="1079"/>
        <v>-9.9990099990100445E-3</v>
      </c>
      <c r="BO337" s="114">
        <f t="shared" si="1079"/>
        <v>-4.3062200956937802E-2</v>
      </c>
      <c r="BP337" s="112">
        <f t="shared" si="1079"/>
        <v>-3.1516575573376948E-2</v>
      </c>
      <c r="BQ337" s="52">
        <f t="shared" si="1079"/>
        <v>-2.0993343573988632E-2</v>
      </c>
      <c r="BR337" s="52">
        <f t="shared" si="1079"/>
        <v>4.2751270900961647E-2</v>
      </c>
      <c r="BS337" s="52">
        <f t="shared" si="1079"/>
        <v>6.944444444444442E-2</v>
      </c>
      <c r="BT337" s="114">
        <f t="shared" ref="BT337" si="1080">(1+BT333)/(1+BT334)-1</f>
        <v>8.1612586037365098E-2</v>
      </c>
      <c r="BU337" s="112">
        <f t="shared" ref="BU337:BZ337" si="1081">(1+BU333)/(1+BU334)-1</f>
        <v>4.4889745655938951E-2</v>
      </c>
      <c r="BV337" s="52">
        <f t="shared" si="1081"/>
        <v>9.4303186353395629E-2</v>
      </c>
      <c r="BW337" s="52">
        <f t="shared" si="1081"/>
        <v>4.8346623543188416E-2</v>
      </c>
      <c r="BX337" s="52">
        <f t="shared" si="1081"/>
        <v>2.2540677713091428E-2</v>
      </c>
      <c r="BY337" s="114">
        <f t="shared" si="1081"/>
        <v>1.9813519813519864E-2</v>
      </c>
      <c r="BZ337" s="112">
        <f t="shared" si="1081"/>
        <v>4.6385434833080552E-2</v>
      </c>
      <c r="CA337" s="52">
        <f t="shared" ref="CA337:CM337" si="1082">(1+CA333)/(1+CA334)-1</f>
        <v>-4.1811846689895571E-2</v>
      </c>
      <c r="CB337" s="52">
        <f t="shared" si="1082"/>
        <v>-8.3146696528555442E-2</v>
      </c>
      <c r="CC337" s="52">
        <f t="shared" si="1082"/>
        <v>-8.5607743573468675E-2</v>
      </c>
      <c r="CD337" s="114">
        <f t="shared" si="1082"/>
        <v>-7.9831932773109182E-2</v>
      </c>
      <c r="CE337" s="112">
        <f t="shared" si="1082"/>
        <v>-7.3991729289875074E-2</v>
      </c>
      <c r="CF337" s="52">
        <f t="shared" si="1082"/>
        <v>-5.9480251430715891E-2</v>
      </c>
      <c r="CG337" s="52">
        <f t="shared" si="1082"/>
        <v>-3.7593367807600808E-2</v>
      </c>
      <c r="CH337" s="52">
        <f t="shared" si="1082"/>
        <v>-1.7945178465786027E-2</v>
      </c>
      <c r="CI337" s="114">
        <f t="shared" si="1082"/>
        <v>-3.6487788530015552E-2</v>
      </c>
      <c r="CJ337" s="112">
        <f>(1+CJ333)/(1+CJ334)-1</f>
        <v>-3.6982404383099743E-2</v>
      </c>
      <c r="CK337" s="52">
        <f t="shared" si="1082"/>
        <v>-1.3455372557616974E-2</v>
      </c>
      <c r="CL337" s="52">
        <f t="shared" si="1082"/>
        <v>3.7522256171279134E-2</v>
      </c>
      <c r="CM337" s="52">
        <f t="shared" si="1082"/>
        <v>-2.6695015355539864E-2</v>
      </c>
      <c r="CN337" s="52">
        <f>+CN323</f>
        <v>-9.6618357487923134E-3</v>
      </c>
      <c r="CO337" s="112">
        <f>(1+CO333)/(1+CO334)-1</f>
        <v>1.609169792169407E-4</v>
      </c>
      <c r="CP337" s="52">
        <f t="shared" ref="CP337:CR337" si="1083">(1+CP333)/(1+CP334)-1</f>
        <v>5.5555555555555358E-3</v>
      </c>
      <c r="CQ337" s="52">
        <f t="shared" si="1083"/>
        <v>-3.7865128020194705E-3</v>
      </c>
      <c r="CR337" s="52">
        <f t="shared" si="1083"/>
        <v>3.6120680655600923E-2</v>
      </c>
      <c r="CS337" s="52">
        <f>+CS323</f>
        <v>5.8706370196232038E-2</v>
      </c>
      <c r="CT337" s="112">
        <f>(1+CT333)/(1+CT334)-1</f>
        <v>2.1263572493080751E-2</v>
      </c>
      <c r="CU337" s="52">
        <f t="shared" ref="CU337" si="1084">(1+CU333)/(1+CU334)-1</f>
        <v>5.5778400060546351E-2</v>
      </c>
      <c r="CV337" s="52">
        <f>+CV323</f>
        <v>6.0999999999999999E-2</v>
      </c>
      <c r="CW337" s="52">
        <f>+CW323</f>
        <v>0.04</v>
      </c>
      <c r="CX337" s="52">
        <f>+CX323</f>
        <v>2.1000000000000001E-2</v>
      </c>
      <c r="CY337" s="112">
        <f>(1+CY333)/(1+CY334)-1</f>
        <v>4.5858563333942559E-2</v>
      </c>
      <c r="CZ337" s="52">
        <f>+CZ323</f>
        <v>8.9999999999999993E-3</v>
      </c>
      <c r="DA337" s="52">
        <f>+DA323</f>
        <v>0</v>
      </c>
      <c r="DB337" s="52">
        <f>+DB323</f>
        <v>0</v>
      </c>
      <c r="DC337" s="52">
        <f>+DC323</f>
        <v>0</v>
      </c>
      <c r="DD337" s="112">
        <f>(1+DD333)/(1+DD334)-1</f>
        <v>1.9517974221385792E-3</v>
      </c>
      <c r="DE337" s="52">
        <f>+DE323</f>
        <v>0</v>
      </c>
      <c r="DF337" s="52">
        <f>+DF323</f>
        <v>0</v>
      </c>
      <c r="DG337" s="52">
        <f>+DG323</f>
        <v>0</v>
      </c>
      <c r="DH337" s="52">
        <f>+DH323</f>
        <v>0</v>
      </c>
      <c r="DI337" s="112">
        <f>(1+DI333)/(1+DI334)-1</f>
        <v>0</v>
      </c>
    </row>
    <row r="338" spans="1:113" ht="12" hidden="1" customHeight="1" outlineLevel="1">
      <c r="A338" s="219"/>
      <c r="B338" s="17"/>
      <c r="C338" s="79"/>
      <c r="D338" s="6"/>
      <c r="E338" s="79"/>
      <c r="F338" s="6"/>
      <c r="G338" s="79"/>
      <c r="H338" s="6"/>
      <c r="I338" s="79"/>
      <c r="J338" s="6"/>
      <c r="K338" s="79"/>
      <c r="L338" s="6"/>
      <c r="M338" s="79"/>
      <c r="N338" s="6"/>
      <c r="O338" s="79"/>
      <c r="P338" s="6"/>
      <c r="Q338" s="79"/>
      <c r="R338" s="6"/>
      <c r="S338" s="6"/>
      <c r="T338" s="6"/>
      <c r="U338" s="6"/>
      <c r="V338" s="79"/>
      <c r="W338" s="6"/>
      <c r="X338" s="6"/>
      <c r="Y338" s="6"/>
      <c r="Z338" s="6"/>
      <c r="AA338" s="79"/>
      <c r="AB338" s="79"/>
      <c r="AC338" s="6"/>
      <c r="AD338" s="6"/>
      <c r="AE338" s="6"/>
      <c r="AF338" s="6"/>
      <c r="AG338" s="79"/>
      <c r="AH338" s="6"/>
      <c r="AI338" s="6"/>
      <c r="AJ338" s="6"/>
      <c r="AK338" s="6"/>
      <c r="AL338" s="79"/>
      <c r="AM338" s="6"/>
      <c r="AN338" s="6"/>
      <c r="AO338" s="6"/>
      <c r="AP338" s="6"/>
      <c r="AQ338" s="79"/>
      <c r="AR338" s="6"/>
      <c r="AS338" s="6"/>
      <c r="AT338" s="6"/>
      <c r="AU338" s="6"/>
      <c r="AV338" s="79"/>
      <c r="AW338" s="6"/>
      <c r="AX338" s="6"/>
      <c r="AY338" s="6"/>
      <c r="AZ338" s="6"/>
      <c r="BA338" s="79"/>
      <c r="BB338" s="6"/>
      <c r="BC338" s="6"/>
      <c r="BD338" s="6"/>
      <c r="BE338" s="6"/>
      <c r="BF338" s="79"/>
      <c r="BG338" s="6"/>
      <c r="BH338" s="6"/>
      <c r="BI338" s="582"/>
      <c r="BJ338" s="582"/>
      <c r="BK338" s="79"/>
      <c r="BL338" s="6"/>
      <c r="BM338" s="6"/>
      <c r="BN338" s="231"/>
      <c r="BO338" s="231"/>
      <c r="BP338" s="246"/>
      <c r="BQ338" s="231"/>
      <c r="BR338" s="231"/>
      <c r="BS338" s="231"/>
      <c r="BT338" s="49"/>
      <c r="BU338" s="246"/>
      <c r="BV338" s="6"/>
      <c r="BW338" s="6"/>
      <c r="BX338" s="6"/>
      <c r="BY338" s="6"/>
      <c r="BZ338" s="79"/>
      <c r="CA338" s="6"/>
      <c r="CB338" s="6"/>
      <c r="CC338" s="6"/>
      <c r="CD338" s="6"/>
      <c r="CE338" s="79"/>
      <c r="CF338" s="6"/>
      <c r="CG338" s="6"/>
      <c r="CH338" s="6"/>
      <c r="CI338" s="6"/>
      <c r="CJ338" s="79"/>
      <c r="CK338" s="6"/>
      <c r="CL338" s="6"/>
      <c r="CM338" s="6"/>
      <c r="CN338" s="6"/>
      <c r="CO338" s="79"/>
      <c r="CP338" s="6"/>
      <c r="CQ338" s="6"/>
      <c r="CR338" s="6"/>
      <c r="CS338" s="6"/>
      <c r="CT338" s="79"/>
      <c r="CU338" s="6"/>
      <c r="CV338" s="6"/>
      <c r="CW338" s="6"/>
      <c r="CX338" s="6"/>
      <c r="CY338" s="79"/>
      <c r="CZ338" s="6"/>
      <c r="DA338" s="6"/>
      <c r="DB338" s="6"/>
      <c r="DC338" s="6"/>
      <c r="DD338" s="79"/>
      <c r="DE338" s="6"/>
      <c r="DF338" s="6"/>
      <c r="DG338" s="6"/>
      <c r="DH338" s="6"/>
      <c r="DI338" s="79"/>
    </row>
    <row r="339" spans="1:113" s="7" customFormat="1" ht="12" hidden="1" customHeight="1" outlineLevel="1">
      <c r="A339" s="239" t="str">
        <f t="shared" si="1040"/>
        <v xml:space="preserve"> </v>
      </c>
      <c r="B339" s="20" t="s">
        <v>97</v>
      </c>
      <c r="C339" s="36"/>
      <c r="D339" s="43"/>
      <c r="E339" s="36"/>
      <c r="F339" s="43"/>
      <c r="G339" s="36"/>
      <c r="H339" s="43"/>
      <c r="I339" s="36"/>
      <c r="J339" s="43"/>
      <c r="K339" s="36"/>
      <c r="L339" s="43"/>
      <c r="M339" s="36"/>
      <c r="N339" s="43"/>
      <c r="O339" s="36"/>
      <c r="P339" s="43"/>
      <c r="Q339" s="36"/>
      <c r="R339" s="43">
        <v>32</v>
      </c>
      <c r="S339" s="43">
        <v>27</v>
      </c>
      <c r="T339" s="43">
        <v>20</v>
      </c>
      <c r="U339" s="43">
        <v>28</v>
      </c>
      <c r="V339" s="36">
        <f>SUM(R339:U339)</f>
        <v>107</v>
      </c>
      <c r="W339" s="43">
        <v>37</v>
      </c>
      <c r="X339" s="43">
        <v>29</v>
      </c>
      <c r="Y339" s="43">
        <v>24</v>
      </c>
      <c r="Z339" s="43">
        <v>35</v>
      </c>
      <c r="AA339" s="36">
        <f>SUM(W339:Z339)</f>
        <v>125</v>
      </c>
      <c r="AB339" s="36"/>
      <c r="AC339" s="43">
        <v>39</v>
      </c>
      <c r="AD339" s="43">
        <v>30</v>
      </c>
      <c r="AE339" s="43">
        <v>32</v>
      </c>
      <c r="AF339" s="43">
        <v>38</v>
      </c>
      <c r="AG339" s="36">
        <f>SUM(AC339:AF339)</f>
        <v>139</v>
      </c>
      <c r="AH339" s="43">
        <v>36</v>
      </c>
      <c r="AI339" s="43">
        <v>26</v>
      </c>
      <c r="AJ339" s="43">
        <v>31</v>
      </c>
      <c r="AK339" s="43">
        <v>33</v>
      </c>
      <c r="AL339" s="36">
        <f>SUM(AH339:AK339)</f>
        <v>126</v>
      </c>
      <c r="AM339" s="43">
        <v>37</v>
      </c>
      <c r="AN339" s="43">
        <v>29</v>
      </c>
      <c r="AO339" s="43">
        <v>27</v>
      </c>
      <c r="AP339" s="43">
        <v>33</v>
      </c>
      <c r="AQ339" s="36">
        <f>SUM(AM339:AP339)</f>
        <v>126</v>
      </c>
      <c r="AR339" s="43">
        <v>41</v>
      </c>
      <c r="AS339" s="43">
        <v>32</v>
      </c>
      <c r="AT339" s="43">
        <v>28</v>
      </c>
      <c r="AU339" s="43">
        <v>30</v>
      </c>
      <c r="AV339" s="36">
        <f>SUM(AR339:AU339)</f>
        <v>131</v>
      </c>
      <c r="AW339" s="43">
        <v>41</v>
      </c>
      <c r="AX339" s="43">
        <v>31</v>
      </c>
      <c r="AY339" s="43">
        <v>28</v>
      </c>
      <c r="AZ339" s="43">
        <v>29</v>
      </c>
      <c r="BA339" s="36">
        <f>SUM(AW339:AZ339)</f>
        <v>129</v>
      </c>
      <c r="BB339" s="43">
        <v>38</v>
      </c>
      <c r="BC339" s="43">
        <v>32</v>
      </c>
      <c r="BD339" s="43">
        <v>29</v>
      </c>
      <c r="BE339" s="43">
        <v>31</v>
      </c>
      <c r="BF339" s="36">
        <f>SUM(BB339:BE339)</f>
        <v>130</v>
      </c>
      <c r="BG339" s="43">
        <v>41</v>
      </c>
      <c r="BH339" s="43">
        <v>32</v>
      </c>
      <c r="BI339" s="369">
        <v>29</v>
      </c>
      <c r="BJ339" s="369">
        <v>36</v>
      </c>
      <c r="BK339" s="36">
        <f>SUM(BG339:BJ339)</f>
        <v>138</v>
      </c>
      <c r="BL339" s="43">
        <v>50</v>
      </c>
      <c r="BM339" s="43">
        <v>37</v>
      </c>
      <c r="BN339" s="43">
        <v>31</v>
      </c>
      <c r="BO339" s="43">
        <v>30</v>
      </c>
      <c r="BP339" s="36">
        <f>SUM(BL339:BO339)</f>
        <v>148</v>
      </c>
      <c r="BQ339" s="43">
        <v>51</v>
      </c>
      <c r="BR339" s="43">
        <v>50</v>
      </c>
      <c r="BS339" s="43">
        <v>49</v>
      </c>
      <c r="BT339" s="43">
        <v>45</v>
      </c>
      <c r="BU339" s="36">
        <f>SUM(BQ339:BT339)</f>
        <v>195</v>
      </c>
      <c r="BV339" s="43">
        <v>57</v>
      </c>
      <c r="BW339" s="43">
        <v>45</v>
      </c>
      <c r="BX339" s="43">
        <v>58</v>
      </c>
      <c r="BY339" s="43">
        <v>33</v>
      </c>
      <c r="BZ339" s="36">
        <f>SUM(BV339:BY339)</f>
        <v>193</v>
      </c>
      <c r="CA339" s="43">
        <v>49</v>
      </c>
      <c r="CB339" s="43">
        <v>25</v>
      </c>
      <c r="CC339" s="43">
        <v>37</v>
      </c>
      <c r="CD339" s="369">
        <v>36</v>
      </c>
      <c r="CE339" s="36">
        <f>SUM(CA339:CD339)</f>
        <v>147</v>
      </c>
      <c r="CF339" s="43">
        <v>47</v>
      </c>
      <c r="CG339" s="43">
        <v>33</v>
      </c>
      <c r="CH339" s="369">
        <v>39</v>
      </c>
      <c r="CI339" s="369">
        <v>46</v>
      </c>
      <c r="CJ339" s="36">
        <f>SUM(CF339:CI339)</f>
        <v>165</v>
      </c>
      <c r="CK339" s="43">
        <v>60</v>
      </c>
      <c r="CL339" s="43">
        <v>36</v>
      </c>
      <c r="CM339" s="43">
        <v>39</v>
      </c>
      <c r="CN339" s="43">
        <v>30</v>
      </c>
      <c r="CO339" s="36">
        <f>SUM(CK339:CN339)</f>
        <v>165</v>
      </c>
      <c r="CP339" s="43">
        <v>41</v>
      </c>
      <c r="CQ339" s="43">
        <v>27</v>
      </c>
      <c r="CR339" s="43">
        <v>31</v>
      </c>
      <c r="CS339" s="43">
        <v>25</v>
      </c>
      <c r="CT339" s="36">
        <f>SUM(CP339:CS339)</f>
        <v>124</v>
      </c>
      <c r="CU339" s="43">
        <v>35</v>
      </c>
      <c r="CV339" s="43">
        <f>CQ339*(1+CV341)*(1+CV342)</f>
        <v>21.485250000000001</v>
      </c>
      <c r="CW339" s="43">
        <f>CR339*(1+CW341)*(1+CW342)</f>
        <v>22.245599999999996</v>
      </c>
      <c r="CX339" s="43">
        <f>CS339*(1+CX341)*(1+CX342)</f>
        <v>17.61225</v>
      </c>
      <c r="CY339" s="36">
        <f>SUM(CU339:CX339)</f>
        <v>96.343100000000007</v>
      </c>
      <c r="CZ339" s="43">
        <f>CU339*(1+CZ341)*(1+CZ342)</f>
        <v>26.486249999999998</v>
      </c>
      <c r="DA339" s="43">
        <f>CV339*(1+DA341)*(1+DA342)</f>
        <v>17.188200000000002</v>
      </c>
      <c r="DB339" s="43">
        <f>CW339*(1+DB341)*(1+DB342)</f>
        <v>20.465951999999998</v>
      </c>
      <c r="DC339" s="43">
        <f>CX339*(1+DC341)*(1+DC342)</f>
        <v>16.20327</v>
      </c>
      <c r="DD339" s="36">
        <f>SUM(CZ339:DC339)</f>
        <v>80.343671999999998</v>
      </c>
      <c r="DE339" s="43">
        <f>CZ339*(1+DE341)*(1+DE342)</f>
        <v>26.221387499999999</v>
      </c>
      <c r="DF339" s="43">
        <f>DA339*(1+DF341)*(1+DF342)</f>
        <v>17.016318000000002</v>
      </c>
      <c r="DG339" s="43">
        <f>DB339*(1+DG341)*(1+DG342)</f>
        <v>20.465951999999998</v>
      </c>
      <c r="DH339" s="43">
        <f>DC339*(1+DH341)*(1+DH342)</f>
        <v>16.20327</v>
      </c>
      <c r="DI339" s="36">
        <f>SUM(DE339:DH339)</f>
        <v>79.906927500000009</v>
      </c>
    </row>
    <row r="340" spans="1:113" ht="12" hidden="1" customHeight="1" outlineLevel="1">
      <c r="A340" s="219" t="str">
        <f t="shared" si="1040"/>
        <v xml:space="preserve"> </v>
      </c>
      <c r="B340" s="491" t="s">
        <v>171</v>
      </c>
      <c r="C340" s="492"/>
      <c r="D340" s="522"/>
      <c r="E340" s="492"/>
      <c r="F340" s="522"/>
      <c r="G340" s="492"/>
      <c r="H340" s="522"/>
      <c r="I340" s="492"/>
      <c r="J340" s="522"/>
      <c r="K340" s="492"/>
      <c r="L340" s="522"/>
      <c r="M340" s="492"/>
      <c r="N340" s="522"/>
      <c r="O340" s="492"/>
      <c r="P340" s="522"/>
      <c r="Q340" s="492"/>
      <c r="R340" s="378" t="s">
        <v>126</v>
      </c>
      <c r="S340" s="522" t="s">
        <v>126</v>
      </c>
      <c r="T340" s="522" t="s">
        <v>126</v>
      </c>
      <c r="U340" s="522" t="s">
        <v>126</v>
      </c>
      <c r="V340" s="492" t="s">
        <v>126</v>
      </c>
      <c r="W340" s="52">
        <f>+W339/R339-1</f>
        <v>0.15625</v>
      </c>
      <c r="X340" s="52">
        <f>+X339/S339-1</f>
        <v>7.4074074074074181E-2</v>
      </c>
      <c r="Y340" s="52">
        <f>+Y339/T339-1</f>
        <v>0.19999999999999996</v>
      </c>
      <c r="Z340" s="52">
        <f>+Z339/U339-1</f>
        <v>0.25</v>
      </c>
      <c r="AA340" s="112">
        <f>+AA339/V339-1</f>
        <v>0.16822429906542058</v>
      </c>
      <c r="AB340" s="112"/>
      <c r="AC340" s="52">
        <f>+AC339/W339-1</f>
        <v>5.4054054054053946E-2</v>
      </c>
      <c r="AD340" s="52">
        <f>+AD339/X339-1</f>
        <v>3.4482758620689724E-2</v>
      </c>
      <c r="AE340" s="52">
        <f>+AE339/Y339-1</f>
        <v>0.33333333333333326</v>
      </c>
      <c r="AF340" s="52">
        <f>+AF339/Z339-1</f>
        <v>8.5714285714285632E-2</v>
      </c>
      <c r="AG340" s="112">
        <f>+AG339/AA339-1</f>
        <v>0.1120000000000001</v>
      </c>
      <c r="AH340" s="52">
        <f t="shared" ref="AH340:BP340" si="1085">+AH339/AC339-1</f>
        <v>-7.6923076923076872E-2</v>
      </c>
      <c r="AI340" s="52">
        <f t="shared" si="1085"/>
        <v>-0.1333333333333333</v>
      </c>
      <c r="AJ340" s="52">
        <f t="shared" si="1085"/>
        <v>-3.125E-2</v>
      </c>
      <c r="AK340" s="52">
        <f t="shared" si="1085"/>
        <v>-0.13157894736842102</v>
      </c>
      <c r="AL340" s="112">
        <f t="shared" si="1085"/>
        <v>-9.3525179856115082E-2</v>
      </c>
      <c r="AM340" s="52">
        <f t="shared" si="1085"/>
        <v>2.7777777777777679E-2</v>
      </c>
      <c r="AN340" s="52">
        <f t="shared" si="1085"/>
        <v>0.11538461538461542</v>
      </c>
      <c r="AO340" s="52">
        <f t="shared" si="1085"/>
        <v>-0.12903225806451613</v>
      </c>
      <c r="AP340" s="52">
        <f t="shared" si="1085"/>
        <v>0</v>
      </c>
      <c r="AQ340" s="112">
        <f t="shared" si="1085"/>
        <v>0</v>
      </c>
      <c r="AR340" s="52">
        <f t="shared" si="1085"/>
        <v>0.10810810810810811</v>
      </c>
      <c r="AS340" s="52">
        <f t="shared" si="1085"/>
        <v>0.10344827586206895</v>
      </c>
      <c r="AT340" s="52">
        <f t="shared" si="1085"/>
        <v>3.7037037037036979E-2</v>
      </c>
      <c r="AU340" s="52">
        <f t="shared" si="1085"/>
        <v>-9.0909090909090939E-2</v>
      </c>
      <c r="AV340" s="112">
        <f t="shared" si="1085"/>
        <v>3.9682539682539764E-2</v>
      </c>
      <c r="AW340" s="52">
        <f t="shared" si="1085"/>
        <v>0</v>
      </c>
      <c r="AX340" s="52">
        <f t="shared" si="1085"/>
        <v>-3.125E-2</v>
      </c>
      <c r="AY340" s="52">
        <f t="shared" si="1085"/>
        <v>0</v>
      </c>
      <c r="AZ340" s="52">
        <f t="shared" si="1085"/>
        <v>-3.3333333333333326E-2</v>
      </c>
      <c r="BA340" s="112">
        <f t="shared" si="1085"/>
        <v>-1.5267175572519109E-2</v>
      </c>
      <c r="BB340" s="52">
        <f t="shared" si="1085"/>
        <v>-7.3170731707317027E-2</v>
      </c>
      <c r="BC340" s="52">
        <f t="shared" si="1085"/>
        <v>3.2258064516129004E-2</v>
      </c>
      <c r="BD340" s="52">
        <f t="shared" si="1085"/>
        <v>3.5714285714285809E-2</v>
      </c>
      <c r="BE340" s="52">
        <f t="shared" si="1085"/>
        <v>6.8965517241379226E-2</v>
      </c>
      <c r="BF340" s="112">
        <f t="shared" si="1085"/>
        <v>7.7519379844961378E-3</v>
      </c>
      <c r="BG340" s="52">
        <f t="shared" si="1085"/>
        <v>7.8947368421052655E-2</v>
      </c>
      <c r="BH340" s="52">
        <f t="shared" si="1085"/>
        <v>0</v>
      </c>
      <c r="BI340" s="114">
        <f t="shared" si="1085"/>
        <v>0</v>
      </c>
      <c r="BJ340" s="114">
        <f t="shared" si="1085"/>
        <v>0.16129032258064524</v>
      </c>
      <c r="BK340" s="112">
        <f t="shared" si="1085"/>
        <v>6.1538461538461542E-2</v>
      </c>
      <c r="BL340" s="52">
        <f t="shared" si="1085"/>
        <v>0.21951219512195119</v>
      </c>
      <c r="BM340" s="52">
        <f t="shared" si="1085"/>
        <v>0.15625</v>
      </c>
      <c r="BN340" s="52">
        <f t="shared" si="1085"/>
        <v>6.8965517241379226E-2</v>
      </c>
      <c r="BO340" s="52">
        <f t="shared" si="1085"/>
        <v>-0.16666666666666663</v>
      </c>
      <c r="BP340" s="112">
        <f t="shared" si="1085"/>
        <v>7.2463768115942129E-2</v>
      </c>
      <c r="BQ340" s="52">
        <f t="shared" ref="BQ340:BZ340" si="1086">+BQ339/BL339-1</f>
        <v>2.0000000000000018E-2</v>
      </c>
      <c r="BR340" s="52">
        <f t="shared" si="1086"/>
        <v>0.35135135135135132</v>
      </c>
      <c r="BS340" s="52">
        <f t="shared" si="1086"/>
        <v>0.58064516129032251</v>
      </c>
      <c r="BT340" s="52">
        <f t="shared" si="1086"/>
        <v>0.5</v>
      </c>
      <c r="BU340" s="112">
        <f t="shared" si="1086"/>
        <v>0.31756756756756754</v>
      </c>
      <c r="BV340" s="52">
        <f t="shared" si="1086"/>
        <v>0.11764705882352944</v>
      </c>
      <c r="BW340" s="52">
        <f t="shared" si="1086"/>
        <v>-9.9999999999999978E-2</v>
      </c>
      <c r="BX340" s="52">
        <f t="shared" si="1086"/>
        <v>0.18367346938775508</v>
      </c>
      <c r="BY340" s="52">
        <f t="shared" si="1086"/>
        <v>-0.26666666666666672</v>
      </c>
      <c r="BZ340" s="112">
        <f t="shared" si="1086"/>
        <v>-1.025641025641022E-2</v>
      </c>
      <c r="CA340" s="52">
        <f t="shared" ref="CA340" si="1087">+CA339/BV339-1</f>
        <v>-0.14035087719298245</v>
      </c>
      <c r="CB340" s="52">
        <f t="shared" ref="CB340:CD340" si="1088">+CB339/BW339-1</f>
        <v>-0.44444444444444442</v>
      </c>
      <c r="CC340" s="52">
        <f t="shared" si="1088"/>
        <v>-0.36206896551724133</v>
      </c>
      <c r="CD340" s="52">
        <f t="shared" si="1088"/>
        <v>9.0909090909090828E-2</v>
      </c>
      <c r="CE340" s="112">
        <f t="shared" ref="CE340" si="1089">+CE339/BZ339-1</f>
        <v>-0.23834196891191706</v>
      </c>
      <c r="CF340" s="52">
        <f t="shared" ref="CF340" si="1090">+CF339/CA339-1</f>
        <v>-4.081632653061229E-2</v>
      </c>
      <c r="CG340" s="52">
        <f t="shared" ref="CG340:CH340" si="1091">+CG339/CB339-1</f>
        <v>0.32000000000000006</v>
      </c>
      <c r="CH340" s="52">
        <f t="shared" si="1091"/>
        <v>5.4054054054053946E-2</v>
      </c>
      <c r="CI340" s="114">
        <f t="shared" ref="CI340" si="1092">+CI339/CD339-1</f>
        <v>0.27777777777777768</v>
      </c>
      <c r="CJ340" s="112">
        <f t="shared" ref="CJ340" si="1093">+CJ339/CE339-1</f>
        <v>0.12244897959183665</v>
      </c>
      <c r="CK340" s="52">
        <f t="shared" ref="CK340:CM340" si="1094">+CK339/CF339-1</f>
        <v>0.27659574468085113</v>
      </c>
      <c r="CL340" s="52">
        <f t="shared" si="1094"/>
        <v>9.0909090909090828E-2</v>
      </c>
      <c r="CM340" s="52">
        <f t="shared" si="1094"/>
        <v>0</v>
      </c>
      <c r="CN340" s="52">
        <f t="shared" ref="CN340" si="1095">+CN339/CI339-1</f>
        <v>-0.34782608695652173</v>
      </c>
      <c r="CO340" s="112">
        <f t="shared" ref="CO340:CR340" si="1096">+CO339/CJ339-1</f>
        <v>0</v>
      </c>
      <c r="CP340" s="52">
        <f t="shared" si="1096"/>
        <v>-0.31666666666666665</v>
      </c>
      <c r="CQ340" s="52">
        <f t="shared" si="1096"/>
        <v>-0.25</v>
      </c>
      <c r="CR340" s="52">
        <f t="shared" si="1096"/>
        <v>-0.20512820512820518</v>
      </c>
      <c r="CS340" s="52">
        <f t="shared" ref="CS340" si="1097">+CS339/CN339-1</f>
        <v>-0.16666666666666663</v>
      </c>
      <c r="CT340" s="112">
        <f t="shared" ref="CT340" si="1098">+CT339/CO339-1</f>
        <v>-0.24848484848484853</v>
      </c>
      <c r="CU340" s="52">
        <f t="shared" ref="CU340" si="1099">+CU339/CP339-1</f>
        <v>-0.14634146341463417</v>
      </c>
      <c r="CV340" s="52">
        <f t="shared" ref="CV340" si="1100">+CV339/CQ339-1</f>
        <v>-0.20424999999999993</v>
      </c>
      <c r="CW340" s="52">
        <f t="shared" ref="CW340" si="1101">+CW339/CR339-1</f>
        <v>-0.2824000000000001</v>
      </c>
      <c r="CX340" s="52">
        <f t="shared" ref="CX340" si="1102">+CX339/CS339-1</f>
        <v>-0.29551000000000005</v>
      </c>
      <c r="CY340" s="112">
        <f t="shared" ref="CY340" si="1103">+CY339/CT339-1</f>
        <v>-0.22303951612903217</v>
      </c>
      <c r="CZ340" s="52">
        <f t="shared" ref="CZ340" si="1104">+CZ339/CU339-1</f>
        <v>-0.24325000000000008</v>
      </c>
      <c r="DA340" s="52">
        <f t="shared" ref="DA340" si="1105">+DA339/CV339-1</f>
        <v>-0.19999999999999996</v>
      </c>
      <c r="DB340" s="52">
        <f t="shared" ref="DB340" si="1106">+DB339/CW339-1</f>
        <v>-7.999999999999996E-2</v>
      </c>
      <c r="DC340" s="52">
        <f t="shared" ref="DC340" si="1107">+DC339/CX339-1</f>
        <v>-7.999999999999996E-2</v>
      </c>
      <c r="DD340" s="112">
        <f t="shared" ref="DD340" si="1108">+DD339/CY339-1</f>
        <v>-0.16606719111176627</v>
      </c>
      <c r="DE340" s="52">
        <f t="shared" ref="DE340" si="1109">+DE339/CZ339-1</f>
        <v>-1.0000000000000009E-2</v>
      </c>
      <c r="DF340" s="52">
        <f t="shared" ref="DF340" si="1110">+DF339/DA339-1</f>
        <v>-1.0000000000000009E-2</v>
      </c>
      <c r="DG340" s="52">
        <f t="shared" ref="DG340" si="1111">+DG339/DB339-1</f>
        <v>0</v>
      </c>
      <c r="DH340" s="52">
        <f t="shared" ref="DH340" si="1112">+DH339/DC339-1</f>
        <v>0</v>
      </c>
      <c r="DI340" s="112">
        <f t="shared" ref="DI340" si="1113">+DI339/DD339-1</f>
        <v>-5.4359539354883468E-3</v>
      </c>
    </row>
    <row r="341" spans="1:113" s="529" customFormat="1" ht="12" hidden="1" customHeight="1" outlineLevel="1">
      <c r="A341" s="219" t="str">
        <f t="shared" si="1040"/>
        <v xml:space="preserve"> </v>
      </c>
      <c r="B341" s="526" t="s">
        <v>173</v>
      </c>
      <c r="C341" s="112"/>
      <c r="D341" s="52"/>
      <c r="E341" s="112"/>
      <c r="F341" s="52"/>
      <c r="G341" s="112"/>
      <c r="H341" s="52"/>
      <c r="I341" s="112"/>
      <c r="J341" s="52"/>
      <c r="K341" s="112"/>
      <c r="L341" s="52"/>
      <c r="M341" s="112"/>
      <c r="N341" s="52"/>
      <c r="O341" s="112"/>
      <c r="P341" s="52"/>
      <c r="Q341" s="112"/>
      <c r="R341" s="52">
        <v>0.1</v>
      </c>
      <c r="S341" s="52">
        <v>0.13</v>
      </c>
      <c r="T341" s="52">
        <v>-0.23</v>
      </c>
      <c r="U341" s="52">
        <v>0</v>
      </c>
      <c r="V341" s="232" t="s">
        <v>126</v>
      </c>
      <c r="W341" s="52">
        <v>0.08</v>
      </c>
      <c r="X341" s="52">
        <v>0.04</v>
      </c>
      <c r="Y341" s="52">
        <v>0.09</v>
      </c>
      <c r="Z341" s="52">
        <v>0.24</v>
      </c>
      <c r="AA341" s="232" t="s">
        <v>126</v>
      </c>
      <c r="AB341" s="232"/>
      <c r="AC341" s="52">
        <v>0</v>
      </c>
      <c r="AD341" s="52">
        <v>-0.02</v>
      </c>
      <c r="AE341" s="52">
        <v>0.22</v>
      </c>
      <c r="AF341" s="52">
        <v>-0.02</v>
      </c>
      <c r="AG341" s="112">
        <v>0.04</v>
      </c>
      <c r="AH341" s="52">
        <v>-0.11</v>
      </c>
      <c r="AI341" s="52">
        <v>-0.15</v>
      </c>
      <c r="AJ341" s="52">
        <v>-7.0000000000000007E-2</v>
      </c>
      <c r="AK341" s="52">
        <v>-0.11210526315789478</v>
      </c>
      <c r="AL341" s="112">
        <v>-0.11</v>
      </c>
      <c r="AM341" s="52">
        <v>0.04</v>
      </c>
      <c r="AN341" s="52">
        <v>0.12</v>
      </c>
      <c r="AO341" s="52">
        <v>-0.04</v>
      </c>
      <c r="AP341" s="52">
        <v>0</v>
      </c>
      <c r="AQ341" s="112">
        <v>0.01</v>
      </c>
      <c r="AR341" s="52">
        <v>0.11</v>
      </c>
      <c r="AS341" s="52">
        <v>0.14000000000000001</v>
      </c>
      <c r="AT341" s="52">
        <v>0.04</v>
      </c>
      <c r="AU341" s="52">
        <v>0.01</v>
      </c>
      <c r="AV341" s="112">
        <v>7.0000000000000007E-2</v>
      </c>
      <c r="AW341" s="52">
        <v>0.04</v>
      </c>
      <c r="AX341" s="52">
        <v>0.03</v>
      </c>
      <c r="AY341" s="52">
        <v>7.0000000000000007E-2</v>
      </c>
      <c r="AZ341" s="52">
        <v>-0.03</v>
      </c>
      <c r="BA341" s="112">
        <v>0.03</v>
      </c>
      <c r="BB341" s="52">
        <v>-0.03</v>
      </c>
      <c r="BC341" s="52">
        <v>0</v>
      </c>
      <c r="BD341" s="52">
        <v>-0.04</v>
      </c>
      <c r="BE341" s="114">
        <v>0.02</v>
      </c>
      <c r="BF341" s="112">
        <f>SUMPRODUCT(BB341:BE341,AW339:AZ339)/BA339</f>
        <v>-1.372093023255814E-2</v>
      </c>
      <c r="BG341" s="114">
        <v>0.02</v>
      </c>
      <c r="BH341" s="114">
        <v>0.05</v>
      </c>
      <c r="BI341" s="114">
        <v>0.08</v>
      </c>
      <c r="BJ341" s="114">
        <v>0.2</v>
      </c>
      <c r="BK341" s="112">
        <f>SUMPRODUCT(BG341:BJ341,BB339:BE339)/BF339</f>
        <v>8.3692307692307691E-2</v>
      </c>
      <c r="BL341" s="114">
        <v>0.28999999999999998</v>
      </c>
      <c r="BM341" s="114">
        <v>0.2</v>
      </c>
      <c r="BN341" s="114">
        <v>0.03</v>
      </c>
      <c r="BO341" s="114">
        <v>-0.09</v>
      </c>
      <c r="BP341" s="112">
        <f>SUMPRODUCT(BL341:BO341,BG339:BJ339)/BK339</f>
        <v>0.11536231884057971</v>
      </c>
      <c r="BQ341" s="114">
        <v>0.03</v>
      </c>
      <c r="BR341" s="114">
        <v>0.28999999999999998</v>
      </c>
      <c r="BS341" s="114">
        <v>0.53</v>
      </c>
      <c r="BT341" s="114">
        <v>0.34</v>
      </c>
      <c r="BU341" s="112">
        <f>SUMPRODUCT(BQ341:BT341,BL339:BO339)/BP339</f>
        <v>0.26256756756756755</v>
      </c>
      <c r="BV341" s="114">
        <v>0.03</v>
      </c>
      <c r="BW341" s="114">
        <v>-0.15</v>
      </c>
      <c r="BX341" s="114">
        <v>0.15</v>
      </c>
      <c r="BY341" s="114">
        <v>-0.28000000000000003</v>
      </c>
      <c r="BZ341" s="112">
        <f>SUMPRODUCT(BV341:BY341,BQ339:BT339)/BU339</f>
        <v>-5.7538461538461552E-2</v>
      </c>
      <c r="CA341" s="114">
        <v>-0.1</v>
      </c>
      <c r="CB341" s="114">
        <v>-0.39</v>
      </c>
      <c r="CC341" s="114">
        <v>-0.31</v>
      </c>
      <c r="CD341" s="114">
        <v>0.19</v>
      </c>
      <c r="CE341" s="112">
        <f>SUMPRODUCT(CA341:CD341,BV339:BY339)/BZ339</f>
        <v>-0.181139896373057</v>
      </c>
      <c r="CF341" s="114">
        <v>0.02</v>
      </c>
      <c r="CG341" s="114">
        <v>0.36</v>
      </c>
      <c r="CH341" s="114">
        <v>0.09</v>
      </c>
      <c r="CI341" s="114">
        <v>0.32</v>
      </c>
      <c r="CJ341" s="112">
        <f>SUMPRODUCT(CF341:CI341,CA339:CD339)/CE339</f>
        <v>0.16891156462585033</v>
      </c>
      <c r="CK341" s="114">
        <v>0.28999999999999998</v>
      </c>
      <c r="CL341" s="114">
        <v>0.09</v>
      </c>
      <c r="CM341" s="114">
        <v>-0.01</v>
      </c>
      <c r="CN341" s="114">
        <v>-0.33</v>
      </c>
      <c r="CO341" s="112">
        <f>SUMPRODUCT(CK341:CN341,CF339:CI339)/CJ339</f>
        <v>6.2424242424242169E-3</v>
      </c>
      <c r="CP341" s="114">
        <v>-0.33</v>
      </c>
      <c r="CQ341" s="114">
        <v>-0.24</v>
      </c>
      <c r="CR341" s="114">
        <v>-0.22</v>
      </c>
      <c r="CS341" s="114">
        <v>-0.21</v>
      </c>
      <c r="CT341" s="112">
        <f>SUMPRODUCT(CP341:CS341,CK339:CN339)/CO339</f>
        <v>-0.26254545454545453</v>
      </c>
      <c r="CU341" s="114">
        <v>-0.18</v>
      </c>
      <c r="CV341" s="53">
        <v>-0.25</v>
      </c>
      <c r="CW341" s="53">
        <f>-5%-14%-12%</f>
        <v>-0.31</v>
      </c>
      <c r="CX341" s="53">
        <f>-5%-14%-12%</f>
        <v>-0.31</v>
      </c>
      <c r="CY341" s="112">
        <f>SUMPRODUCT(CU341:CX341,CP339:CS339)/CT339</f>
        <v>-0.25395161290322582</v>
      </c>
      <c r="CZ341" s="53">
        <v>-0.25</v>
      </c>
      <c r="DA341" s="53">
        <v>-0.2</v>
      </c>
      <c r="DB341" s="53">
        <v>-0.08</v>
      </c>
      <c r="DC341" s="53">
        <v>-0.08</v>
      </c>
      <c r="DD341" s="112">
        <f>SUMPRODUCT(CZ341:DC341,CU339:CX339)/CY339</f>
        <v>-0.16851936464572967</v>
      </c>
      <c r="DE341" s="53">
        <v>-0.01</v>
      </c>
      <c r="DF341" s="53">
        <v>-0.01</v>
      </c>
      <c r="DG341" s="53">
        <v>0</v>
      </c>
      <c r="DH341" s="53">
        <v>0</v>
      </c>
      <c r="DI341" s="112">
        <f>SUMPRODUCT(DE341:DH341,CZ339:DC339)/DD339</f>
        <v>-5.435953935488535E-3</v>
      </c>
    </row>
    <row r="342" spans="1:113" ht="12" hidden="1" customHeight="1" outlineLevel="1">
      <c r="A342" s="219" t="str">
        <f t="shared" si="1040"/>
        <v xml:space="preserve"> </v>
      </c>
      <c r="B342" s="491" t="s">
        <v>141</v>
      </c>
      <c r="C342" s="492"/>
      <c r="D342" s="522"/>
      <c r="E342" s="492"/>
      <c r="F342" s="522"/>
      <c r="G342" s="492"/>
      <c r="H342" s="522"/>
      <c r="I342" s="492"/>
      <c r="J342" s="522"/>
      <c r="K342" s="492"/>
      <c r="L342" s="522"/>
      <c r="M342" s="492"/>
      <c r="N342" s="522"/>
      <c r="O342" s="492"/>
      <c r="P342" s="522"/>
      <c r="Q342" s="492"/>
      <c r="R342" s="399" t="s">
        <v>126</v>
      </c>
      <c r="S342" s="376" t="s">
        <v>126</v>
      </c>
      <c r="T342" s="376" t="s">
        <v>126</v>
      </c>
      <c r="U342" s="376" t="s">
        <v>126</v>
      </c>
      <c r="V342" s="375" t="s">
        <v>126</v>
      </c>
      <c r="W342" s="52">
        <f>(1+W340)/(1+W341)-1</f>
        <v>7.060185185185186E-2</v>
      </c>
      <c r="X342" s="52">
        <f>(1+X340)/(1+X341)-1</f>
        <v>3.2763532763532721E-2</v>
      </c>
      <c r="Y342" s="52">
        <f>(1+Y340)/(1+Y341)-1</f>
        <v>0.10091743119266039</v>
      </c>
      <c r="Z342" s="52">
        <f>(1+Z340)/(1+Z341)-1</f>
        <v>8.0645161290322509E-3</v>
      </c>
      <c r="AA342" s="232" t="s">
        <v>126</v>
      </c>
      <c r="AB342" s="232"/>
      <c r="AC342" s="52">
        <f t="shared" ref="AC342:BG342" si="1114">(1+AC340)/(1+AC341)-1</f>
        <v>5.4054054054053946E-2</v>
      </c>
      <c r="AD342" s="52">
        <f t="shared" si="1114"/>
        <v>5.5594651653765093E-2</v>
      </c>
      <c r="AE342" s="52">
        <f t="shared" si="1114"/>
        <v>9.2896174863387859E-2</v>
      </c>
      <c r="AF342" s="52">
        <f t="shared" si="1114"/>
        <v>0.10787172011661794</v>
      </c>
      <c r="AG342" s="112">
        <f t="shared" si="1114"/>
        <v>6.9230769230769207E-2</v>
      </c>
      <c r="AH342" s="52">
        <f t="shared" si="1114"/>
        <v>3.7165082108902459E-2</v>
      </c>
      <c r="AI342" s="52">
        <f t="shared" si="1114"/>
        <v>1.9607843137255054E-2</v>
      </c>
      <c r="AJ342" s="52">
        <f t="shared" si="1114"/>
        <v>4.1666666666666741E-2</v>
      </c>
      <c r="AK342" s="52">
        <f t="shared" si="1114"/>
        <v>-2.19324244220509E-2</v>
      </c>
      <c r="AL342" s="112">
        <f t="shared" si="1114"/>
        <v>1.8511033869533566E-2</v>
      </c>
      <c r="AM342" s="52">
        <f t="shared" si="1114"/>
        <v>-1.1752136752136932E-2</v>
      </c>
      <c r="AN342" s="52">
        <f t="shared" si="1114"/>
        <v>-4.1208791208792173E-3</v>
      </c>
      <c r="AO342" s="52">
        <f t="shared" si="1114"/>
        <v>-9.2741935483870885E-2</v>
      </c>
      <c r="AP342" s="52">
        <f t="shared" si="1114"/>
        <v>0</v>
      </c>
      <c r="AQ342" s="112">
        <f t="shared" si="1114"/>
        <v>-9.9009900990099098E-3</v>
      </c>
      <c r="AR342" s="52">
        <f t="shared" si="1114"/>
        <v>-1.7044071098125668E-3</v>
      </c>
      <c r="AS342" s="52">
        <f t="shared" si="1114"/>
        <v>-3.206291591046595E-2</v>
      </c>
      <c r="AT342" s="52">
        <f t="shared" si="1114"/>
        <v>-2.8490028490029129E-3</v>
      </c>
      <c r="AU342" s="52">
        <f t="shared" si="1114"/>
        <v>-9.9909990999099918E-2</v>
      </c>
      <c r="AV342" s="112">
        <f t="shared" si="1114"/>
        <v>-2.8334075063046971E-2</v>
      </c>
      <c r="AW342" s="52">
        <f t="shared" si="1114"/>
        <v>-3.8461538461538547E-2</v>
      </c>
      <c r="AX342" s="52">
        <f t="shared" si="1114"/>
        <v>-5.9466019417475757E-2</v>
      </c>
      <c r="AY342" s="52">
        <f t="shared" si="1114"/>
        <v>-6.5420560747663559E-2</v>
      </c>
      <c r="AZ342" s="52">
        <f t="shared" si="1114"/>
        <v>-3.4364261168384758E-3</v>
      </c>
      <c r="BA342" s="112">
        <f t="shared" si="1114"/>
        <v>-4.3948714148076884E-2</v>
      </c>
      <c r="BB342" s="52">
        <f t="shared" si="1114"/>
        <v>-4.4505908976615438E-2</v>
      </c>
      <c r="BC342" s="52">
        <f t="shared" si="1114"/>
        <v>3.2258064516129004E-2</v>
      </c>
      <c r="BD342" s="52">
        <f t="shared" si="1114"/>
        <v>7.8869047619047672E-2</v>
      </c>
      <c r="BE342" s="52">
        <f t="shared" si="1114"/>
        <v>4.8005409060175586E-2</v>
      </c>
      <c r="BF342" s="232">
        <f>(1+BF340)/(1+BF341)-1</f>
        <v>2.1771594749665946E-2</v>
      </c>
      <c r="BG342" s="52">
        <f t="shared" si="1114"/>
        <v>5.7791537667698734E-2</v>
      </c>
      <c r="BH342" s="52">
        <f>+BH323</f>
        <v>-3.5494309166552052E-2</v>
      </c>
      <c r="BI342" s="114">
        <f>+BI323</f>
        <v>-4.1433262507243551E-2</v>
      </c>
      <c r="BJ342" s="114">
        <f>(1+BJ340)/(1+BJ341)-1</f>
        <v>-3.2258064516128893E-2</v>
      </c>
      <c r="BK342" s="232">
        <f>(1+BK340)/(1+BK341)-1</f>
        <v>-2.0442930153321992E-2</v>
      </c>
      <c r="BL342" s="52">
        <f t="shared" ref="BL342:CI342" si="1115">(1+BL340)/(1+BL341)-1</f>
        <v>-5.4641709207789768E-2</v>
      </c>
      <c r="BM342" s="52">
        <f t="shared" si="1115"/>
        <v>-3.6458333333333259E-2</v>
      </c>
      <c r="BN342" s="52">
        <f t="shared" si="1115"/>
        <v>3.7830599263474873E-2</v>
      </c>
      <c r="BO342" s="52">
        <f t="shared" si="1115"/>
        <v>-8.4249084249084283E-2</v>
      </c>
      <c r="BP342" s="232">
        <f>(1+BP340)/(1+BP341)-1</f>
        <v>-3.8461538461538325E-2</v>
      </c>
      <c r="BQ342" s="52">
        <f t="shared" si="1115"/>
        <v>-9.7087378640776656E-3</v>
      </c>
      <c r="BR342" s="52">
        <f t="shared" si="1115"/>
        <v>4.7559187094070809E-2</v>
      </c>
      <c r="BS342" s="52">
        <f t="shared" si="1115"/>
        <v>3.3101412608053993E-2</v>
      </c>
      <c r="BT342" s="52">
        <f t="shared" si="1115"/>
        <v>0.11940298507462677</v>
      </c>
      <c r="BU342" s="232">
        <f>(1+BU340)/(1+BU341)-1</f>
        <v>4.3562025045488451E-2</v>
      </c>
      <c r="BV342" s="52">
        <f t="shared" si="1115"/>
        <v>8.5094231867504311E-2</v>
      </c>
      <c r="BW342" s="52">
        <f t="shared" si="1115"/>
        <v>5.8823529411764719E-2</v>
      </c>
      <c r="BX342" s="52">
        <f t="shared" si="1115"/>
        <v>2.9281277728482769E-2</v>
      </c>
      <c r="BY342" s="52">
        <f t="shared" si="1115"/>
        <v>1.8518518518518379E-2</v>
      </c>
      <c r="BZ342" s="232">
        <f>(1+BZ340)/(1+BZ341)-1</f>
        <v>5.0168679943410677E-2</v>
      </c>
      <c r="CA342" s="52">
        <f t="shared" si="1115"/>
        <v>-4.4834307992202782E-2</v>
      </c>
      <c r="CB342" s="52">
        <f t="shared" si="1115"/>
        <v>-8.9253187613843266E-2</v>
      </c>
      <c r="CC342" s="52">
        <f t="shared" si="1115"/>
        <v>-7.5462268865567061E-2</v>
      </c>
      <c r="CD342" s="52">
        <f t="shared" si="1115"/>
        <v>-8.326967150496567E-2</v>
      </c>
      <c r="CE342" s="232">
        <f>(1+CE340)/(1+CE341)-1</f>
        <v>-6.9855732725892072E-2</v>
      </c>
      <c r="CF342" s="52">
        <f t="shared" si="1115"/>
        <v>-5.9623849539816032E-2</v>
      </c>
      <c r="CG342" s="52">
        <f t="shared" si="1115"/>
        <v>-2.9411764705882248E-2</v>
      </c>
      <c r="CH342" s="52">
        <f t="shared" si="1115"/>
        <v>-3.2977932060501036E-2</v>
      </c>
      <c r="CI342" s="52">
        <f t="shared" si="1115"/>
        <v>-3.1986531986532118E-2</v>
      </c>
      <c r="CJ342" s="232">
        <f>(1+CJ340)/(1+CJ341)-1</f>
        <v>-3.9748588721410738E-2</v>
      </c>
      <c r="CK342" s="52">
        <f t="shared" ref="CK342:CS342" si="1116">(1+CK340)/(1+CK341)-1</f>
        <v>-1.0390895596239513E-2</v>
      </c>
      <c r="CL342" s="52">
        <f t="shared" si="1116"/>
        <v>8.3402835696388955E-4</v>
      </c>
      <c r="CM342" s="52">
        <f t="shared" si="1116"/>
        <v>1.0101010101010166E-2</v>
      </c>
      <c r="CN342" s="52">
        <f t="shared" si="1116"/>
        <v>-2.6606099935106986E-2</v>
      </c>
      <c r="CO342" s="232">
        <f>(1+CO340)/(1+CO341)-1</f>
        <v>-6.2036981268445146E-3</v>
      </c>
      <c r="CP342" s="52">
        <f t="shared" si="1116"/>
        <v>1.9900497512437942E-2</v>
      </c>
      <c r="CQ342" s="52">
        <f t="shared" si="1116"/>
        <v>-1.3157894736842146E-2</v>
      </c>
      <c r="CR342" s="52">
        <f t="shared" si="1116"/>
        <v>1.9066403681788247E-2</v>
      </c>
      <c r="CS342" s="52">
        <f t="shared" si="1116"/>
        <v>5.4852320675105481E-2</v>
      </c>
      <c r="CT342" s="232">
        <f>(1+CT340)/(1+CT341)-1</f>
        <v>1.9066403681788247E-2</v>
      </c>
      <c r="CU342" s="52">
        <f t="shared" ref="CU342" si="1117">(1+CU340)/(1+CU341)-1</f>
        <v>4.104699583581195E-2</v>
      </c>
      <c r="CV342" s="52">
        <f>+CV323</f>
        <v>6.0999999999999999E-2</v>
      </c>
      <c r="CW342" s="52">
        <f>+CW323</f>
        <v>0.04</v>
      </c>
      <c r="CX342" s="52">
        <f>+CX323</f>
        <v>2.1000000000000001E-2</v>
      </c>
      <c r="CY342" s="232">
        <f>(1+CY340)/(1+CY341)-1</f>
        <v>4.143443952005188E-2</v>
      </c>
      <c r="CZ342" s="52">
        <f>+CZ323</f>
        <v>8.9999999999999993E-3</v>
      </c>
      <c r="DA342" s="52">
        <f>+DA323</f>
        <v>0</v>
      </c>
      <c r="DB342" s="52">
        <f>+DB323</f>
        <v>0</v>
      </c>
      <c r="DC342" s="52">
        <f>+DC323</f>
        <v>0</v>
      </c>
      <c r="DD342" s="232">
        <f>(1+DD340)/(1+DD341)-1</f>
        <v>2.9491649350541493E-3</v>
      </c>
      <c r="DE342" s="52">
        <f>+DE323</f>
        <v>0</v>
      </c>
      <c r="DF342" s="52">
        <f>+DF323</f>
        <v>0</v>
      </c>
      <c r="DG342" s="52">
        <f>+DG323</f>
        <v>0</v>
      </c>
      <c r="DH342" s="52">
        <f>+DH323</f>
        <v>0</v>
      </c>
      <c r="DI342" s="232">
        <f>(1+DI340)/(1+DI341)-1</f>
        <v>0</v>
      </c>
    </row>
    <row r="343" spans="1:113" ht="12" hidden="1" customHeight="1" outlineLevel="1">
      <c r="A343" s="219"/>
      <c r="B343" s="17"/>
      <c r="C343" s="79"/>
      <c r="D343" s="6"/>
      <c r="E343" s="79"/>
      <c r="F343" s="6"/>
      <c r="G343" s="79"/>
      <c r="H343" s="6"/>
      <c r="I343" s="79"/>
      <c r="J343" s="6"/>
      <c r="K343" s="79"/>
      <c r="L343" s="6"/>
      <c r="M343" s="79"/>
      <c r="N343" s="6"/>
      <c r="O343" s="79"/>
      <c r="P343" s="6"/>
      <c r="Q343" s="79"/>
      <c r="R343" s="6"/>
      <c r="S343" s="6"/>
      <c r="T343" s="6"/>
      <c r="U343" s="6"/>
      <c r="V343" s="79"/>
      <c r="W343" s="6"/>
      <c r="X343" s="6"/>
      <c r="Y343" s="6"/>
      <c r="Z343" s="6"/>
      <c r="AA343" s="79"/>
      <c r="AB343" s="79"/>
      <c r="AC343" s="6"/>
      <c r="AD343" s="6"/>
      <c r="AE343" s="6"/>
      <c r="AF343" s="6"/>
      <c r="AG343" s="79"/>
      <c r="AH343" s="6"/>
      <c r="AI343" s="6"/>
      <c r="AJ343" s="6"/>
      <c r="AK343" s="6"/>
      <c r="AL343" s="79"/>
      <c r="AM343" s="6"/>
      <c r="AN343" s="6"/>
      <c r="AO343" s="6"/>
      <c r="AP343" s="6"/>
      <c r="AQ343" s="79"/>
      <c r="AR343" s="6"/>
      <c r="AS343" s="6"/>
      <c r="AT343" s="6"/>
      <c r="AU343" s="6"/>
      <c r="AV343" s="79"/>
      <c r="AW343" s="6"/>
      <c r="AX343" s="6"/>
      <c r="AY343" s="6"/>
      <c r="AZ343" s="6"/>
      <c r="BA343" s="79"/>
      <c r="BB343" s="6"/>
      <c r="BC343" s="6"/>
      <c r="BD343" s="6"/>
      <c r="BE343" s="6"/>
      <c r="BF343" s="79"/>
      <c r="BG343" s="6"/>
      <c r="BH343" s="6"/>
      <c r="BI343" s="582"/>
      <c r="BJ343" s="582"/>
      <c r="BK343" s="79"/>
      <c r="BL343" s="6"/>
      <c r="BM343" s="6"/>
      <c r="BN343" s="231"/>
      <c r="BO343" s="231"/>
      <c r="BP343" s="246"/>
      <c r="BQ343" s="231"/>
      <c r="BR343" s="49"/>
      <c r="BS343" s="49"/>
      <c r="BT343" s="49"/>
      <c r="BU343" s="246"/>
      <c r="BV343" s="6"/>
      <c r="BW343" s="6"/>
      <c r="BX343" s="6"/>
      <c r="BY343" s="6"/>
      <c r="BZ343" s="79"/>
      <c r="CA343" s="6"/>
      <c r="CB343" s="6"/>
      <c r="CC343" s="6"/>
      <c r="CD343" s="6"/>
      <c r="CE343" s="79"/>
      <c r="CF343" s="6"/>
      <c r="CG343" s="6"/>
      <c r="CH343" s="6"/>
      <c r="CI343" s="6"/>
      <c r="CJ343" s="79"/>
      <c r="CK343" s="6"/>
      <c r="CL343" s="6"/>
      <c r="CM343" s="6"/>
      <c r="CN343" s="6"/>
      <c r="CO343" s="79"/>
      <c r="CP343" s="6"/>
      <c r="CQ343" s="6"/>
      <c r="CR343" s="6"/>
      <c r="CS343" s="6"/>
      <c r="CT343" s="79"/>
      <c r="CU343" s="6"/>
      <c r="CV343" s="6"/>
      <c r="CW343" s="6"/>
      <c r="CX343" s="6"/>
      <c r="CY343" s="79"/>
      <c r="CZ343" s="6"/>
      <c r="DA343" s="6"/>
      <c r="DB343" s="6"/>
      <c r="DC343" s="6"/>
      <c r="DD343" s="79"/>
      <c r="DE343" s="6"/>
      <c r="DF343" s="6"/>
      <c r="DG343" s="6"/>
      <c r="DH343" s="6"/>
      <c r="DI343" s="79"/>
    </row>
    <row r="344" spans="1:113" s="7" customFormat="1" ht="12" hidden="1" customHeight="1" outlineLevel="1">
      <c r="A344" s="239" t="str">
        <f t="shared" si="1040"/>
        <v xml:space="preserve"> </v>
      </c>
      <c r="B344" s="551" t="s">
        <v>177</v>
      </c>
      <c r="C344" s="36"/>
      <c r="D344" s="43"/>
      <c r="E344" s="36"/>
      <c r="F344" s="43"/>
      <c r="G344" s="36"/>
      <c r="H344" s="43"/>
      <c r="I344" s="36"/>
      <c r="J344" s="43"/>
      <c r="K344" s="36"/>
      <c r="L344" s="43"/>
      <c r="M344" s="36"/>
      <c r="N344" s="43"/>
      <c r="O344" s="36"/>
      <c r="P344" s="43"/>
      <c r="Q344" s="36"/>
      <c r="R344" s="43" t="s">
        <v>126</v>
      </c>
      <c r="S344" s="43" t="s">
        <v>126</v>
      </c>
      <c r="T344" s="43" t="s">
        <v>126</v>
      </c>
      <c r="U344" s="43" t="s">
        <v>126</v>
      </c>
      <c r="V344" s="36" t="s">
        <v>126</v>
      </c>
      <c r="W344" s="43" t="s">
        <v>126</v>
      </c>
      <c r="X344" s="43" t="s">
        <v>126</v>
      </c>
      <c r="Y344" s="43" t="s">
        <v>126</v>
      </c>
      <c r="Z344" s="43" t="s">
        <v>126</v>
      </c>
      <c r="AA344" s="36" t="s">
        <v>126</v>
      </c>
      <c r="AB344" s="36"/>
      <c r="AC344" s="43" t="s">
        <v>126</v>
      </c>
      <c r="AD344" s="43" t="s">
        <v>126</v>
      </c>
      <c r="AE344" s="43">
        <v>117</v>
      </c>
      <c r="AF344" s="43">
        <v>110</v>
      </c>
      <c r="AG344" s="40" t="s">
        <v>126</v>
      </c>
      <c r="AH344" s="43">
        <v>116</v>
      </c>
      <c r="AI344" s="43">
        <v>129</v>
      </c>
      <c r="AJ344" s="43">
        <v>152</v>
      </c>
      <c r="AK344" s="43">
        <v>164</v>
      </c>
      <c r="AL344" s="36">
        <f>SUM(AH344:AK344)</f>
        <v>561</v>
      </c>
      <c r="AM344" s="43">
        <v>171</v>
      </c>
      <c r="AN344" s="43">
        <v>194</v>
      </c>
      <c r="AO344" s="43">
        <v>222</v>
      </c>
      <c r="AP344" s="43">
        <v>247</v>
      </c>
      <c r="AQ344" s="36">
        <f>SUM(AM344:AP344)</f>
        <v>834</v>
      </c>
      <c r="AR344" s="43">
        <v>252</v>
      </c>
      <c r="AS344" s="43">
        <v>281</v>
      </c>
      <c r="AT344" s="43">
        <v>310</v>
      </c>
      <c r="AU344" s="43">
        <v>319</v>
      </c>
      <c r="AV344" s="36">
        <f>SUM(AR344:AU344)</f>
        <v>1162</v>
      </c>
      <c r="AW344" s="43">
        <v>325</v>
      </c>
      <c r="AX344" s="43">
        <v>382</v>
      </c>
      <c r="AY344" s="43">
        <v>372</v>
      </c>
      <c r="AZ344" s="43">
        <v>384</v>
      </c>
      <c r="BA344" s="36">
        <f>SUM(AW344:AZ344)</f>
        <v>1463</v>
      </c>
      <c r="BB344" s="43">
        <v>378</v>
      </c>
      <c r="BC344" s="43">
        <v>514</v>
      </c>
      <c r="BD344" s="43">
        <v>488</v>
      </c>
      <c r="BE344" s="43">
        <f>BF344-SUM(BB344:BD344)</f>
        <v>538</v>
      </c>
      <c r="BF344" s="36">
        <v>1918</v>
      </c>
      <c r="BG344" s="43">
        <v>508</v>
      </c>
      <c r="BH344" s="43">
        <v>647</v>
      </c>
      <c r="BI344" s="369">
        <v>652</v>
      </c>
      <c r="BJ344" s="369">
        <f>BK344-SUM(BG344:BI344)</f>
        <v>675</v>
      </c>
      <c r="BK344" s="36">
        <v>2482</v>
      </c>
      <c r="BL344" s="43">
        <v>693</v>
      </c>
      <c r="BM344" s="43">
        <v>819</v>
      </c>
      <c r="BN344" s="43">
        <v>625</v>
      </c>
      <c r="BO344" s="43">
        <f>BP344-SUM(BL344:BN344)</f>
        <v>739</v>
      </c>
      <c r="BP344" s="36">
        <v>2876</v>
      </c>
      <c r="BQ344" s="43">
        <v>816</v>
      </c>
      <c r="BR344" s="369">
        <v>1139</v>
      </c>
      <c r="BS344" s="43">
        <v>1010</v>
      </c>
      <c r="BT344" s="43">
        <f>BU344-SUM(BQ344:BS344)</f>
        <v>812</v>
      </c>
      <c r="BU344" s="36">
        <v>3777</v>
      </c>
      <c r="BV344" s="43">
        <v>868</v>
      </c>
      <c r="BW344" s="369">
        <v>948</v>
      </c>
      <c r="BX344" s="43">
        <v>919</v>
      </c>
      <c r="BY344" s="43">
        <f>BZ344-SUM(BV344:BX344)</f>
        <v>731</v>
      </c>
      <c r="BZ344" s="36">
        <v>3466</v>
      </c>
      <c r="CA344" s="43">
        <v>817</v>
      </c>
      <c r="CB344" s="369">
        <v>891</v>
      </c>
      <c r="CC344" s="369">
        <v>868</v>
      </c>
      <c r="CD344" s="43">
        <f>CE344-SUM(CA344:CC344)</f>
        <v>806</v>
      </c>
      <c r="CE344" s="36">
        <v>3382</v>
      </c>
      <c r="CF344" s="369">
        <v>840</v>
      </c>
      <c r="CG344" s="369">
        <v>836</v>
      </c>
      <c r="CH344" s="369">
        <v>841</v>
      </c>
      <c r="CI344" s="43">
        <f>CJ344-SUM(CF344:CH344)</f>
        <v>766</v>
      </c>
      <c r="CJ344" s="36">
        <v>3283</v>
      </c>
      <c r="CK344" s="257">
        <v>695</v>
      </c>
      <c r="CL344" s="257">
        <v>807</v>
      </c>
      <c r="CM344" s="257">
        <v>738</v>
      </c>
      <c r="CN344" s="43">
        <f>CO344-SUM(CK344:CM344)</f>
        <v>647</v>
      </c>
      <c r="CO344" s="36">
        <v>2887</v>
      </c>
      <c r="CP344" s="257">
        <v>619</v>
      </c>
      <c r="CQ344" s="257">
        <v>656</v>
      </c>
      <c r="CR344" s="257">
        <v>727</v>
      </c>
      <c r="CS344" s="43">
        <f>CT344-SUM(CP344:CR344)</f>
        <v>590</v>
      </c>
      <c r="CT344" s="36">
        <v>2592</v>
      </c>
      <c r="CU344" s="43">
        <v>536</v>
      </c>
      <c r="CV344" s="43"/>
      <c r="CW344" s="43"/>
      <c r="CX344" s="43"/>
      <c r="CY344" s="36"/>
      <c r="CZ344" s="43"/>
      <c r="DA344" s="43"/>
      <c r="DB344" s="43"/>
      <c r="DC344" s="43"/>
      <c r="DD344" s="36"/>
      <c r="DE344" s="43"/>
      <c r="DF344" s="43"/>
      <c r="DG344" s="43"/>
      <c r="DH344" s="43"/>
      <c r="DI344" s="36"/>
    </row>
    <row r="345" spans="1:113" ht="12" hidden="1" customHeight="1" outlineLevel="1">
      <c r="A345" s="219" t="str">
        <f t="shared" si="1040"/>
        <v xml:space="preserve"> </v>
      </c>
      <c r="B345" s="491" t="s">
        <v>171</v>
      </c>
      <c r="C345" s="492"/>
      <c r="D345" s="522"/>
      <c r="E345" s="492"/>
      <c r="F345" s="522"/>
      <c r="G345" s="492"/>
      <c r="H345" s="522"/>
      <c r="I345" s="492"/>
      <c r="J345" s="522"/>
      <c r="K345" s="492"/>
      <c r="L345" s="522"/>
      <c r="M345" s="492"/>
      <c r="N345" s="522"/>
      <c r="O345" s="492"/>
      <c r="P345" s="522"/>
      <c r="Q345" s="492"/>
      <c r="R345" s="378" t="s">
        <v>126</v>
      </c>
      <c r="S345" s="522" t="s">
        <v>126</v>
      </c>
      <c r="T345" s="522" t="s">
        <v>126</v>
      </c>
      <c r="U345" s="522" t="s">
        <v>126</v>
      </c>
      <c r="V345" s="492" t="s">
        <v>126</v>
      </c>
      <c r="W345" s="52" t="s">
        <v>126</v>
      </c>
      <c r="X345" s="52" t="s">
        <v>126</v>
      </c>
      <c r="Y345" s="52" t="s">
        <v>126</v>
      </c>
      <c r="Z345" s="52" t="s">
        <v>126</v>
      </c>
      <c r="AA345" s="112" t="s">
        <v>126</v>
      </c>
      <c r="AB345" s="112"/>
      <c r="AC345" s="52" t="s">
        <v>126</v>
      </c>
      <c r="AD345" s="52" t="s">
        <v>126</v>
      </c>
      <c r="AE345" s="217" t="s">
        <v>126</v>
      </c>
      <c r="AF345" s="217" t="s">
        <v>126</v>
      </c>
      <c r="AG345" s="232" t="s">
        <v>126</v>
      </c>
      <c r="AH345" s="52" t="s">
        <v>126</v>
      </c>
      <c r="AI345" s="52" t="s">
        <v>126</v>
      </c>
      <c r="AJ345" s="52">
        <f>+AJ344/AE344-1</f>
        <v>0.29914529914529919</v>
      </c>
      <c r="AK345" s="52">
        <f>+AK344/AF344-1</f>
        <v>0.49090909090909096</v>
      </c>
      <c r="AL345" s="112" t="s">
        <v>126</v>
      </c>
      <c r="AM345" s="52">
        <f t="shared" ref="AM345:BD345" si="1118">+AM344/AH344-1</f>
        <v>0.47413793103448265</v>
      </c>
      <c r="AN345" s="52">
        <f t="shared" si="1118"/>
        <v>0.50387596899224807</v>
      </c>
      <c r="AO345" s="52">
        <f t="shared" si="1118"/>
        <v>0.46052631578947367</v>
      </c>
      <c r="AP345" s="52">
        <f t="shared" si="1118"/>
        <v>0.50609756097560976</v>
      </c>
      <c r="AQ345" s="112">
        <f t="shared" si="1118"/>
        <v>0.4866310160427807</v>
      </c>
      <c r="AR345" s="52">
        <f t="shared" si="1118"/>
        <v>0.47368421052631571</v>
      </c>
      <c r="AS345" s="52">
        <f t="shared" si="1118"/>
        <v>0.44845360824742264</v>
      </c>
      <c r="AT345" s="52">
        <f t="shared" si="1118"/>
        <v>0.39639639639639634</v>
      </c>
      <c r="AU345" s="52">
        <f t="shared" si="1118"/>
        <v>0.29149797570850211</v>
      </c>
      <c r="AV345" s="112">
        <f t="shared" si="1118"/>
        <v>0.39328537170263789</v>
      </c>
      <c r="AW345" s="52">
        <f t="shared" si="1118"/>
        <v>0.28968253968253976</v>
      </c>
      <c r="AX345" s="52">
        <f t="shared" si="1118"/>
        <v>0.35943060498220647</v>
      </c>
      <c r="AY345" s="52">
        <f t="shared" si="1118"/>
        <v>0.19999999999999996</v>
      </c>
      <c r="AZ345" s="52">
        <f t="shared" si="1118"/>
        <v>0.20376175548589348</v>
      </c>
      <c r="BA345" s="112">
        <f t="shared" si="1118"/>
        <v>0.25903614457831314</v>
      </c>
      <c r="BB345" s="52">
        <f t="shared" si="1118"/>
        <v>0.16307692307692312</v>
      </c>
      <c r="BC345" s="52">
        <f t="shared" si="1118"/>
        <v>0.34554973821989532</v>
      </c>
      <c r="BD345" s="52">
        <f t="shared" si="1118"/>
        <v>0.31182795698924726</v>
      </c>
      <c r="BE345" s="52">
        <f t="shared" ref="BE345:BN345" si="1119">+BE344/AZ344-1</f>
        <v>0.40104166666666674</v>
      </c>
      <c r="BF345" s="112">
        <f t="shared" si="1119"/>
        <v>0.31100478468899517</v>
      </c>
      <c r="BG345" s="52">
        <f t="shared" si="1119"/>
        <v>0.34391534391534395</v>
      </c>
      <c r="BH345" s="52">
        <f t="shared" si="1119"/>
        <v>0.25875486381322954</v>
      </c>
      <c r="BI345" s="114">
        <f t="shared" si="1119"/>
        <v>0.33606557377049184</v>
      </c>
      <c r="BJ345" s="52">
        <f t="shared" si="1119"/>
        <v>0.25464684014869898</v>
      </c>
      <c r="BK345" s="112">
        <f t="shared" si="1119"/>
        <v>0.29405630865484889</v>
      </c>
      <c r="BL345" s="52">
        <f t="shared" si="1119"/>
        <v>0.36417322834645671</v>
      </c>
      <c r="BM345" s="52">
        <f t="shared" si="1119"/>
        <v>0.26584234930448214</v>
      </c>
      <c r="BN345" s="52">
        <f t="shared" si="1119"/>
        <v>-4.1411042944785259E-2</v>
      </c>
      <c r="BO345" s="52">
        <f t="shared" ref="BO345" si="1120">+BO344/BJ344-1</f>
        <v>9.4814814814814907E-2</v>
      </c>
      <c r="BP345" s="112">
        <f t="shared" ref="BP345:CH345" si="1121">+BP344/BK344-1</f>
        <v>0.15874294923448828</v>
      </c>
      <c r="BQ345" s="52">
        <f t="shared" si="1121"/>
        <v>0.17748917748917759</v>
      </c>
      <c r="BR345" s="52">
        <f t="shared" si="1121"/>
        <v>0.39072039072039066</v>
      </c>
      <c r="BS345" s="52">
        <f t="shared" si="1121"/>
        <v>0.6160000000000001</v>
      </c>
      <c r="BT345" s="52">
        <f t="shared" si="1121"/>
        <v>9.8782138024357202E-2</v>
      </c>
      <c r="BU345" s="112">
        <f t="shared" si="1121"/>
        <v>0.31328233657858129</v>
      </c>
      <c r="BV345" s="52">
        <f t="shared" si="1121"/>
        <v>6.3725490196078427E-2</v>
      </c>
      <c r="BW345" s="52">
        <f t="shared" ref="BW345" si="1122">+BW344/BR344-1</f>
        <v>-0.16769095697980685</v>
      </c>
      <c r="BX345" s="52">
        <f t="shared" si="1121"/>
        <v>-9.0099009900990068E-2</v>
      </c>
      <c r="BY345" s="52">
        <f t="shared" si="1121"/>
        <v>-9.9753694581280805E-2</v>
      </c>
      <c r="BZ345" s="112">
        <f t="shared" si="1121"/>
        <v>-8.2340481863913184E-2</v>
      </c>
      <c r="CA345" s="52">
        <f t="shared" si="1121"/>
        <v>-5.875576036866359E-2</v>
      </c>
      <c r="CB345" s="52">
        <f t="shared" si="1121"/>
        <v>-6.0126582278481E-2</v>
      </c>
      <c r="CC345" s="52">
        <f t="shared" si="1121"/>
        <v>-5.5495103373231824E-2</v>
      </c>
      <c r="CD345" s="52">
        <f t="shared" si="1121"/>
        <v>0.10259917920656636</v>
      </c>
      <c r="CE345" s="112">
        <f t="shared" si="1121"/>
        <v>-2.4235429890363536E-2</v>
      </c>
      <c r="CF345" s="52">
        <f t="shared" si="1121"/>
        <v>2.8151774785801775E-2</v>
      </c>
      <c r="CG345" s="52">
        <f t="shared" si="1121"/>
        <v>-6.1728395061728447E-2</v>
      </c>
      <c r="CH345" s="52">
        <f t="shared" si="1121"/>
        <v>-3.1105990783410142E-2</v>
      </c>
      <c r="CI345" s="52">
        <f t="shared" ref="CI345" si="1123">+CI344/CD344-1</f>
        <v>-4.9627791563275458E-2</v>
      </c>
      <c r="CJ345" s="112">
        <f t="shared" ref="CJ345:CU345" si="1124">+CJ344/CE344-1</f>
        <v>-2.9272619751626205E-2</v>
      </c>
      <c r="CK345" s="52">
        <f t="shared" si="1124"/>
        <v>-0.17261904761904767</v>
      </c>
      <c r="CL345" s="52">
        <f t="shared" si="1124"/>
        <v>-3.4688995215310992E-2</v>
      </c>
      <c r="CM345" s="52">
        <f t="shared" si="1124"/>
        <v>-0.12247324613555288</v>
      </c>
      <c r="CN345" s="52">
        <f t="shared" si="1124"/>
        <v>-0.15535248041775462</v>
      </c>
      <c r="CO345" s="112">
        <f t="shared" si="1124"/>
        <v>-0.12062138288151081</v>
      </c>
      <c r="CP345" s="52">
        <f t="shared" si="1124"/>
        <v>-0.10935251798561152</v>
      </c>
      <c r="CQ345" s="52">
        <f t="shared" si="1124"/>
        <v>-0.18711276332094173</v>
      </c>
      <c r="CR345" s="52">
        <f t="shared" si="1124"/>
        <v>-1.490514905149054E-2</v>
      </c>
      <c r="CS345" s="52">
        <f t="shared" si="1124"/>
        <v>-8.8098918083462152E-2</v>
      </c>
      <c r="CT345" s="112">
        <f t="shared" si="1124"/>
        <v>-0.10218219605126433</v>
      </c>
      <c r="CU345" s="52">
        <f t="shared" si="1124"/>
        <v>-0.13408723747980611</v>
      </c>
      <c r="CV345" s="52"/>
      <c r="CW345" s="52"/>
      <c r="CX345" s="52"/>
      <c r="CY345" s="112"/>
      <c r="CZ345" s="52"/>
      <c r="DA345" s="52"/>
      <c r="DB345" s="52"/>
      <c r="DC345" s="52"/>
      <c r="DD345" s="112"/>
      <c r="DE345" s="52"/>
      <c r="DF345" s="52"/>
      <c r="DG345" s="52"/>
      <c r="DH345" s="52"/>
      <c r="DI345" s="112"/>
    </row>
    <row r="346" spans="1:113" s="529" customFormat="1" ht="12" hidden="1" customHeight="1" outlineLevel="1">
      <c r="A346" s="490" t="str">
        <f t="shared" si="1040"/>
        <v xml:space="preserve"> </v>
      </c>
      <c r="B346" s="526" t="s">
        <v>173</v>
      </c>
      <c r="C346" s="112"/>
      <c r="D346" s="52"/>
      <c r="E346" s="112"/>
      <c r="F346" s="52"/>
      <c r="G346" s="112"/>
      <c r="H346" s="52"/>
      <c r="I346" s="112"/>
      <c r="J346" s="52"/>
      <c r="K346" s="112"/>
      <c r="L346" s="52"/>
      <c r="M346" s="112"/>
      <c r="N346" s="52"/>
      <c r="O346" s="112"/>
      <c r="P346" s="52"/>
      <c r="Q346" s="112"/>
      <c r="R346" s="217" t="s">
        <v>126</v>
      </c>
      <c r="S346" s="52" t="s">
        <v>126</v>
      </c>
      <c r="T346" s="52" t="s">
        <v>126</v>
      </c>
      <c r="U346" s="52" t="s">
        <v>126</v>
      </c>
      <c r="V346" s="112" t="s">
        <v>126</v>
      </c>
      <c r="W346" s="52" t="s">
        <v>126</v>
      </c>
      <c r="X346" s="52" t="s">
        <v>126</v>
      </c>
      <c r="Y346" s="52" t="s">
        <v>126</v>
      </c>
      <c r="Z346" s="52" t="s">
        <v>126</v>
      </c>
      <c r="AA346" s="112" t="s">
        <v>126</v>
      </c>
      <c r="AB346" s="112"/>
      <c r="AC346" s="52" t="s">
        <v>126</v>
      </c>
      <c r="AD346" s="52" t="s">
        <v>126</v>
      </c>
      <c r="AE346" s="217" t="s">
        <v>126</v>
      </c>
      <c r="AF346" s="217" t="s">
        <v>126</v>
      </c>
      <c r="AG346" s="232" t="s">
        <v>126</v>
      </c>
      <c r="AH346" s="52" t="s">
        <v>126</v>
      </c>
      <c r="AI346" s="52" t="s">
        <v>126</v>
      </c>
      <c r="AJ346" s="52">
        <v>0.27</v>
      </c>
      <c r="AK346" s="52" t="s">
        <v>126</v>
      </c>
      <c r="AL346" s="112">
        <v>0.38</v>
      </c>
      <c r="AM346" s="52">
        <v>0.5</v>
      </c>
      <c r="AN346" s="52">
        <v>0.5</v>
      </c>
      <c r="AO346" s="52">
        <v>0.51</v>
      </c>
      <c r="AP346" s="52">
        <f>+AP345-AP321+AP322</f>
        <v>0.52518588006392886</v>
      </c>
      <c r="AQ346" s="112">
        <v>0.51</v>
      </c>
      <c r="AR346" s="52">
        <v>0.46</v>
      </c>
      <c r="AS346" s="52">
        <v>0.51</v>
      </c>
      <c r="AT346" s="52">
        <v>0.45</v>
      </c>
      <c r="AU346" s="52">
        <f>+AU345-AU321+AU322</f>
        <v>0.34055708306676502</v>
      </c>
      <c r="AV346" s="112">
        <v>0.44</v>
      </c>
      <c r="AW346" s="52">
        <v>0.37</v>
      </c>
      <c r="AX346" s="52">
        <v>0.42</v>
      </c>
      <c r="AY346" s="52">
        <v>0.27</v>
      </c>
      <c r="AZ346" s="52">
        <f>+AZ345-AZ321+AZ322</f>
        <v>0.25344510584340119</v>
      </c>
      <c r="BA346" s="112">
        <v>0.32</v>
      </c>
      <c r="BB346" s="52">
        <v>0.2</v>
      </c>
      <c r="BC346" s="52">
        <v>0.33</v>
      </c>
      <c r="BD346" s="52">
        <v>0.25</v>
      </c>
      <c r="BE346" s="52">
        <f>((BF346*SUM(AW344:AZ344))-BB346*AW344-BC346*AX344-BD346*AY344)/AZ344</f>
        <v>0.28893229166666679</v>
      </c>
      <c r="BF346" s="112">
        <v>0.27</v>
      </c>
      <c r="BG346" s="52">
        <v>0.3</v>
      </c>
      <c r="BH346" s="52">
        <v>0.31</v>
      </c>
      <c r="BI346" s="114">
        <v>0.39</v>
      </c>
      <c r="BJ346" s="52">
        <f>((BK346*SUM(BB344:BE344))-BG346*BB344-BH346*BC344-BI346*BD344)/BE344</f>
        <v>0.31576208178438669</v>
      </c>
      <c r="BK346" s="112">
        <v>0.33</v>
      </c>
      <c r="BL346" s="52">
        <v>0.42</v>
      </c>
      <c r="BM346" s="52">
        <v>0.3</v>
      </c>
      <c r="BN346" s="52">
        <v>-0.03</v>
      </c>
      <c r="BO346" s="52">
        <f>((BP346*SUM(BG344:BJ344))-BL346*BG344-BM346*BH344-BN346*BI344)/BJ344</f>
        <v>0.16074074074074088</v>
      </c>
      <c r="BP346" s="112">
        <v>0.2</v>
      </c>
      <c r="BQ346" s="52">
        <v>0.21</v>
      </c>
      <c r="BR346" s="52">
        <v>0.33</v>
      </c>
      <c r="BS346" s="554">
        <v>0.52</v>
      </c>
      <c r="BT346" s="52">
        <f>((BU346*SUM(BL344:BO344))-BQ346*BL344-BR346*BM344-BS346*BN344)/BO344</f>
        <v>9.4181326116373199E-3</v>
      </c>
      <c r="BU346" s="112">
        <v>0.26</v>
      </c>
      <c r="BV346" s="52">
        <v>-0.03</v>
      </c>
      <c r="BW346" s="52">
        <v>-0.21</v>
      </c>
      <c r="BX346" s="554">
        <v>-0.11</v>
      </c>
      <c r="BY346" s="52">
        <f>((BZ346*SUM(BQ344:BT344))-BV346*BQ344-BW346*BR344-BX346*BS344)/BT344</f>
        <v>-9.663793103448276E-2</v>
      </c>
      <c r="BZ346" s="112">
        <v>-0.12</v>
      </c>
      <c r="CA346" s="52">
        <v>-0.02</v>
      </c>
      <c r="CB346" s="554">
        <v>0.04</v>
      </c>
      <c r="CC346" s="522">
        <v>0.03</v>
      </c>
      <c r="CD346" s="52">
        <f>((CE346*SUM(BV344:BY344))-CA346*BV344-CB346*BW344-CC346*BX344)/BY344</f>
        <v>0.17123119015047883</v>
      </c>
      <c r="CE346" s="583">
        <v>0.05</v>
      </c>
      <c r="CF346" s="554">
        <v>0.1</v>
      </c>
      <c r="CG346" s="554">
        <v>-0.04</v>
      </c>
      <c r="CH346" s="554">
        <v>-0.01</v>
      </c>
      <c r="CI346" s="52">
        <f>((CJ346*SUM(CA344:CD344))-CF346*CA344-CG346*CB344-CH346*CC344)/CD344</f>
        <v>-4.4168734491315167E-3</v>
      </c>
      <c r="CJ346" s="583">
        <v>0.01</v>
      </c>
      <c r="CK346" s="554">
        <v>-0.16</v>
      </c>
      <c r="CL346" s="554">
        <v>-7.0000000000000007E-2</v>
      </c>
      <c r="CM346" s="554">
        <v>-0.11</v>
      </c>
      <c r="CN346" s="554">
        <v>-0.15</v>
      </c>
      <c r="CO346" s="583">
        <v>-0.12</v>
      </c>
      <c r="CP346" s="554">
        <v>-0.12</v>
      </c>
      <c r="CQ346" s="554">
        <v>-0.18</v>
      </c>
      <c r="CR346" s="554">
        <v>-0.05</v>
      </c>
      <c r="CS346" s="522">
        <f>((CT346*SUM(CK344:CN344))-CP346*CK344-CQ346*CL344-CR346*CM344)/CN344</f>
        <v>-0.12500772797527052</v>
      </c>
      <c r="CT346" s="583">
        <v>-0.12</v>
      </c>
      <c r="CU346" s="522">
        <v>-0.18</v>
      </c>
      <c r="CV346" s="522"/>
      <c r="CW346" s="522"/>
      <c r="CX346" s="522"/>
      <c r="CY346" s="584"/>
      <c r="CZ346" s="522"/>
      <c r="DA346" s="522"/>
      <c r="DB346" s="522"/>
      <c r="DC346" s="522"/>
      <c r="DD346" s="584"/>
      <c r="DE346" s="522"/>
      <c r="DF346" s="522"/>
      <c r="DG346" s="522"/>
      <c r="DH346" s="522"/>
      <c r="DI346" s="584"/>
    </row>
    <row r="347" spans="1:113" ht="12" hidden="1" customHeight="1" outlineLevel="1">
      <c r="A347" s="219" t="str">
        <f t="shared" si="1040"/>
        <v xml:space="preserve"> </v>
      </c>
      <c r="B347" s="491" t="s">
        <v>141</v>
      </c>
      <c r="C347" s="492"/>
      <c r="D347" s="522"/>
      <c r="E347" s="492"/>
      <c r="F347" s="522"/>
      <c r="G347" s="492"/>
      <c r="H347" s="522"/>
      <c r="I347" s="492"/>
      <c r="J347" s="522"/>
      <c r="K347" s="492"/>
      <c r="L347" s="522"/>
      <c r="M347" s="492"/>
      <c r="N347" s="522"/>
      <c r="O347" s="492"/>
      <c r="P347" s="522"/>
      <c r="Q347" s="492"/>
      <c r="R347" s="399" t="s">
        <v>126</v>
      </c>
      <c r="S347" s="376" t="s">
        <v>126</v>
      </c>
      <c r="T347" s="376" t="s">
        <v>126</v>
      </c>
      <c r="U347" s="376" t="s">
        <v>126</v>
      </c>
      <c r="V347" s="375" t="s">
        <v>126</v>
      </c>
      <c r="W347" s="52" t="s">
        <v>126</v>
      </c>
      <c r="X347" s="52" t="s">
        <v>126</v>
      </c>
      <c r="Y347" s="52" t="s">
        <v>126</v>
      </c>
      <c r="Z347" s="52" t="s">
        <v>126</v>
      </c>
      <c r="AA347" s="112" t="s">
        <v>126</v>
      </c>
      <c r="AB347" s="112"/>
      <c r="AC347" s="52" t="s">
        <v>126</v>
      </c>
      <c r="AD347" s="52" t="s">
        <v>126</v>
      </c>
      <c r="AE347" s="217" t="s">
        <v>126</v>
      </c>
      <c r="AF347" s="217" t="s">
        <v>126</v>
      </c>
      <c r="AG347" s="232" t="s">
        <v>126</v>
      </c>
      <c r="AH347" s="376" t="s">
        <v>126</v>
      </c>
      <c r="AI347" s="376" t="s">
        <v>126</v>
      </c>
      <c r="AJ347" s="52">
        <f>(1+AJ345)/(1+AJ346)-1</f>
        <v>2.2949054445117412E-2</v>
      </c>
      <c r="AK347" s="376" t="s">
        <v>126</v>
      </c>
      <c r="AL347" s="112" t="s">
        <v>126</v>
      </c>
      <c r="AM347" s="52">
        <f t="shared" ref="AM347:BG347" si="1125">(1+AM345)/(1+AM346)-1</f>
        <v>-1.7241379310344862E-2</v>
      </c>
      <c r="AN347" s="52">
        <f t="shared" si="1125"/>
        <v>2.5839793281654533E-3</v>
      </c>
      <c r="AO347" s="52">
        <f t="shared" si="1125"/>
        <v>-3.2764029278494311E-2</v>
      </c>
      <c r="AP347" s="52">
        <f t="shared" si="1125"/>
        <v>-1.2515405064934759E-2</v>
      </c>
      <c r="AQ347" s="112">
        <f t="shared" si="1125"/>
        <v>-1.5476148316039273E-2</v>
      </c>
      <c r="AR347" s="52">
        <f t="shared" si="1125"/>
        <v>9.3727469358326765E-3</v>
      </c>
      <c r="AS347" s="52">
        <f t="shared" si="1125"/>
        <v>-4.0759199836143956E-2</v>
      </c>
      <c r="AT347" s="52">
        <f t="shared" si="1125"/>
        <v>-3.69680024852439E-2</v>
      </c>
      <c r="AU347" s="52">
        <f t="shared" si="1125"/>
        <v>-3.6596059935046887E-2</v>
      </c>
      <c r="AV347" s="112">
        <f t="shared" si="1125"/>
        <v>-3.2440714095390288E-2</v>
      </c>
      <c r="AW347" s="52">
        <f t="shared" si="1125"/>
        <v>-5.8625883443401694E-2</v>
      </c>
      <c r="AX347" s="52">
        <f t="shared" si="1125"/>
        <v>-4.2654503533657406E-2</v>
      </c>
      <c r="AY347" s="52">
        <f t="shared" si="1125"/>
        <v>-5.5118110236220486E-2</v>
      </c>
      <c r="AZ347" s="52">
        <f t="shared" si="1125"/>
        <v>-3.963743615567239E-2</v>
      </c>
      <c r="BA347" s="112">
        <f t="shared" si="1125"/>
        <v>-4.6184738955823423E-2</v>
      </c>
      <c r="BB347" s="52">
        <f t="shared" si="1125"/>
        <v>-3.076923076923066E-2</v>
      </c>
      <c r="BC347" s="52">
        <f t="shared" si="1125"/>
        <v>1.1691532496161949E-2</v>
      </c>
      <c r="BD347" s="52">
        <f t="shared" si="1125"/>
        <v>4.9462365591397717E-2</v>
      </c>
      <c r="BE347" s="52">
        <f t="shared" si="1125"/>
        <v>8.6978482675017732E-2</v>
      </c>
      <c r="BF347" s="112">
        <f t="shared" si="1125"/>
        <v>3.2287232038578972E-2</v>
      </c>
      <c r="BG347" s="52">
        <f t="shared" si="1125"/>
        <v>3.3781033781033809E-2</v>
      </c>
      <c r="BH347" s="52">
        <f>(1+BH345)/(1+BH346)-1</f>
        <v>-3.9118424570053878E-2</v>
      </c>
      <c r="BI347" s="114">
        <f>(1+BI345)/(1+BI346)-1</f>
        <v>-3.8801745488854844E-2</v>
      </c>
      <c r="BJ347" s="52">
        <f t="shared" ref="BJ347" si="1126">(1+BJ345)/(1+BJ346)-1</f>
        <v>-4.6448550601796867E-2</v>
      </c>
      <c r="BK347" s="112">
        <f t="shared" ref="BK347:BP347" si="1127">(1+BK345)/(1+BK346)-1</f>
        <v>-2.7025331838459565E-2</v>
      </c>
      <c r="BL347" s="52">
        <f t="shared" si="1127"/>
        <v>-3.9314627925030488E-2</v>
      </c>
      <c r="BM347" s="52">
        <f t="shared" si="1127"/>
        <v>-2.6275115919629166E-2</v>
      </c>
      <c r="BN347" s="52">
        <f t="shared" si="1127"/>
        <v>-1.1763961798747613E-2</v>
      </c>
      <c r="BO347" s="52">
        <f t="shared" si="1127"/>
        <v>-5.6796426292278213E-2</v>
      </c>
      <c r="BP347" s="112">
        <f t="shared" si="1127"/>
        <v>-3.4380875637926356E-2</v>
      </c>
      <c r="BQ347" s="52">
        <f t="shared" ref="BQ347:CH347" si="1128">(1+BQ345)/(1+BQ346)-1</f>
        <v>-2.6868448356051511E-2</v>
      </c>
      <c r="BR347" s="52">
        <f t="shared" si="1128"/>
        <v>4.5654429113075601E-2</v>
      </c>
      <c r="BS347" s="52">
        <f t="shared" si="1128"/>
        <v>6.315789473684208E-2</v>
      </c>
      <c r="BT347" s="52">
        <f t="shared" si="1128"/>
        <v>8.8530216097377767E-2</v>
      </c>
      <c r="BU347" s="112">
        <f t="shared" si="1128"/>
        <v>4.228756871315964E-2</v>
      </c>
      <c r="BV347" s="52">
        <f t="shared" si="1128"/>
        <v>9.6624216696988174E-2</v>
      </c>
      <c r="BW347" s="52">
        <f t="shared" si="1128"/>
        <v>5.355575065847229E-2</v>
      </c>
      <c r="BX347" s="52">
        <f t="shared" si="1128"/>
        <v>2.2360663032595429E-2</v>
      </c>
      <c r="BY347" s="52">
        <f t="shared" ref="BY347" si="1129">(1+BY345)/(1+BY346)-1</f>
        <v>-3.449075020789949E-3</v>
      </c>
      <c r="BZ347" s="112">
        <f t="shared" si="1128"/>
        <v>4.2794906972825952E-2</v>
      </c>
      <c r="CA347" s="52">
        <f t="shared" si="1128"/>
        <v>-3.9546694253738357E-2</v>
      </c>
      <c r="CB347" s="52">
        <f t="shared" si="1128"/>
        <v>-9.6275559883154838E-2</v>
      </c>
      <c r="CC347" s="52">
        <f t="shared" si="1128"/>
        <v>-8.3004954731293101E-2</v>
      </c>
      <c r="CD347" s="52">
        <f t="shared" si="1128"/>
        <v>-5.8598175595968138E-2</v>
      </c>
      <c r="CE347" s="112">
        <f t="shared" si="1128"/>
        <v>-7.0700409419393928E-2</v>
      </c>
      <c r="CF347" s="52">
        <f t="shared" si="1128"/>
        <v>-6.5316568376543871E-2</v>
      </c>
      <c r="CG347" s="52">
        <f t="shared" si="1128"/>
        <v>-2.2633744855967142E-2</v>
      </c>
      <c r="CH347" s="52">
        <f t="shared" si="1128"/>
        <v>-2.1319182609505161E-2</v>
      </c>
      <c r="CI347" s="52">
        <f t="shared" ref="CI347:CU347" si="1130">(1+CI345)/(1+CI346)-1</f>
        <v>-4.5411494940431618E-2</v>
      </c>
      <c r="CJ347" s="112">
        <f t="shared" si="1130"/>
        <v>-3.888378193230313E-2</v>
      </c>
      <c r="CK347" s="52">
        <f t="shared" si="1130"/>
        <v>-1.5022675736961477E-2</v>
      </c>
      <c r="CL347" s="52">
        <f t="shared" si="1130"/>
        <v>3.7968822349128128E-2</v>
      </c>
      <c r="CM347" s="52">
        <f t="shared" si="1130"/>
        <v>-1.4014883298374081E-2</v>
      </c>
      <c r="CN347" s="52">
        <f t="shared" ref="CN347" si="1131">(1+CN345)/(1+CN346)-1</f>
        <v>-6.2970357855935966E-3</v>
      </c>
      <c r="CO347" s="112">
        <f t="shared" si="1130"/>
        <v>-7.0611691080779693E-4</v>
      </c>
      <c r="CP347" s="52">
        <f t="shared" si="1130"/>
        <v>1.2099411379986824E-2</v>
      </c>
      <c r="CQ347" s="52">
        <f t="shared" si="1130"/>
        <v>-8.6741016109046498E-3</v>
      </c>
      <c r="CR347" s="52">
        <f t="shared" si="1130"/>
        <v>3.6941948366852051E-2</v>
      </c>
      <c r="CS347" s="52">
        <f t="shared" si="1130"/>
        <v>4.2181869568289398E-2</v>
      </c>
      <c r="CT347" s="112">
        <f t="shared" si="1130"/>
        <v>2.0247504487199697E-2</v>
      </c>
      <c r="CU347" s="52">
        <f t="shared" si="1130"/>
        <v>5.5991173805114425E-2</v>
      </c>
      <c r="CV347" s="376"/>
      <c r="CW347" s="376"/>
      <c r="CX347" s="376"/>
      <c r="CY347" s="375"/>
      <c r="CZ347" s="376"/>
      <c r="DA347" s="376"/>
      <c r="DB347" s="376"/>
      <c r="DC347" s="376"/>
      <c r="DD347" s="375"/>
      <c r="DE347" s="376"/>
      <c r="DF347" s="376"/>
      <c r="DG347" s="376"/>
      <c r="DH347" s="376"/>
      <c r="DI347" s="375"/>
    </row>
    <row r="348" spans="1:113" s="545" customFormat="1" ht="12" hidden="1" customHeight="1" outlineLevel="1">
      <c r="A348" s="490" t="str">
        <f t="shared" si="1040"/>
        <v xml:space="preserve"> </v>
      </c>
      <c r="B348" s="537" t="s">
        <v>308</v>
      </c>
      <c r="C348" s="112"/>
      <c r="D348" s="52"/>
      <c r="E348" s="112"/>
      <c r="F348" s="52"/>
      <c r="G348" s="112"/>
      <c r="H348" s="52"/>
      <c r="I348" s="112"/>
      <c r="J348" s="52"/>
      <c r="K348" s="112"/>
      <c r="L348" s="52"/>
      <c r="M348" s="112"/>
      <c r="N348" s="52"/>
      <c r="O348" s="112"/>
      <c r="P348" s="52"/>
      <c r="Q348" s="112"/>
      <c r="R348" s="217" t="s">
        <v>126</v>
      </c>
      <c r="S348" s="52" t="s">
        <v>126</v>
      </c>
      <c r="T348" s="52" t="s">
        <v>126</v>
      </c>
      <c r="U348" s="52" t="s">
        <v>126</v>
      </c>
      <c r="V348" s="112" t="s">
        <v>126</v>
      </c>
      <c r="W348" s="52" t="s">
        <v>126</v>
      </c>
      <c r="X348" s="52" t="s">
        <v>126</v>
      </c>
      <c r="Y348" s="52" t="s">
        <v>126</v>
      </c>
      <c r="Z348" s="52" t="s">
        <v>126</v>
      </c>
      <c r="AA348" s="112" t="s">
        <v>126</v>
      </c>
      <c r="AB348" s="112"/>
      <c r="AC348" s="52" t="s">
        <v>126</v>
      </c>
      <c r="AD348" s="52" t="s">
        <v>126</v>
      </c>
      <c r="AE348" s="217" t="s">
        <v>126</v>
      </c>
      <c r="AF348" s="217" t="s">
        <v>126</v>
      </c>
      <c r="AG348" s="232" t="s">
        <v>126</v>
      </c>
      <c r="AH348" s="213">
        <v>0.22</v>
      </c>
      <c r="AI348" s="213">
        <v>0.22</v>
      </c>
      <c r="AJ348" s="213">
        <v>0.11</v>
      </c>
      <c r="AK348" s="213">
        <v>0.22</v>
      </c>
      <c r="AL348" s="232" t="s">
        <v>126</v>
      </c>
      <c r="AM348" s="52">
        <v>0.3</v>
      </c>
      <c r="AN348" s="52">
        <v>0.26</v>
      </c>
      <c r="AO348" s="52">
        <v>0.28999999999999998</v>
      </c>
      <c r="AP348" s="52">
        <v>-4.9999999999999989E-2</v>
      </c>
      <c r="AQ348" s="232" t="s">
        <v>126</v>
      </c>
      <c r="AR348" s="52">
        <v>0.22</v>
      </c>
      <c r="AS348" s="52">
        <v>0.25</v>
      </c>
      <c r="AT348" s="52">
        <v>0.22</v>
      </c>
      <c r="AU348" s="52">
        <v>7.0000000000000034E-2</v>
      </c>
      <c r="AV348" s="232" t="s">
        <v>126</v>
      </c>
      <c r="AW348" s="52">
        <v>0.11</v>
      </c>
      <c r="AX348" s="52">
        <v>0.06</v>
      </c>
      <c r="AY348" s="52">
        <v>7.0000000000000007E-2</v>
      </c>
      <c r="AZ348" s="52">
        <v>0.11999999999999998</v>
      </c>
      <c r="BA348" s="232" t="s">
        <v>126</v>
      </c>
      <c r="BB348" s="52">
        <v>0.02</v>
      </c>
      <c r="BC348" s="52">
        <v>0.08</v>
      </c>
      <c r="BD348" s="52">
        <v>0.08</v>
      </c>
      <c r="BE348" s="52">
        <f>((BF348*SUM(AW344:AZ344))-BB348*AW344-BC348*AX344-BD348*AY344)/AZ344</f>
        <v>0.20697916666666669</v>
      </c>
      <c r="BF348" s="112">
        <v>0.1</v>
      </c>
      <c r="BG348" s="52">
        <v>0.18</v>
      </c>
      <c r="BH348" s="52">
        <v>0.17</v>
      </c>
      <c r="BI348" s="114">
        <v>0.24</v>
      </c>
      <c r="BJ348" s="52">
        <f>((BK348*SUM(BB344:BE344))-BG348*BB344-BH348*BC344-BI348*BD344)/BE344</f>
        <v>0.31338289962825283</v>
      </c>
      <c r="BK348" s="112">
        <v>0.23</v>
      </c>
      <c r="BL348" s="52">
        <v>0.23</v>
      </c>
      <c r="BM348" s="52">
        <v>0.16</v>
      </c>
      <c r="BN348" s="52">
        <v>-0.22</v>
      </c>
      <c r="BO348" s="52">
        <f>((BP348*SUM(BG344:BJ344))-BL348*BG344-BM348*BH344-BN348*BI344)/BJ344</f>
        <v>-7.7185185185185218E-2</v>
      </c>
      <c r="BP348" s="492">
        <v>0.01</v>
      </c>
      <c r="BQ348" s="52">
        <v>0.13</v>
      </c>
      <c r="BR348" s="52">
        <v>0.27</v>
      </c>
      <c r="BS348" s="554">
        <v>0.56000000000000005</v>
      </c>
      <c r="BT348" s="52">
        <f>((BU348*SUM(BL344:BO344))-BQ348*BL344-BR348*BM344-BS348*BN344)/BO344</f>
        <v>-3.856562922868749E-2</v>
      </c>
      <c r="BU348" s="492">
        <v>0.22</v>
      </c>
      <c r="BV348" s="52">
        <v>-0.06</v>
      </c>
      <c r="BW348" s="52">
        <v>-0.18</v>
      </c>
      <c r="BX348" s="554">
        <v>-0.1</v>
      </c>
      <c r="BY348" s="52">
        <f>((BZ348*SUM(BQ344:BT344))-BV348*BQ344-BW348*BR344-BX348*BS344)/BT344</f>
        <v>-0.21403940886699524</v>
      </c>
      <c r="BZ348" s="492">
        <v>-0.14000000000000001</v>
      </c>
      <c r="CA348" s="52">
        <v>-0.03</v>
      </c>
      <c r="CB348" s="554">
        <v>-0.04</v>
      </c>
      <c r="CC348" s="554">
        <v>0.09</v>
      </c>
      <c r="CD348" s="52">
        <f>((CE348*SUM(BV344:BY344))-CA348*BV344-CB348*BW344-CC348*BX344)/BY344</f>
        <v>0.40108071135430923</v>
      </c>
      <c r="CE348" s="492">
        <v>0.09</v>
      </c>
      <c r="CF348" s="522">
        <v>7.0000000000000007E-2</v>
      </c>
      <c r="CG348" s="522">
        <v>7.0000000000000007E-2</v>
      </c>
      <c r="CH348" s="554">
        <v>0.06</v>
      </c>
      <c r="CI348" s="52">
        <f>((CJ348*SUM(CA344:CD344))-CF348*CA344-CG348*CB344-CH348*CC344)/CD344</f>
        <v>-0.17099255583126549</v>
      </c>
      <c r="CJ348" s="492">
        <v>0.01</v>
      </c>
      <c r="CK348" s="522">
        <v>-0.08</v>
      </c>
      <c r="CL348" s="522">
        <v>-0.08</v>
      </c>
      <c r="CM348" s="522">
        <v>-0.06</v>
      </c>
      <c r="CN348" s="52">
        <f>((CO348*SUM(CF344:CI344))-CK348*CF344-CL348*CG344-CM348*CH344)/CI344</f>
        <v>-5.9099216710182791E-2</v>
      </c>
      <c r="CO348" s="492">
        <v>-7.0000000000000007E-2</v>
      </c>
      <c r="CP348" s="522">
        <v>-0.05</v>
      </c>
      <c r="CQ348" s="522">
        <v>-7.0000000000000007E-2</v>
      </c>
      <c r="CR348" s="522">
        <v>-0.01</v>
      </c>
      <c r="CS348" s="52">
        <f>((CT348*SUM(CK344:CN344))-CP348*CK344-CQ348*CL344-CR348*CM344)/CN344</f>
        <v>-0.11530139103554868</v>
      </c>
      <c r="CT348" s="492">
        <v>-0.06</v>
      </c>
      <c r="CU348" s="522"/>
      <c r="CV348" s="522"/>
      <c r="CW348" s="522"/>
      <c r="CX348" s="522"/>
      <c r="CY348" s="492"/>
      <c r="CZ348" s="522"/>
      <c r="DA348" s="522"/>
      <c r="DB348" s="522"/>
      <c r="DC348" s="522"/>
      <c r="DD348" s="492"/>
      <c r="DE348" s="522"/>
      <c r="DF348" s="522"/>
      <c r="DG348" s="522"/>
      <c r="DH348" s="522"/>
      <c r="DI348" s="492"/>
    </row>
    <row r="349" spans="1:113" s="545" customFormat="1" ht="12" hidden="1" customHeight="1" outlineLevel="1">
      <c r="A349" s="490" t="str">
        <f t="shared" si="1040"/>
        <v xml:space="preserve"> </v>
      </c>
      <c r="B349" s="537" t="s">
        <v>324</v>
      </c>
      <c r="C349" s="112"/>
      <c r="D349" s="52"/>
      <c r="E349" s="112"/>
      <c r="F349" s="52"/>
      <c r="G349" s="112"/>
      <c r="H349" s="52"/>
      <c r="I349" s="112"/>
      <c r="J349" s="52"/>
      <c r="K349" s="112"/>
      <c r="L349" s="52"/>
      <c r="M349" s="112"/>
      <c r="N349" s="52"/>
      <c r="O349" s="112"/>
      <c r="P349" s="52"/>
      <c r="Q349" s="112"/>
      <c r="R349" s="217"/>
      <c r="S349" s="52"/>
      <c r="T349" s="52"/>
      <c r="U349" s="52"/>
      <c r="V349" s="112"/>
      <c r="W349" s="52"/>
      <c r="X349" s="52"/>
      <c r="Y349" s="52"/>
      <c r="Z349" s="52"/>
      <c r="AA349" s="112"/>
      <c r="AB349" s="112"/>
      <c r="AC349" s="52"/>
      <c r="AD349" s="52"/>
      <c r="AE349" s="217"/>
      <c r="AF349" s="217"/>
      <c r="AG349" s="232"/>
      <c r="AH349" s="213"/>
      <c r="AI349" s="213"/>
      <c r="AJ349" s="213"/>
      <c r="AK349" s="213"/>
      <c r="AL349" s="232"/>
      <c r="AM349" s="52"/>
      <c r="AN349" s="52"/>
      <c r="AO349" s="52"/>
      <c r="AP349" s="52"/>
      <c r="AQ349" s="232"/>
      <c r="AR349" s="52"/>
      <c r="AS349" s="52"/>
      <c r="AT349" s="52"/>
      <c r="AU349" s="52"/>
      <c r="AV349" s="232"/>
      <c r="AW349" s="52"/>
      <c r="AX349" s="52"/>
      <c r="AY349" s="52"/>
      <c r="AZ349" s="52"/>
      <c r="BA349" s="232"/>
      <c r="BB349" s="52"/>
      <c r="BC349" s="52"/>
      <c r="BD349" s="52"/>
      <c r="BE349" s="52"/>
      <c r="BF349" s="112"/>
      <c r="BG349" s="52"/>
      <c r="BH349" s="52"/>
      <c r="BI349" s="114"/>
      <c r="BJ349" s="52"/>
      <c r="BK349" s="112"/>
      <c r="BL349" s="52">
        <v>0.74</v>
      </c>
      <c r="BM349" s="52">
        <v>0.44</v>
      </c>
      <c r="BN349" s="52">
        <v>0.32</v>
      </c>
      <c r="BO349" s="218">
        <f>((BP349*SUM(BG345:BJ345))-BL349*BG345-BM349*BH345-BN349*BI345)/BJ345</f>
        <v>0.42752152888329414</v>
      </c>
      <c r="BP349" s="492">
        <v>0.49</v>
      </c>
      <c r="BQ349" s="52">
        <v>0.28000000000000003</v>
      </c>
      <c r="BR349" s="52">
        <v>0.37</v>
      </c>
      <c r="BS349" s="114">
        <v>0.44</v>
      </c>
      <c r="BT349" s="218">
        <f>((BU349*SUM(BL345:BO345))-BQ349*BL345-BR349*BM345-BS349*BN345)/BO345</f>
        <v>-4.662017657411778E-2</v>
      </c>
      <c r="BU349" s="492">
        <v>0.26</v>
      </c>
      <c r="BV349" s="52">
        <v>-0.06</v>
      </c>
      <c r="BW349" s="52">
        <v>-0.27</v>
      </c>
      <c r="BX349" s="114">
        <v>-0.19</v>
      </c>
      <c r="BY349" s="218">
        <f>((BZ349*SUM(BQ345:BT345))-BV349*BQ345-BW349*BR345-BX349*BS345)/BT345</f>
        <v>0.41237313772985013</v>
      </c>
      <c r="BZ349" s="492">
        <v>-0.15</v>
      </c>
      <c r="CA349" s="52">
        <v>-0.05</v>
      </c>
      <c r="CB349" s="114">
        <v>0.09</v>
      </c>
      <c r="CC349" s="114">
        <v>-0.11</v>
      </c>
      <c r="CD349" s="218">
        <f>((CE349*SUM(BV345:BY345))-CA349*BV345-CB349*BW345-CC349*BX345)/BY345</f>
        <v>-0.20169976143713939</v>
      </c>
      <c r="CE349" s="492">
        <v>-0.04</v>
      </c>
      <c r="CF349" s="52">
        <v>0.06</v>
      </c>
      <c r="CG349" s="52">
        <v>-0.22</v>
      </c>
      <c r="CH349" s="114">
        <v>-0.13</v>
      </c>
      <c r="CI349" s="218">
        <f>((CJ349*SUM(CA345:CD345))-CF349*CA345-CG349*CB345-CH349*CC345)/CD345</f>
        <v>-0.10891514590056452</v>
      </c>
      <c r="CJ349" s="492">
        <v>-0.08</v>
      </c>
      <c r="CK349" s="52">
        <v>-0.16</v>
      </c>
      <c r="CL349" s="52">
        <v>-0.04</v>
      </c>
      <c r="CM349" s="52">
        <v>-0.2</v>
      </c>
      <c r="CN349" s="52">
        <v>-0.31</v>
      </c>
      <c r="CO349" s="492">
        <v>-0.22</v>
      </c>
      <c r="CP349" s="52">
        <v>-0.27</v>
      </c>
      <c r="CQ349" s="52">
        <v>-0.36</v>
      </c>
      <c r="CR349" s="52">
        <v>-0.21</v>
      </c>
      <c r="CS349" s="52">
        <v>-0.25</v>
      </c>
      <c r="CT349" s="492"/>
      <c r="CU349" s="52"/>
      <c r="CV349" s="52"/>
      <c r="CW349" s="52"/>
      <c r="CX349" s="52"/>
      <c r="CY349" s="492"/>
      <c r="CZ349" s="52"/>
      <c r="DA349" s="52"/>
      <c r="DB349" s="52"/>
      <c r="DC349" s="52"/>
      <c r="DD349" s="492"/>
      <c r="DE349" s="52"/>
      <c r="DF349" s="52"/>
      <c r="DG349" s="52"/>
      <c r="DH349" s="52"/>
      <c r="DI349" s="492"/>
    </row>
    <row r="350" spans="1:113" ht="12" hidden="1" customHeight="1" outlineLevel="1">
      <c r="A350" s="219"/>
      <c r="B350" s="491"/>
      <c r="C350" s="550"/>
      <c r="D350" s="549"/>
      <c r="E350" s="550"/>
      <c r="F350" s="549"/>
      <c r="G350" s="550"/>
      <c r="H350" s="549"/>
      <c r="I350" s="550"/>
      <c r="J350" s="549"/>
      <c r="K350" s="550"/>
      <c r="L350" s="549"/>
      <c r="M350" s="550"/>
      <c r="N350" s="549"/>
      <c r="O350" s="550"/>
      <c r="P350" s="549"/>
      <c r="Q350" s="550"/>
      <c r="R350" s="6"/>
      <c r="S350" s="6"/>
      <c r="T350" s="6"/>
      <c r="U350" s="6"/>
      <c r="V350" s="79"/>
      <c r="W350" s="6"/>
      <c r="X350" s="6"/>
      <c r="Y350" s="6"/>
      <c r="Z350" s="6"/>
      <c r="AA350" s="79"/>
      <c r="AB350" s="79"/>
      <c r="AC350" s="6"/>
      <c r="AD350" s="6"/>
      <c r="AE350" s="6"/>
      <c r="AF350" s="6"/>
      <c r="AG350" s="79"/>
      <c r="AH350" s="6"/>
      <c r="AI350" s="6"/>
      <c r="AJ350" s="6"/>
      <c r="AK350" s="6"/>
      <c r="AL350" s="79"/>
      <c r="AM350" s="6"/>
      <c r="AN350" s="6"/>
      <c r="AO350" s="6"/>
      <c r="AP350" s="6"/>
      <c r="AQ350" s="79"/>
      <c r="AR350" s="6"/>
      <c r="AS350" s="6"/>
      <c r="AT350" s="6"/>
      <c r="AU350" s="6"/>
      <c r="AV350" s="79"/>
      <c r="AW350" s="6"/>
      <c r="AX350" s="6"/>
      <c r="AY350" s="6"/>
      <c r="AZ350" s="6"/>
      <c r="BA350" s="79"/>
      <c r="BB350" s="6"/>
      <c r="BC350" s="6"/>
      <c r="BD350" s="6"/>
      <c r="BE350" s="6"/>
      <c r="BF350" s="79"/>
      <c r="BG350" s="6"/>
      <c r="BH350" s="6"/>
      <c r="BI350" s="582"/>
      <c r="BJ350" s="582"/>
      <c r="BK350" s="79"/>
      <c r="BL350" s="6"/>
      <c r="BM350" s="6"/>
      <c r="BN350" s="6"/>
      <c r="BO350" s="582"/>
      <c r="BP350" s="375"/>
      <c r="BQ350" s="376"/>
      <c r="BR350" s="376"/>
      <c r="BS350" s="376"/>
      <c r="BT350" s="582"/>
      <c r="BU350" s="375"/>
      <c r="BV350" s="376"/>
      <c r="BW350" s="376"/>
      <c r="BX350" s="376"/>
      <c r="BY350" s="582"/>
      <c r="BZ350" s="375"/>
      <c r="CA350" s="376"/>
      <c r="CB350" s="376"/>
      <c r="CC350" s="376"/>
      <c r="CD350" s="582"/>
      <c r="CE350" s="375"/>
      <c r="CF350" s="376"/>
      <c r="CG350" s="376"/>
      <c r="CH350" s="376"/>
      <c r="CI350" s="582"/>
      <c r="CJ350" s="375"/>
      <c r="CK350" s="376"/>
      <c r="CL350" s="376"/>
      <c r="CM350" s="376"/>
      <c r="CN350" s="376"/>
      <c r="CO350" s="375"/>
      <c r="CP350" s="376"/>
      <c r="CQ350" s="376"/>
      <c r="CR350" s="376"/>
      <c r="CS350" s="376"/>
      <c r="CT350" s="375"/>
      <c r="CU350" s="376"/>
      <c r="CV350" s="376"/>
      <c r="CW350" s="376"/>
      <c r="CX350" s="376"/>
      <c r="CY350" s="375"/>
      <c r="CZ350" s="376"/>
      <c r="DA350" s="376"/>
      <c r="DB350" s="376"/>
      <c r="DC350" s="376"/>
      <c r="DD350" s="375"/>
      <c r="DE350" s="376"/>
      <c r="DF350" s="376"/>
      <c r="DG350" s="376"/>
      <c r="DH350" s="376"/>
      <c r="DI350" s="375"/>
    </row>
    <row r="351" spans="1:113" s="7" customFormat="1" ht="12" hidden="1" customHeight="1" outlineLevel="1">
      <c r="A351" s="239" t="str">
        <f t="shared" si="1040"/>
        <v xml:space="preserve"> </v>
      </c>
      <c r="B351" s="551" t="s">
        <v>178</v>
      </c>
      <c r="C351" s="36"/>
      <c r="D351" s="43"/>
      <c r="E351" s="36"/>
      <c r="F351" s="43"/>
      <c r="G351" s="36"/>
      <c r="H351" s="43"/>
      <c r="I351" s="36"/>
      <c r="J351" s="43"/>
      <c r="K351" s="36"/>
      <c r="L351" s="43"/>
      <c r="M351" s="36"/>
      <c r="N351" s="43"/>
      <c r="O351" s="36"/>
      <c r="P351" s="43"/>
      <c r="Q351" s="36"/>
      <c r="R351" s="43" t="s">
        <v>126</v>
      </c>
      <c r="S351" s="43" t="s">
        <v>126</v>
      </c>
      <c r="T351" s="43" t="s">
        <v>126</v>
      </c>
      <c r="U351" s="43" t="s">
        <v>126</v>
      </c>
      <c r="V351" s="36" t="s">
        <v>126</v>
      </c>
      <c r="W351" s="43" t="s">
        <v>126</v>
      </c>
      <c r="X351" s="43" t="s">
        <v>126</v>
      </c>
      <c r="Y351" s="43" t="s">
        <v>126</v>
      </c>
      <c r="Z351" s="43" t="s">
        <v>126</v>
      </c>
      <c r="AA351" s="36" t="s">
        <v>126</v>
      </c>
      <c r="AB351" s="36"/>
      <c r="AC351" s="43" t="s">
        <v>126</v>
      </c>
      <c r="AD351" s="43" t="s">
        <v>126</v>
      </c>
      <c r="AE351" s="43">
        <v>524</v>
      </c>
      <c r="AF351" s="43">
        <v>568</v>
      </c>
      <c r="AG351" s="36"/>
      <c r="AH351" s="43">
        <v>458</v>
      </c>
      <c r="AI351" s="43">
        <v>500</v>
      </c>
      <c r="AJ351" s="43">
        <v>545</v>
      </c>
      <c r="AK351" s="43">
        <v>538</v>
      </c>
      <c r="AL351" s="36">
        <f>SUM(AH351:AK351)</f>
        <v>2041</v>
      </c>
      <c r="AM351" s="43">
        <v>508</v>
      </c>
      <c r="AN351" s="43">
        <v>564</v>
      </c>
      <c r="AO351" s="43">
        <v>579</v>
      </c>
      <c r="AP351" s="43">
        <v>582</v>
      </c>
      <c r="AQ351" s="36">
        <f>SUM(AM351:AP351)</f>
        <v>2233</v>
      </c>
      <c r="AR351" s="43">
        <v>634</v>
      </c>
      <c r="AS351" s="43">
        <v>657</v>
      </c>
      <c r="AT351" s="43">
        <v>672</v>
      </c>
      <c r="AU351" s="43">
        <v>660</v>
      </c>
      <c r="AV351" s="36">
        <f>SUM(AR351:AU351)</f>
        <v>2623</v>
      </c>
      <c r="AW351" s="43">
        <v>695</v>
      </c>
      <c r="AX351" s="43">
        <v>673</v>
      </c>
      <c r="AY351" s="43">
        <v>703</v>
      </c>
      <c r="AZ351" s="43">
        <v>703</v>
      </c>
      <c r="BA351" s="36">
        <f>SUM(AW351:AZ351)</f>
        <v>2774</v>
      </c>
      <c r="BB351" s="43">
        <v>730</v>
      </c>
      <c r="BC351" s="43">
        <v>708</v>
      </c>
      <c r="BD351" s="43">
        <v>848</v>
      </c>
      <c r="BE351" s="43">
        <f>BF351-SUM(BB351:BD351)</f>
        <v>930</v>
      </c>
      <c r="BF351" s="36">
        <v>3216</v>
      </c>
      <c r="BG351" s="43">
        <v>871</v>
      </c>
      <c r="BH351" s="43">
        <v>897</v>
      </c>
      <c r="BI351" s="369">
        <v>936</v>
      </c>
      <c r="BJ351" s="43">
        <f>BK351-SUM(BG351:BI351)</f>
        <v>1022</v>
      </c>
      <c r="BK351" s="36">
        <v>3726</v>
      </c>
      <c r="BL351" s="43">
        <v>986</v>
      </c>
      <c r="BM351" s="43">
        <v>1028</v>
      </c>
      <c r="BN351" s="43">
        <v>881</v>
      </c>
      <c r="BO351" s="43">
        <f>BP351-SUM(BL351:BN351)</f>
        <v>908</v>
      </c>
      <c r="BP351" s="36">
        <v>3803</v>
      </c>
      <c r="BQ351" s="43">
        <v>964</v>
      </c>
      <c r="BR351" s="257">
        <v>1159</v>
      </c>
      <c r="BS351" s="237">
        <v>1269</v>
      </c>
      <c r="BT351" s="43">
        <f>BU351-SUM(BQ351:BS351)</f>
        <v>1121</v>
      </c>
      <c r="BU351" s="36">
        <v>4513</v>
      </c>
      <c r="BV351" s="43">
        <v>1114</v>
      </c>
      <c r="BW351" s="257">
        <v>896</v>
      </c>
      <c r="BX351" s="237">
        <v>1241</v>
      </c>
      <c r="BY351" s="43">
        <f>BZ351-SUM(BV351:BX351)</f>
        <v>830</v>
      </c>
      <c r="BZ351" s="36">
        <v>4081</v>
      </c>
      <c r="CA351" s="43">
        <v>839</v>
      </c>
      <c r="CB351" s="257">
        <v>897</v>
      </c>
      <c r="CC351" s="257">
        <v>1126</v>
      </c>
      <c r="CD351" s="43">
        <f>CE351-SUM(CA351:CC351)</f>
        <v>1004</v>
      </c>
      <c r="CE351" s="36">
        <v>3866</v>
      </c>
      <c r="CF351" s="257">
        <v>895</v>
      </c>
      <c r="CG351" s="257">
        <v>1027</v>
      </c>
      <c r="CH351" s="257">
        <v>1243</v>
      </c>
      <c r="CI351" s="43">
        <f>CJ351-SUM(CF351:CH351)</f>
        <v>1097</v>
      </c>
      <c r="CJ351" s="36">
        <v>4262</v>
      </c>
      <c r="CK351" s="257">
        <v>971</v>
      </c>
      <c r="CL351" s="257">
        <v>904</v>
      </c>
      <c r="CM351" s="257">
        <v>995</v>
      </c>
      <c r="CN351" s="43">
        <f>CO351-SUM(CK351:CM351)</f>
        <v>829</v>
      </c>
      <c r="CO351" s="36">
        <v>3699</v>
      </c>
      <c r="CP351" s="257">
        <v>893</v>
      </c>
      <c r="CQ351" s="257">
        <v>767</v>
      </c>
      <c r="CR351" s="257">
        <v>888</v>
      </c>
      <c r="CS351" s="43">
        <f>CT351-SUM(CP351:CR351)</f>
        <v>707</v>
      </c>
      <c r="CT351" s="36">
        <v>3255</v>
      </c>
      <c r="CU351" s="237">
        <v>644</v>
      </c>
      <c r="CV351" s="237"/>
      <c r="CW351" s="237"/>
      <c r="CX351" s="237"/>
      <c r="CY351" s="36"/>
      <c r="CZ351" s="237"/>
      <c r="DA351" s="237"/>
      <c r="DB351" s="237"/>
      <c r="DC351" s="237"/>
      <c r="DD351" s="36"/>
      <c r="DE351" s="237"/>
      <c r="DF351" s="237"/>
      <c r="DG351" s="237"/>
      <c r="DH351" s="237"/>
      <c r="DI351" s="36"/>
    </row>
    <row r="352" spans="1:113" ht="12" hidden="1" customHeight="1" outlineLevel="1">
      <c r="A352" s="219" t="str">
        <f t="shared" si="1040"/>
        <v xml:space="preserve"> </v>
      </c>
      <c r="B352" s="491" t="s">
        <v>171</v>
      </c>
      <c r="C352" s="492"/>
      <c r="D352" s="522"/>
      <c r="E352" s="492"/>
      <c r="F352" s="522"/>
      <c r="G352" s="492"/>
      <c r="H352" s="522"/>
      <c r="I352" s="492"/>
      <c r="J352" s="522"/>
      <c r="K352" s="492"/>
      <c r="L352" s="522"/>
      <c r="M352" s="492"/>
      <c r="N352" s="522"/>
      <c r="O352" s="492"/>
      <c r="P352" s="522"/>
      <c r="Q352" s="492"/>
      <c r="R352" s="378" t="s">
        <v>126</v>
      </c>
      <c r="S352" s="522" t="s">
        <v>126</v>
      </c>
      <c r="T352" s="522" t="s">
        <v>126</v>
      </c>
      <c r="U352" s="522" t="s">
        <v>126</v>
      </c>
      <c r="V352" s="492" t="s">
        <v>126</v>
      </c>
      <c r="W352" s="52" t="s">
        <v>126</v>
      </c>
      <c r="X352" s="52" t="s">
        <v>126</v>
      </c>
      <c r="Y352" s="52" t="s">
        <v>126</v>
      </c>
      <c r="Z352" s="52" t="s">
        <v>126</v>
      </c>
      <c r="AA352" s="112" t="s">
        <v>126</v>
      </c>
      <c r="AB352" s="112"/>
      <c r="AC352" s="52" t="s">
        <v>126</v>
      </c>
      <c r="AD352" s="52" t="s">
        <v>126</v>
      </c>
      <c r="AE352" s="217" t="s">
        <v>126</v>
      </c>
      <c r="AF352" s="217" t="s">
        <v>126</v>
      </c>
      <c r="AG352" s="232" t="s">
        <v>126</v>
      </c>
      <c r="AH352" s="52" t="s">
        <v>126</v>
      </c>
      <c r="AI352" s="52" t="s">
        <v>126</v>
      </c>
      <c r="AJ352" s="52">
        <f>+AJ351/AE351-1</f>
        <v>4.0076335877862634E-2</v>
      </c>
      <c r="AK352" s="52">
        <f>+AK351/AF351-1</f>
        <v>-5.2816901408450745E-2</v>
      </c>
      <c r="AL352" s="112" t="s">
        <v>126</v>
      </c>
      <c r="AM352" s="52">
        <f t="shared" ref="AM352:BD352" si="1132">+AM351/AH351-1</f>
        <v>0.10917030567685582</v>
      </c>
      <c r="AN352" s="52">
        <f t="shared" si="1132"/>
        <v>0.12799999999999989</v>
      </c>
      <c r="AO352" s="52">
        <f t="shared" si="1132"/>
        <v>6.2385321100917324E-2</v>
      </c>
      <c r="AP352" s="52">
        <f t="shared" si="1132"/>
        <v>8.1784386617100413E-2</v>
      </c>
      <c r="AQ352" s="112">
        <f t="shared" si="1132"/>
        <v>9.4071533561979503E-2</v>
      </c>
      <c r="AR352" s="52">
        <f t="shared" si="1132"/>
        <v>0.24803149606299213</v>
      </c>
      <c r="AS352" s="52">
        <f t="shared" si="1132"/>
        <v>0.16489361702127669</v>
      </c>
      <c r="AT352" s="52">
        <f t="shared" si="1132"/>
        <v>0.16062176165803099</v>
      </c>
      <c r="AU352" s="52">
        <f t="shared" si="1132"/>
        <v>0.134020618556701</v>
      </c>
      <c r="AV352" s="112">
        <f t="shared" si="1132"/>
        <v>0.17465293327362286</v>
      </c>
      <c r="AW352" s="52">
        <f t="shared" si="1132"/>
        <v>9.6214511041009532E-2</v>
      </c>
      <c r="AX352" s="52">
        <f t="shared" si="1132"/>
        <v>2.4353120243531201E-2</v>
      </c>
      <c r="AY352" s="52">
        <f t="shared" si="1132"/>
        <v>4.6130952380952328E-2</v>
      </c>
      <c r="AZ352" s="52">
        <f t="shared" si="1132"/>
        <v>6.5151515151515182E-2</v>
      </c>
      <c r="BA352" s="112">
        <f t="shared" si="1132"/>
        <v>5.7567670606176069E-2</v>
      </c>
      <c r="BB352" s="52">
        <f t="shared" si="1132"/>
        <v>5.0359712230215736E-2</v>
      </c>
      <c r="BC352" s="52">
        <f t="shared" si="1132"/>
        <v>5.2005943536404198E-2</v>
      </c>
      <c r="BD352" s="52">
        <f t="shared" si="1132"/>
        <v>0.2062588904694167</v>
      </c>
      <c r="BE352" s="52">
        <f t="shared" ref="BE352:BI352" si="1133">+BE351/AZ351-1</f>
        <v>0.32290184921763876</v>
      </c>
      <c r="BF352" s="112">
        <f t="shared" si="1133"/>
        <v>0.15933669790915639</v>
      </c>
      <c r="BG352" s="52">
        <f t="shared" si="1133"/>
        <v>0.19315068493150678</v>
      </c>
      <c r="BH352" s="52">
        <f t="shared" si="1133"/>
        <v>0.26694915254237284</v>
      </c>
      <c r="BI352" s="114">
        <f t="shared" si="1133"/>
        <v>0.10377358490566047</v>
      </c>
      <c r="BJ352" s="52">
        <f t="shared" ref="BJ352" si="1134">+BJ351/BE351-1</f>
        <v>9.8924731182795655E-2</v>
      </c>
      <c r="BK352" s="112">
        <f t="shared" ref="BK352:BN352" si="1135">+BK351/BF351-1</f>
        <v>0.15858208955223874</v>
      </c>
      <c r="BL352" s="52">
        <f t="shared" si="1135"/>
        <v>0.13203214695752008</v>
      </c>
      <c r="BM352" s="52">
        <f t="shared" si="1135"/>
        <v>0.14604236343366783</v>
      </c>
      <c r="BN352" s="52">
        <f t="shared" si="1135"/>
        <v>-5.8760683760683774E-2</v>
      </c>
      <c r="BO352" s="52">
        <f t="shared" ref="BO352" si="1136">+BO351/BJ351-1</f>
        <v>-0.11154598825831707</v>
      </c>
      <c r="BP352" s="112">
        <f t="shared" ref="BP352:CH352" si="1137">+BP351/BK351-1</f>
        <v>2.0665593129361337E-2</v>
      </c>
      <c r="BQ352" s="52">
        <f t="shared" si="1137"/>
        <v>-2.2312373225152116E-2</v>
      </c>
      <c r="BR352" s="52">
        <f t="shared" si="1137"/>
        <v>0.12743190661478598</v>
      </c>
      <c r="BS352" s="52">
        <f t="shared" si="1137"/>
        <v>0.44040862656072655</v>
      </c>
      <c r="BT352" s="52">
        <f t="shared" si="1137"/>
        <v>0.23458149779735682</v>
      </c>
      <c r="BU352" s="112">
        <f t="shared" si="1137"/>
        <v>0.18669471469892196</v>
      </c>
      <c r="BV352" s="52">
        <f t="shared" si="1137"/>
        <v>0.15560165975103724</v>
      </c>
      <c r="BW352" s="52">
        <f t="shared" ref="BW352" si="1138">+BW351/BR351-1</f>
        <v>-0.22691975841242451</v>
      </c>
      <c r="BX352" s="52">
        <f t="shared" si="1137"/>
        <v>-2.2064617809298692E-2</v>
      </c>
      <c r="BY352" s="52">
        <f t="shared" si="1137"/>
        <v>-0.25958965209634255</v>
      </c>
      <c r="BZ352" s="112">
        <f t="shared" si="1137"/>
        <v>-9.5723465543984032E-2</v>
      </c>
      <c r="CA352" s="52">
        <f t="shared" si="1137"/>
        <v>-0.2468581687612208</v>
      </c>
      <c r="CB352" s="52">
        <f t="shared" si="1137"/>
        <v>1.1160714285713969E-3</v>
      </c>
      <c r="CC352" s="52">
        <f t="shared" si="1137"/>
        <v>-9.2667203867848547E-2</v>
      </c>
      <c r="CD352" s="52">
        <f t="shared" si="1137"/>
        <v>0.2096385542168675</v>
      </c>
      <c r="CE352" s="112">
        <f t="shared" si="1137"/>
        <v>-5.2683165890713091E-2</v>
      </c>
      <c r="CF352" s="52">
        <f t="shared" si="1137"/>
        <v>6.6746126340881951E-2</v>
      </c>
      <c r="CG352" s="52">
        <f t="shared" si="1137"/>
        <v>0.14492753623188404</v>
      </c>
      <c r="CH352" s="52">
        <f t="shared" si="1137"/>
        <v>0.10390763765541733</v>
      </c>
      <c r="CI352" s="52">
        <f t="shared" ref="CI352" si="1139">+CI351/CD351-1</f>
        <v>9.2629482071713065E-2</v>
      </c>
      <c r="CJ352" s="112">
        <f t="shared" ref="CJ352:CU352" si="1140">+CJ351/CE351-1</f>
        <v>0.10243145369891371</v>
      </c>
      <c r="CK352" s="52">
        <f t="shared" si="1140"/>
        <v>8.4916201117318346E-2</v>
      </c>
      <c r="CL352" s="52">
        <f t="shared" si="1140"/>
        <v>-0.11976630963972734</v>
      </c>
      <c r="CM352" s="52">
        <f t="shared" si="1140"/>
        <v>-0.19951729686242958</v>
      </c>
      <c r="CN352" s="52">
        <f t="shared" si="1140"/>
        <v>-0.24430264357338194</v>
      </c>
      <c r="CO352" s="112">
        <f t="shared" si="1140"/>
        <v>-0.13209760675739091</v>
      </c>
      <c r="CP352" s="52">
        <f t="shared" si="1140"/>
        <v>-8.0329557157569509E-2</v>
      </c>
      <c r="CQ352" s="52">
        <f t="shared" si="1140"/>
        <v>-0.15154867256637172</v>
      </c>
      <c r="CR352" s="52">
        <f t="shared" si="1140"/>
        <v>-0.10753768844221101</v>
      </c>
      <c r="CS352" s="52">
        <f t="shared" si="1140"/>
        <v>-0.1471652593486128</v>
      </c>
      <c r="CT352" s="112">
        <f t="shared" si="1140"/>
        <v>-0.12003244120032441</v>
      </c>
      <c r="CU352" s="52">
        <f t="shared" si="1140"/>
        <v>-0.27883538633818594</v>
      </c>
      <c r="CV352" s="376"/>
      <c r="CW352" s="376"/>
      <c r="CX352" s="376"/>
      <c r="CY352" s="375"/>
      <c r="CZ352" s="376"/>
      <c r="DA352" s="376"/>
      <c r="DB352" s="376"/>
      <c r="DC352" s="376"/>
      <c r="DD352" s="375"/>
      <c r="DE352" s="376"/>
      <c r="DF352" s="376"/>
      <c r="DG352" s="376"/>
      <c r="DH352" s="376"/>
      <c r="DI352" s="375"/>
    </row>
    <row r="353" spans="1:113" s="529" customFormat="1" ht="12" hidden="1" customHeight="1" outlineLevel="1">
      <c r="A353" s="490" t="str">
        <f t="shared" si="1040"/>
        <v xml:space="preserve"> </v>
      </c>
      <c r="B353" s="526" t="s">
        <v>173</v>
      </c>
      <c r="C353" s="112"/>
      <c r="D353" s="52"/>
      <c r="E353" s="112"/>
      <c r="F353" s="52"/>
      <c r="G353" s="112"/>
      <c r="H353" s="52"/>
      <c r="I353" s="112"/>
      <c r="J353" s="52"/>
      <c r="K353" s="112"/>
      <c r="L353" s="52"/>
      <c r="M353" s="112"/>
      <c r="N353" s="52"/>
      <c r="O353" s="112"/>
      <c r="P353" s="52"/>
      <c r="Q353" s="112"/>
      <c r="R353" s="217" t="s">
        <v>126</v>
      </c>
      <c r="S353" s="52" t="s">
        <v>126</v>
      </c>
      <c r="T353" s="52" t="s">
        <v>126</v>
      </c>
      <c r="U353" s="52" t="s">
        <v>126</v>
      </c>
      <c r="V353" s="112" t="s">
        <v>126</v>
      </c>
      <c r="W353" s="52" t="s">
        <v>126</v>
      </c>
      <c r="X353" s="52" t="s">
        <v>126</v>
      </c>
      <c r="Y353" s="52" t="s">
        <v>126</v>
      </c>
      <c r="Z353" s="52" t="s">
        <v>126</v>
      </c>
      <c r="AA353" s="112" t="s">
        <v>126</v>
      </c>
      <c r="AB353" s="112"/>
      <c r="AC353" s="52" t="s">
        <v>126</v>
      </c>
      <c r="AD353" s="52" t="s">
        <v>126</v>
      </c>
      <c r="AE353" s="217" t="s">
        <v>126</v>
      </c>
      <c r="AF353" s="217" t="s">
        <v>126</v>
      </c>
      <c r="AG353" s="232" t="s">
        <v>126</v>
      </c>
      <c r="AH353" s="52" t="s">
        <v>126</v>
      </c>
      <c r="AI353" s="52" t="s">
        <v>126</v>
      </c>
      <c r="AJ353" s="52">
        <v>0.02</v>
      </c>
      <c r="AK353" s="52" t="s">
        <v>126</v>
      </c>
      <c r="AL353" s="112">
        <v>-0.04</v>
      </c>
      <c r="AM353" s="52">
        <v>0.12</v>
      </c>
      <c r="AN353" s="52">
        <v>0.13</v>
      </c>
      <c r="AO353" s="52">
        <v>0.08</v>
      </c>
      <c r="AP353" s="52">
        <f>+AP352-AP321+AP322</f>
        <v>0.10087270570541956</v>
      </c>
      <c r="AQ353" s="112">
        <v>0.11</v>
      </c>
      <c r="AR353" s="52">
        <v>0.25</v>
      </c>
      <c r="AS353" s="52">
        <v>0.2</v>
      </c>
      <c r="AT353" s="52">
        <v>0.21</v>
      </c>
      <c r="AU353" s="52">
        <f>+AU352-AU321+AU322</f>
        <v>0.18307972591496394</v>
      </c>
      <c r="AV353" s="112">
        <v>0.21</v>
      </c>
      <c r="AW353" s="52">
        <v>0.15</v>
      </c>
      <c r="AX353" s="52">
        <v>0.06</v>
      </c>
      <c r="AY353" s="52">
        <v>0.1</v>
      </c>
      <c r="AZ353" s="52">
        <f>+AZ352-AZ321+AZ322</f>
        <v>0.11483486550902286</v>
      </c>
      <c r="BA353" s="112">
        <v>0.11</v>
      </c>
      <c r="BB353" s="52">
        <v>0.08</v>
      </c>
      <c r="BC353" s="52">
        <v>0.04</v>
      </c>
      <c r="BD353" s="52">
        <v>0.16</v>
      </c>
      <c r="BE353" s="52">
        <f>((BF353*SUM(AW351:AZ351))-BB353*AW351-BC353*AX351-BD353*AY351)/AZ351</f>
        <v>0.23559032716927447</v>
      </c>
      <c r="BF353" s="112">
        <v>0.13</v>
      </c>
      <c r="BG353" s="52">
        <v>0.15</v>
      </c>
      <c r="BH353" s="52">
        <v>0.31</v>
      </c>
      <c r="BI353" s="52">
        <v>0.15</v>
      </c>
      <c r="BJ353" s="52">
        <f>((BK353*SUM(BB351:BE351))-BG353*BB351-BH353*BC351-BI353*BD351)/BE351</f>
        <v>0.16651612903225801</v>
      </c>
      <c r="BK353" s="112">
        <v>0.19</v>
      </c>
      <c r="BL353" s="52">
        <v>0.19</v>
      </c>
      <c r="BM353" s="52">
        <v>0.19</v>
      </c>
      <c r="BN353" s="52">
        <v>-0.05</v>
      </c>
      <c r="BO353" s="52">
        <f>((BP353*SUM(BG351:BJ351))-BL353*BG351-BM353*BH351-BN353*BI351)/BJ351</f>
        <v>-6.4148727984344428E-2</v>
      </c>
      <c r="BP353" s="112">
        <v>0.06</v>
      </c>
      <c r="BQ353" s="52">
        <v>0</v>
      </c>
      <c r="BR353" s="52">
        <v>0.08</v>
      </c>
      <c r="BS353" s="554">
        <v>0.35</v>
      </c>
      <c r="BT353" s="52">
        <f>((BU353*SUM(BL351:BO351))-BQ353*BL351-BR353*BM351-BS353*BN351)/BO351</f>
        <v>0.15620044052863447</v>
      </c>
      <c r="BU353" s="112">
        <v>0.14000000000000001</v>
      </c>
      <c r="BV353" s="52">
        <v>0.05</v>
      </c>
      <c r="BW353" s="52">
        <v>-0.27</v>
      </c>
      <c r="BX353" s="554">
        <v>-0.05</v>
      </c>
      <c r="BY353" s="52">
        <f>((BZ353*SUM(BQ351:BT351))-BV353*BQ351-BW353*BR351-BX353*BS351)/BT351</f>
        <v>-0.27086529884032123</v>
      </c>
      <c r="BZ353" s="112">
        <v>-0.14000000000000001</v>
      </c>
      <c r="CA353" s="52">
        <v>-0.21</v>
      </c>
      <c r="CB353" s="554">
        <v>0.08</v>
      </c>
      <c r="CC353" s="554">
        <v>-0.01</v>
      </c>
      <c r="CD353" s="52">
        <f>((CE353*SUM(BV351:BY351))-CA353*BV351-CB353*BW351-CC353*BX351)/BY351</f>
        <v>0.30878313253012052</v>
      </c>
      <c r="CE353" s="583">
        <v>0.02</v>
      </c>
      <c r="CF353" s="554">
        <v>0.14000000000000001</v>
      </c>
      <c r="CG353" s="554">
        <v>0.19</v>
      </c>
      <c r="CH353" s="554">
        <v>0.12</v>
      </c>
      <c r="CI353" s="52">
        <f>((CJ353*SUM(CA351:CD351))-CF353*CA351-CG353*CB351-CH353*CC351)/CD351</f>
        <v>0.15626494023904375</v>
      </c>
      <c r="CJ353" s="583">
        <v>0.15</v>
      </c>
      <c r="CK353" s="554">
        <v>0.1</v>
      </c>
      <c r="CL353" s="554">
        <v>-0.15</v>
      </c>
      <c r="CM353" s="554">
        <v>-0.18</v>
      </c>
      <c r="CN353" s="554">
        <v>-0.24</v>
      </c>
      <c r="CO353" s="583">
        <v>-0.13</v>
      </c>
      <c r="CP353" s="554">
        <v>-0.09</v>
      </c>
      <c r="CQ353" s="554">
        <v>-0.15</v>
      </c>
      <c r="CR353" s="554">
        <v>-0.13</v>
      </c>
      <c r="CS353" s="52">
        <f>((CT353*SUM(CK351:CN351))-CP353*CK351-CQ353*CL351-CR353*CM351)/CN351</f>
        <v>-0.19966224366706878</v>
      </c>
      <c r="CT353" s="583">
        <v>-0.14000000000000001</v>
      </c>
      <c r="CU353" s="554">
        <v>-0.31</v>
      </c>
      <c r="CV353" s="586"/>
      <c r="CW353" s="586"/>
      <c r="CX353" s="586"/>
      <c r="CY353" s="587"/>
      <c r="CZ353" s="586"/>
      <c r="DA353" s="586"/>
      <c r="DB353" s="586"/>
      <c r="DC353" s="586"/>
      <c r="DD353" s="587"/>
      <c r="DE353" s="586"/>
      <c r="DF353" s="586"/>
      <c r="DG353" s="586"/>
      <c r="DH353" s="586"/>
      <c r="DI353" s="587"/>
    </row>
    <row r="354" spans="1:113" ht="12" hidden="1" customHeight="1" outlineLevel="1">
      <c r="A354" s="219" t="str">
        <f t="shared" si="1040"/>
        <v xml:space="preserve"> </v>
      </c>
      <c r="B354" s="491" t="s">
        <v>141</v>
      </c>
      <c r="C354" s="492"/>
      <c r="D354" s="522"/>
      <c r="E354" s="492"/>
      <c r="F354" s="522"/>
      <c r="G354" s="492"/>
      <c r="H354" s="522"/>
      <c r="I354" s="492"/>
      <c r="J354" s="522"/>
      <c r="K354" s="492"/>
      <c r="L354" s="522"/>
      <c r="M354" s="492"/>
      <c r="N354" s="522"/>
      <c r="O354" s="492"/>
      <c r="P354" s="522"/>
      <c r="Q354" s="492"/>
      <c r="R354" s="399" t="s">
        <v>126</v>
      </c>
      <c r="S354" s="376" t="s">
        <v>126</v>
      </c>
      <c r="T354" s="376" t="s">
        <v>126</v>
      </c>
      <c r="U354" s="376" t="s">
        <v>126</v>
      </c>
      <c r="V354" s="375" t="s">
        <v>126</v>
      </c>
      <c r="W354" s="52" t="s">
        <v>126</v>
      </c>
      <c r="X354" s="52" t="s">
        <v>126</v>
      </c>
      <c r="Y354" s="52" t="s">
        <v>126</v>
      </c>
      <c r="Z354" s="52" t="s">
        <v>126</v>
      </c>
      <c r="AA354" s="112" t="s">
        <v>126</v>
      </c>
      <c r="AB354" s="112"/>
      <c r="AC354" s="52" t="s">
        <v>126</v>
      </c>
      <c r="AD354" s="52" t="s">
        <v>126</v>
      </c>
      <c r="AE354" s="217" t="s">
        <v>126</v>
      </c>
      <c r="AF354" s="217" t="s">
        <v>126</v>
      </c>
      <c r="AG354" s="232" t="s">
        <v>126</v>
      </c>
      <c r="AH354" s="376" t="s">
        <v>126</v>
      </c>
      <c r="AI354" s="376" t="s">
        <v>126</v>
      </c>
      <c r="AJ354" s="52">
        <f>(1+AJ352)/(1+AJ353)-1</f>
        <v>1.9682682233198578E-2</v>
      </c>
      <c r="AK354" s="376" t="s">
        <v>126</v>
      </c>
      <c r="AL354" s="375" t="s">
        <v>126</v>
      </c>
      <c r="AM354" s="52">
        <f t="shared" ref="AM354:BG354" si="1141">(1+AM352)/(1+AM353)-1</f>
        <v>-9.6693699313787906E-3</v>
      </c>
      <c r="AN354" s="52">
        <f t="shared" si="1141"/>
        <v>-1.7699115044247371E-3</v>
      </c>
      <c r="AO354" s="52">
        <f t="shared" si="1141"/>
        <v>-1.6309887869521034E-2</v>
      </c>
      <c r="AP354" s="52">
        <f t="shared" si="1141"/>
        <v>-1.7339260923984523E-2</v>
      </c>
      <c r="AQ354" s="112">
        <f t="shared" si="1141"/>
        <v>-1.4349969763982506E-2</v>
      </c>
      <c r="AR354" s="52">
        <f t="shared" si="1141"/>
        <v>-1.5748031496063408E-3</v>
      </c>
      <c r="AS354" s="52">
        <f t="shared" si="1141"/>
        <v>-2.9255319148936088E-2</v>
      </c>
      <c r="AT354" s="52">
        <f t="shared" si="1141"/>
        <v>-4.0808461439643784E-2</v>
      </c>
      <c r="AU354" s="52">
        <f t="shared" si="1141"/>
        <v>-4.1467287692992794E-2</v>
      </c>
      <c r="AV354" s="112">
        <f t="shared" si="1141"/>
        <v>-2.9212451839981113E-2</v>
      </c>
      <c r="AW354" s="52">
        <f t="shared" si="1141"/>
        <v>-4.6769990399122108E-2</v>
      </c>
      <c r="AX354" s="52">
        <f t="shared" si="1141"/>
        <v>-3.3629131845725357E-2</v>
      </c>
      <c r="AY354" s="52">
        <f t="shared" si="1141"/>
        <v>-4.8971861471861611E-2</v>
      </c>
      <c r="AZ354" s="52">
        <f t="shared" si="1141"/>
        <v>-4.4565658910230344E-2</v>
      </c>
      <c r="BA354" s="112">
        <f t="shared" si="1141"/>
        <v>-4.723633278722883E-2</v>
      </c>
      <c r="BB354" s="52">
        <f t="shared" si="1141"/>
        <v>-2.7444710897948421E-2</v>
      </c>
      <c r="BC354" s="52">
        <f t="shared" si="1141"/>
        <v>1.1544176477311652E-2</v>
      </c>
      <c r="BD354" s="52">
        <f t="shared" si="1141"/>
        <v>3.987835385294547E-2</v>
      </c>
      <c r="BE354" s="52">
        <f t="shared" si="1141"/>
        <v>7.0663811563169254E-2</v>
      </c>
      <c r="BF354" s="112">
        <f t="shared" si="1141"/>
        <v>2.5961679565625229E-2</v>
      </c>
      <c r="BG354" s="52">
        <f t="shared" si="1141"/>
        <v>3.7522334723049555E-2</v>
      </c>
      <c r="BH354" s="52">
        <f>(1+BH352)/(1+BH353)-1</f>
        <v>-3.2863242334066567E-2</v>
      </c>
      <c r="BI354" s="52">
        <f>(1+BI352)/(1+BI353)-1</f>
        <v>-4.0196882690729963E-2</v>
      </c>
      <c r="BJ354" s="52">
        <f t="shared" ref="BJ354:BP354" si="1142">(1+BJ352)/(1+BJ353)-1</f>
        <v>-5.7942960381984876E-2</v>
      </c>
      <c r="BK354" s="112">
        <f t="shared" si="1142"/>
        <v>-2.6401605418286733E-2</v>
      </c>
      <c r="BL354" s="52">
        <f t="shared" si="1142"/>
        <v>-4.8712481548302433E-2</v>
      </c>
      <c r="BM354" s="52">
        <f t="shared" si="1142"/>
        <v>-3.6939190391875765E-2</v>
      </c>
      <c r="BN354" s="52">
        <f t="shared" si="1142"/>
        <v>-9.221772379667037E-3</v>
      </c>
      <c r="BO354" s="52">
        <f t="shared" si="1142"/>
        <v>-5.0646146125214342E-2</v>
      </c>
      <c r="BP354" s="112">
        <f t="shared" si="1142"/>
        <v>-3.710793101003651E-2</v>
      </c>
      <c r="BQ354" s="52">
        <f t="shared" ref="BQ354:BX354" si="1143">(1+BQ352)/(1+BQ353)-1</f>
        <v>-2.2312373225152116E-2</v>
      </c>
      <c r="BR354" s="52">
        <f t="shared" si="1143"/>
        <v>4.3918432050727763E-2</v>
      </c>
      <c r="BS354" s="52">
        <f t="shared" si="1143"/>
        <v>6.6969353007945598E-2</v>
      </c>
      <c r="BT354" s="52">
        <f t="shared" si="1143"/>
        <v>6.7791928216949238E-2</v>
      </c>
      <c r="BU354" s="112">
        <f t="shared" si="1143"/>
        <v>4.096027605168584E-2</v>
      </c>
      <c r="BV354" s="52">
        <f t="shared" si="1143"/>
        <v>0.1005730092867021</v>
      </c>
      <c r="BW354" s="52">
        <f t="shared" si="1143"/>
        <v>5.9014029572021176E-2</v>
      </c>
      <c r="BX354" s="52">
        <f t="shared" si="1143"/>
        <v>2.9405665463896113E-2</v>
      </c>
      <c r="BY354" s="52">
        <f t="shared" ref="BY354" si="1144">(1+BY352)/(1+BY353)-1</f>
        <v>1.5464422041695514E-2</v>
      </c>
      <c r="BZ354" s="112">
        <f t="shared" ref="BZ354:CH354" si="1145">(1+BZ352)/(1+BZ353)-1</f>
        <v>5.1484342390716309E-2</v>
      </c>
      <c r="CA354" s="52">
        <f t="shared" si="1145"/>
        <v>-4.6655909824330211E-2</v>
      </c>
      <c r="CB354" s="52">
        <f>(1+CB352)/(1+CB353)-1</f>
        <v>-7.3040674603174649E-2</v>
      </c>
      <c r="CC354" s="52">
        <f t="shared" si="1145"/>
        <v>-8.3502226129139934E-2</v>
      </c>
      <c r="CD354" s="52">
        <f t="shared" si="1145"/>
        <v>-7.5753251894061346E-2</v>
      </c>
      <c r="CE354" s="112">
        <f t="shared" si="1145"/>
        <v>-7.125800577520891E-2</v>
      </c>
      <c r="CF354" s="52">
        <f t="shared" si="1145"/>
        <v>-6.425778391150716E-2</v>
      </c>
      <c r="CG354" s="52">
        <f>(1+CG352)/(1+CG353)-1</f>
        <v>-3.7876019973206665E-2</v>
      </c>
      <c r="CH354" s="52">
        <f t="shared" si="1145"/>
        <v>-1.4368180664806052E-2</v>
      </c>
      <c r="CI354" s="52">
        <f t="shared" ref="CI354:CK354" si="1146">(1+CI352)/(1+CI353)-1</f>
        <v>-5.5035360800764876E-2</v>
      </c>
      <c r="CJ354" s="112">
        <f t="shared" si="1146"/>
        <v>-4.13639533052923E-2</v>
      </c>
      <c r="CK354" s="52">
        <f t="shared" si="1146"/>
        <v>-1.3712544438801544E-2</v>
      </c>
      <c r="CL354" s="52">
        <f>(1+CL352)/(1+CL353)-1</f>
        <v>3.5569047482673755E-2</v>
      </c>
      <c r="CM354" s="52">
        <f>(1+CM352)/(1+CM353)-1</f>
        <v>-2.3801581539548367E-2</v>
      </c>
      <c r="CN354" s="52">
        <f t="shared" ref="CN354" si="1147">(1+CN352)/(1+CN353)-1</f>
        <v>-5.6613731228709607E-3</v>
      </c>
      <c r="CO354" s="112">
        <f t="shared" ref="CO354:CP354" si="1148">(1+CO352)/(1+CO353)-1</f>
        <v>-2.4110422498746509E-3</v>
      </c>
      <c r="CP354" s="52">
        <f t="shared" si="1148"/>
        <v>1.0626860266407023E-2</v>
      </c>
      <c r="CQ354" s="52">
        <f>(1+CQ352)/(1+CQ353)-1</f>
        <v>-1.8219677251432032E-3</v>
      </c>
      <c r="CR354" s="52">
        <f>(1+CR352)/(1+CR353)-1</f>
        <v>2.5818748916998757E-2</v>
      </c>
      <c r="CS354" s="52">
        <f t="shared" ref="CS354:CU354" si="1149">(1+CS352)/(1+CS353)-1</f>
        <v>6.5593537107373256E-2</v>
      </c>
      <c r="CT354" s="112">
        <f t="shared" si="1149"/>
        <v>2.3218091627529747E-2</v>
      </c>
      <c r="CU354" s="52">
        <f t="shared" si="1149"/>
        <v>4.5166106756252322E-2</v>
      </c>
      <c r="CV354" s="376"/>
      <c r="CW354" s="376"/>
      <c r="CX354" s="376"/>
      <c r="CY354" s="375"/>
      <c r="CZ354" s="376"/>
      <c r="DA354" s="376"/>
      <c r="DB354" s="376"/>
      <c r="DC354" s="376"/>
      <c r="DD354" s="375"/>
      <c r="DE354" s="376"/>
      <c r="DF354" s="376"/>
      <c r="DG354" s="376"/>
      <c r="DH354" s="376"/>
      <c r="DI354" s="375"/>
    </row>
    <row r="355" spans="1:113" ht="12" hidden="1" customHeight="1" outlineLevel="1">
      <c r="A355" s="219"/>
      <c r="B355" s="17"/>
      <c r="C355" s="79"/>
      <c r="D355" s="6"/>
      <c r="E355" s="79"/>
      <c r="F355" s="6"/>
      <c r="G355" s="79"/>
      <c r="H355" s="6"/>
      <c r="I355" s="79"/>
      <c r="J355" s="6"/>
      <c r="K355" s="79"/>
      <c r="L355" s="6"/>
      <c r="M355" s="79"/>
      <c r="N355" s="6"/>
      <c r="O355" s="79"/>
      <c r="P355" s="6"/>
      <c r="Q355" s="79"/>
      <c r="R355" s="6"/>
      <c r="S355" s="6"/>
      <c r="T355" s="6"/>
      <c r="U355" s="6"/>
      <c r="V355" s="79"/>
      <c r="W355" s="6"/>
      <c r="X355" s="6"/>
      <c r="Y355" s="6"/>
      <c r="Z355" s="6"/>
      <c r="AA355" s="79"/>
      <c r="AB355" s="79"/>
      <c r="AC355" s="6"/>
      <c r="AD355" s="6"/>
      <c r="AE355" s="6"/>
      <c r="AF355" s="6"/>
      <c r="AG355" s="79"/>
      <c r="AH355" s="6"/>
      <c r="AI355" s="6"/>
      <c r="AJ355" s="6"/>
      <c r="AK355" s="6"/>
      <c r="AL355" s="79"/>
      <c r="AM355" s="6"/>
      <c r="AN355" s="6"/>
      <c r="AO355" s="6"/>
      <c r="AP355" s="6"/>
      <c r="AQ355" s="79"/>
      <c r="AR355" s="6"/>
      <c r="AS355" s="6"/>
      <c r="AT355" s="6"/>
      <c r="AU355" s="6"/>
      <c r="AV355" s="79"/>
      <c r="AW355" s="6"/>
      <c r="AX355" s="6"/>
      <c r="AY355" s="6"/>
      <c r="AZ355" s="6"/>
      <c r="BA355" s="79"/>
      <c r="BB355" s="6"/>
      <c r="BC355" s="6"/>
      <c r="BD355" s="6"/>
      <c r="BE355" s="6"/>
      <c r="BF355" s="79"/>
      <c r="BG355" s="6"/>
      <c r="BH355" s="6"/>
      <c r="BI355" s="6"/>
      <c r="BJ355" s="6"/>
      <c r="BK355" s="79"/>
      <c r="BL355" s="6"/>
      <c r="BM355" s="6"/>
      <c r="BN355" s="6"/>
      <c r="BO355" s="6"/>
      <c r="BP355" s="79"/>
      <c r="BQ355" s="6"/>
      <c r="BR355" s="6"/>
      <c r="BS355" s="6"/>
      <c r="BT355" s="6"/>
      <c r="BU355" s="79"/>
      <c r="BV355" s="6"/>
      <c r="BW355" s="6"/>
      <c r="BX355" s="6"/>
      <c r="BY355" s="6"/>
      <c r="BZ355" s="79"/>
      <c r="CA355" s="6"/>
      <c r="CB355" s="6"/>
      <c r="CC355" s="6"/>
      <c r="CD355" s="6"/>
      <c r="CE355" s="79"/>
      <c r="CF355" s="6"/>
      <c r="CG355" s="6"/>
      <c r="CH355" s="6"/>
      <c r="CI355" s="6"/>
      <c r="CJ355" s="79"/>
      <c r="CK355" s="6"/>
      <c r="CL355" s="6"/>
      <c r="CM355" s="6"/>
      <c r="CN355" s="6"/>
      <c r="CO355" s="79"/>
      <c r="CP355" s="6"/>
      <c r="CQ355" s="6"/>
      <c r="CR355" s="6"/>
      <c r="CS355" s="6"/>
      <c r="CT355" s="79"/>
      <c r="CU355" s="6"/>
      <c r="CV355" s="6"/>
      <c r="CW355" s="6"/>
      <c r="CX355" s="6"/>
      <c r="CY355" s="79"/>
      <c r="CZ355" s="6"/>
      <c r="DA355" s="6"/>
      <c r="DB355" s="6"/>
      <c r="DC355" s="6"/>
      <c r="DD355" s="79"/>
      <c r="DE355" s="6"/>
      <c r="DF355" s="6"/>
      <c r="DG355" s="6"/>
      <c r="DH355" s="6"/>
      <c r="DI355" s="79"/>
    </row>
    <row r="356" spans="1:113" ht="12" hidden="1" customHeight="1" outlineLevel="1">
      <c r="A356" s="219" t="str">
        <f t="shared" si="1040"/>
        <v xml:space="preserve"> </v>
      </c>
      <c r="B356" s="17" t="s">
        <v>307</v>
      </c>
      <c r="C356" s="41"/>
      <c r="D356" s="9"/>
      <c r="E356" s="41"/>
      <c r="F356" s="9"/>
      <c r="G356" s="41"/>
      <c r="H356" s="9"/>
      <c r="I356" s="41"/>
      <c r="J356" s="9"/>
      <c r="K356" s="41"/>
      <c r="L356" s="9"/>
      <c r="M356" s="41"/>
      <c r="N356" s="9"/>
      <c r="O356" s="41"/>
      <c r="P356" s="9"/>
      <c r="Q356" s="41"/>
      <c r="R356" s="412" t="s">
        <v>126</v>
      </c>
      <c r="S356" s="9" t="s">
        <v>126</v>
      </c>
      <c r="T356" s="9" t="s">
        <v>126</v>
      </c>
      <c r="U356" s="9" t="s">
        <v>126</v>
      </c>
      <c r="V356" s="41" t="s">
        <v>126</v>
      </c>
      <c r="W356" s="9">
        <v>-3.1</v>
      </c>
      <c r="X356" s="9">
        <v>-2.9</v>
      </c>
      <c r="Y356" s="9">
        <v>-1.7</v>
      </c>
      <c r="Z356" s="9">
        <v>1.8</v>
      </c>
      <c r="AA356" s="41">
        <v>-1.5</v>
      </c>
      <c r="AB356" s="41"/>
      <c r="AC356" s="602" t="s">
        <v>126</v>
      </c>
      <c r="AD356" s="602" t="s">
        <v>126</v>
      </c>
      <c r="AE356" s="602" t="s">
        <v>126</v>
      </c>
      <c r="AF356" s="602" t="s">
        <v>126</v>
      </c>
      <c r="AG356" s="603" t="s">
        <v>126</v>
      </c>
      <c r="AH356" s="9">
        <v>0.7</v>
      </c>
      <c r="AI356" s="9">
        <v>0.1</v>
      </c>
      <c r="AJ356" s="9">
        <v>1.8</v>
      </c>
      <c r="AK356" s="9">
        <f>+AL356*4-AJ356-AI356-AH356</f>
        <v>3.4000000000000004</v>
      </c>
      <c r="AL356" s="41">
        <v>1.5</v>
      </c>
      <c r="AM356" s="9">
        <v>2.5</v>
      </c>
      <c r="AN356" s="9">
        <v>4.0999999999999996</v>
      </c>
      <c r="AO356" s="9">
        <v>1.4</v>
      </c>
      <c r="AP356" s="9">
        <f>+AQ356*4-AO356-AN356-AM356</f>
        <v>2.8000000000000007</v>
      </c>
      <c r="AQ356" s="41">
        <v>2.7</v>
      </c>
      <c r="AR356" s="9">
        <v>1.7</v>
      </c>
      <c r="AS356" s="9">
        <v>0.4</v>
      </c>
      <c r="AT356" s="9">
        <v>0.9</v>
      </c>
      <c r="AU356" s="9">
        <f>+AV356*4-AT356-AS356-AR356</f>
        <v>0.2000000000000004</v>
      </c>
      <c r="AV356" s="41">
        <v>0.8</v>
      </c>
      <c r="AW356" s="9">
        <v>-2.1</v>
      </c>
      <c r="AX356" s="9">
        <v>-1.9</v>
      </c>
      <c r="AY356" s="9">
        <v>-2.1</v>
      </c>
      <c r="AZ356" s="9">
        <f>+BA356*4-AY356-AX356-AW356</f>
        <v>-3.4999999999999996</v>
      </c>
      <c r="BA356" s="41">
        <v>-2.4</v>
      </c>
      <c r="BB356" s="9">
        <v>-2.7</v>
      </c>
      <c r="BC356" s="9">
        <v>-3.7</v>
      </c>
      <c r="BD356" s="9">
        <v>-1.7</v>
      </c>
      <c r="BE356" s="9">
        <f>+BF356*4-BD356-BC356-BB356</f>
        <v>-0.29999999999999982</v>
      </c>
      <c r="BF356" s="41">
        <v>-2.1</v>
      </c>
      <c r="BG356" s="9">
        <v>0.3</v>
      </c>
      <c r="BH356" s="9">
        <v>2</v>
      </c>
      <c r="BI356" s="9">
        <v>3.1</v>
      </c>
      <c r="BJ356" s="9">
        <f>+BK356*4-BI356-BH356-BG356</f>
        <v>3.0000000000000009</v>
      </c>
      <c r="BK356" s="41">
        <v>2.1</v>
      </c>
      <c r="BL356" s="9">
        <v>2.2000000000000002</v>
      </c>
      <c r="BM356" s="9">
        <v>0</v>
      </c>
      <c r="BN356" s="9">
        <v>-1.7</v>
      </c>
      <c r="BO356" s="9" t="s">
        <v>322</v>
      </c>
      <c r="BP356" s="79">
        <v>-0.17</v>
      </c>
      <c r="BQ356" s="9">
        <v>-5.3</v>
      </c>
      <c r="BR356" s="582">
        <v>-2.6</v>
      </c>
      <c r="BS356" s="398">
        <v>-1.4</v>
      </c>
      <c r="BT356" s="9" t="s">
        <v>322</v>
      </c>
      <c r="BU356" s="79">
        <v>-2</v>
      </c>
      <c r="BV356" s="9">
        <v>-1.5</v>
      </c>
      <c r="BW356" s="582">
        <v>-3.1</v>
      </c>
      <c r="BX356" s="398">
        <v>-1.4</v>
      </c>
      <c r="BY356" s="9" t="s">
        <v>322</v>
      </c>
      <c r="BZ356" s="79">
        <v>-3.9</v>
      </c>
      <c r="CA356" s="9">
        <v>-0.2</v>
      </c>
      <c r="CB356" s="6">
        <v>-1.1000000000000001</v>
      </c>
      <c r="CC356" s="6">
        <v>-0.8</v>
      </c>
      <c r="CD356" s="9" t="s">
        <v>322</v>
      </c>
      <c r="CE356" s="79">
        <v>1.4</v>
      </c>
      <c r="CF356" s="588" t="s">
        <v>347</v>
      </c>
      <c r="CG356" s="588">
        <v>0.8</v>
      </c>
      <c r="CH356" s="588" t="s">
        <v>351</v>
      </c>
      <c r="CI356" s="9" t="s">
        <v>322</v>
      </c>
      <c r="CJ356" s="79">
        <v>-0.8</v>
      </c>
      <c r="CK356" s="588" t="s">
        <v>361</v>
      </c>
      <c r="CL356" s="588" t="s">
        <v>365</v>
      </c>
      <c r="CM356" s="588">
        <v>-5.8</v>
      </c>
      <c r="CN356" s="9" t="s">
        <v>322</v>
      </c>
      <c r="CO356" s="79">
        <v>-4.2</v>
      </c>
      <c r="CP356" s="6"/>
      <c r="CQ356" s="6"/>
      <c r="CR356" s="6"/>
      <c r="CS356" s="6"/>
      <c r="CT356" s="79">
        <v>0.3</v>
      </c>
      <c r="CU356" s="6"/>
      <c r="CV356" s="6"/>
      <c r="CW356" s="6"/>
      <c r="CX356" s="6"/>
      <c r="CY356" s="79"/>
      <c r="CZ356" s="6"/>
      <c r="DA356" s="6"/>
      <c r="DB356" s="6"/>
      <c r="DC356" s="6"/>
      <c r="DD356" s="79"/>
      <c r="DE356" s="6"/>
      <c r="DF356" s="6"/>
      <c r="DG356" s="6"/>
      <c r="DH356" s="6"/>
      <c r="DI356" s="79"/>
    </row>
    <row r="357" spans="1:113" ht="12" hidden="1" customHeight="1" outlineLevel="1">
      <c r="A357" s="219" t="str">
        <f t="shared" si="1040"/>
        <v xml:space="preserve"> </v>
      </c>
      <c r="B357" s="17" t="s">
        <v>168</v>
      </c>
      <c r="C357" s="79"/>
      <c r="D357" s="6"/>
      <c r="E357" s="79"/>
      <c r="F357" s="6"/>
      <c r="G357" s="79"/>
      <c r="H357" s="6"/>
      <c r="I357" s="79"/>
      <c r="J357" s="6"/>
      <c r="K357" s="79"/>
      <c r="L357" s="6"/>
      <c r="M357" s="79"/>
      <c r="N357" s="6"/>
      <c r="O357" s="79"/>
      <c r="P357" s="6"/>
      <c r="Q357" s="79"/>
      <c r="R357" s="588" t="s">
        <v>126</v>
      </c>
      <c r="S357" s="6" t="s">
        <v>126</v>
      </c>
      <c r="T357" s="6" t="s">
        <v>126</v>
      </c>
      <c r="U357" s="6" t="s">
        <v>126</v>
      </c>
      <c r="V357" s="79" t="s">
        <v>126</v>
      </c>
      <c r="W357" s="6">
        <v>-0.19999999999999973</v>
      </c>
      <c r="X357" s="6">
        <v>0.60000000000000009</v>
      </c>
      <c r="Y357" s="6">
        <v>2.7</v>
      </c>
      <c r="Z357" s="6">
        <v>-4.8</v>
      </c>
      <c r="AA357" s="79">
        <f>-1.8-AA356</f>
        <v>-0.30000000000000004</v>
      </c>
      <c r="AB357" s="79"/>
      <c r="AC357" s="52" t="s">
        <v>126</v>
      </c>
      <c r="AD357" s="52" t="s">
        <v>126</v>
      </c>
      <c r="AE357" s="52" t="s">
        <v>126</v>
      </c>
      <c r="AF357" s="52" t="s">
        <v>126</v>
      </c>
      <c r="AG357" s="112" t="s">
        <v>126</v>
      </c>
      <c r="AH357" s="605">
        <f>1-AH356</f>
        <v>0.30000000000000004</v>
      </c>
      <c r="AI357" s="605">
        <f>-0.8-AI356</f>
        <v>-0.9</v>
      </c>
      <c r="AJ357" s="605">
        <f>-0.4-AJ356</f>
        <v>-2.2000000000000002</v>
      </c>
      <c r="AK357" s="605">
        <f t="shared" ref="AK357:BA357" si="1150">((AK379/AK320)-(AF379/AF320))*100-AK356</f>
        <v>-7.4743261982200018</v>
      </c>
      <c r="AL357" s="607">
        <f t="shared" si="1150"/>
        <v>-2.6407689745083385</v>
      </c>
      <c r="AM357" s="605">
        <f t="shared" si="1150"/>
        <v>-1.0686447070654914E-2</v>
      </c>
      <c r="AN357" s="605">
        <f t="shared" si="1150"/>
        <v>-1.3826155349824414</v>
      </c>
      <c r="AO357" s="605">
        <f t="shared" si="1150"/>
        <v>-3.6366231593578369</v>
      </c>
      <c r="AP357" s="605">
        <f t="shared" si="1150"/>
        <v>-2.479530137913736</v>
      </c>
      <c r="AQ357" s="607">
        <f t="shared" si="1150"/>
        <v>-1.9910321798561315</v>
      </c>
      <c r="AR357" s="605">
        <f t="shared" si="1150"/>
        <v>3.4400113697942452</v>
      </c>
      <c r="AS357" s="605">
        <f t="shared" si="1150"/>
        <v>0.42446793548278106</v>
      </c>
      <c r="AT357" s="605">
        <f t="shared" si="1150"/>
        <v>4.2203816003925869</v>
      </c>
      <c r="AU357" s="605">
        <f t="shared" si="1150"/>
        <v>4.1789297811335997</v>
      </c>
      <c r="AV357" s="607">
        <f t="shared" si="1150"/>
        <v>3.0714331923889127</v>
      </c>
      <c r="AW357" s="605">
        <f t="shared" si="1150"/>
        <v>1.2264993582082921</v>
      </c>
      <c r="AX357" s="605">
        <f t="shared" si="1150"/>
        <v>2.5836164472155128</v>
      </c>
      <c r="AY357" s="605">
        <f t="shared" si="1150"/>
        <v>1.085648652488989</v>
      </c>
      <c r="AZ357" s="605">
        <f t="shared" si="1150"/>
        <v>1.9928202463321296</v>
      </c>
      <c r="BA357" s="607">
        <f t="shared" si="1150"/>
        <v>1.719269853018438</v>
      </c>
      <c r="BB357" s="605" t="s">
        <v>309</v>
      </c>
      <c r="BC357" s="605" t="s">
        <v>163</v>
      </c>
      <c r="BD357" s="605" t="s">
        <v>163</v>
      </c>
      <c r="BE357" s="605">
        <f>((BE379/BE320)-(AZ379/AZ320))*100-BE356</f>
        <v>2.0580195974722324</v>
      </c>
      <c r="BF357" s="607">
        <f>((BF379/BF320)-(BA379/BA320))*100-BF356</f>
        <v>1.7291090996369256</v>
      </c>
      <c r="BG357" s="605" t="s">
        <v>163</v>
      </c>
      <c r="BH357" s="605" t="s">
        <v>163</v>
      </c>
      <c r="BI357" s="6" t="s">
        <v>163</v>
      </c>
      <c r="BJ357" s="605">
        <f>((BJ379/BJ320)-(BE379/BE320))*100-BJ356</f>
        <v>5.2665466707324526E-4</v>
      </c>
      <c r="BK357" s="607">
        <f>((BK379/BK320)-(BF379/BF320))*100-BK356</f>
        <v>0.97646817858706081</v>
      </c>
      <c r="BL357" s="6" t="s">
        <v>163</v>
      </c>
      <c r="BM357" s="6" t="s">
        <v>163</v>
      </c>
      <c r="BN357" s="6" t="s">
        <v>309</v>
      </c>
      <c r="BO357" s="605" t="s">
        <v>322</v>
      </c>
      <c r="BP357" s="607" t="s">
        <v>163</v>
      </c>
      <c r="BQ357" s="6" t="s">
        <v>309</v>
      </c>
      <c r="BR357" s="582" t="s">
        <v>309</v>
      </c>
      <c r="BS357" s="6" t="s">
        <v>163</v>
      </c>
      <c r="BT357" s="605" t="s">
        <v>322</v>
      </c>
      <c r="BU357" s="79" t="s">
        <v>328</v>
      </c>
      <c r="BV357" s="6" t="s">
        <v>163</v>
      </c>
      <c r="BW357" s="582" t="s">
        <v>163</v>
      </c>
      <c r="BX357" s="6" t="s">
        <v>163</v>
      </c>
      <c r="BY357" s="605" t="s">
        <v>322</v>
      </c>
      <c r="BZ357" s="79" t="s">
        <v>163</v>
      </c>
      <c r="CA357" s="6" t="s">
        <v>309</v>
      </c>
      <c r="CB357" s="6" t="s">
        <v>309</v>
      </c>
      <c r="CC357" s="6" t="s">
        <v>309</v>
      </c>
      <c r="CD357" s="605" t="s">
        <v>322</v>
      </c>
      <c r="CE357" s="79" t="s">
        <v>278</v>
      </c>
      <c r="CF357" s="6" t="s">
        <v>163</v>
      </c>
      <c r="CG357" s="6" t="s">
        <v>163</v>
      </c>
      <c r="CH357" s="6" t="s">
        <v>309</v>
      </c>
      <c r="CI357" s="605" t="s">
        <v>322</v>
      </c>
      <c r="CJ357" s="608">
        <v>0.02</v>
      </c>
      <c r="CK357" s="6" t="s">
        <v>309</v>
      </c>
      <c r="CL357" s="609">
        <v>-0.06</v>
      </c>
      <c r="CM357" s="609" t="s">
        <v>369</v>
      </c>
      <c r="CN357" s="605" t="s">
        <v>322</v>
      </c>
      <c r="CO357" s="608"/>
      <c r="CP357" s="6"/>
      <c r="CQ357" s="6"/>
      <c r="CR357" s="6"/>
      <c r="CS357" s="6"/>
      <c r="CT357" s="608"/>
      <c r="CU357" s="6"/>
      <c r="CV357" s="6"/>
      <c r="CW357" s="6"/>
      <c r="CX357" s="6"/>
      <c r="CY357" s="79"/>
      <c r="CZ357" s="6"/>
      <c r="DA357" s="6"/>
      <c r="DB357" s="6"/>
      <c r="DC357" s="6"/>
      <c r="DD357" s="79"/>
      <c r="DE357" s="6"/>
      <c r="DF357" s="6"/>
      <c r="DG357" s="6"/>
      <c r="DH357" s="6"/>
      <c r="DI357" s="79"/>
    </row>
    <row r="358" spans="1:113" ht="12" hidden="1" customHeight="1" outlineLevel="1">
      <c r="A358" s="219"/>
      <c r="B358" s="17"/>
      <c r="C358" s="79"/>
      <c r="D358" s="6"/>
      <c r="E358" s="79"/>
      <c r="F358" s="6"/>
      <c r="G358" s="79"/>
      <c r="H358" s="6"/>
      <c r="I358" s="79"/>
      <c r="J358" s="6"/>
      <c r="K358" s="79"/>
      <c r="L358" s="6"/>
      <c r="M358" s="79"/>
      <c r="N358" s="6"/>
      <c r="O358" s="79"/>
      <c r="P358" s="6"/>
      <c r="Q358" s="79"/>
      <c r="R358" s="6"/>
      <c r="S358" s="6"/>
      <c r="T358" s="6"/>
      <c r="U358" s="6"/>
      <c r="V358" s="79"/>
      <c r="W358" s="6"/>
      <c r="X358" s="6"/>
      <c r="Y358" s="6"/>
      <c r="Z358" s="6"/>
      <c r="AA358" s="79"/>
      <c r="AB358" s="79"/>
      <c r="AC358" s="6"/>
      <c r="AD358" s="6"/>
      <c r="AE358" s="6"/>
      <c r="AF358" s="6"/>
      <c r="AG358" s="79"/>
      <c r="AH358" s="6"/>
      <c r="AI358" s="6"/>
      <c r="AJ358" s="6"/>
      <c r="AK358" s="6"/>
      <c r="AL358" s="79"/>
      <c r="AM358" s="6"/>
      <c r="AN358" s="6"/>
      <c r="AO358" s="6"/>
      <c r="AP358" s="6"/>
      <c r="AQ358" s="79"/>
      <c r="AR358" s="6"/>
      <c r="AS358" s="6"/>
      <c r="AT358" s="6"/>
      <c r="AU358" s="6"/>
      <c r="AV358" s="79"/>
      <c r="AW358" s="6"/>
      <c r="AX358" s="6"/>
      <c r="AY358" s="6"/>
      <c r="AZ358" s="6"/>
      <c r="BA358" s="79"/>
      <c r="BB358" s="6"/>
      <c r="BC358" s="6"/>
      <c r="BD358" s="6"/>
      <c r="BE358" s="6"/>
      <c r="BF358" s="79"/>
      <c r="BG358" s="6"/>
      <c r="BH358" s="6"/>
      <c r="BI358" s="6"/>
      <c r="BJ358" s="6"/>
      <c r="BK358" s="79"/>
      <c r="BL358" s="6"/>
      <c r="BM358" s="6"/>
      <c r="BN358" s="6"/>
      <c r="BO358" s="6"/>
      <c r="BP358" s="79"/>
      <c r="BQ358" s="6"/>
      <c r="BR358" s="6"/>
      <c r="BS358" s="6"/>
      <c r="BT358" s="6"/>
      <c r="BU358" s="79"/>
      <c r="BV358" s="6"/>
      <c r="BW358" s="6"/>
      <c r="BX358" s="6"/>
      <c r="BY358" s="6"/>
      <c r="BZ358" s="79"/>
      <c r="CA358" s="6"/>
      <c r="CB358" s="6"/>
      <c r="CC358" s="6"/>
      <c r="CD358" s="6"/>
      <c r="CE358" s="79"/>
      <c r="CF358" s="6"/>
      <c r="CG358" s="6"/>
      <c r="CH358" s="6"/>
      <c r="CI358" s="6"/>
      <c r="CJ358" s="79"/>
      <c r="CK358" s="6"/>
      <c r="CL358" s="6"/>
      <c r="CM358" s="6"/>
      <c r="CN358" s="6"/>
      <c r="CO358" s="79"/>
      <c r="CP358" s="6"/>
      <c r="CS358" s="591"/>
      <c r="CT358" s="590"/>
      <c r="CU358" s="591"/>
      <c r="CV358" s="591"/>
      <c r="CW358" s="591"/>
      <c r="CX358" s="591"/>
      <c r="CY358" s="590"/>
      <c r="CZ358" s="591"/>
      <c r="DA358" s="591"/>
      <c r="DB358" s="6"/>
      <c r="DC358" s="6"/>
      <c r="DD358" s="79"/>
      <c r="DE358" s="591"/>
      <c r="DF358" s="591"/>
      <c r="DG358" s="6"/>
      <c r="DH358" s="6"/>
      <c r="DI358" s="79"/>
    </row>
    <row r="359" spans="1:113" ht="12" hidden="1" customHeight="1" outlineLevel="1">
      <c r="A359" s="219"/>
      <c r="B359" s="17" t="s">
        <v>397</v>
      </c>
      <c r="C359" s="79"/>
      <c r="D359" s="6"/>
      <c r="E359" s="79"/>
      <c r="F359" s="6"/>
      <c r="G359" s="79"/>
      <c r="H359" s="6"/>
      <c r="I359" s="79"/>
      <c r="J359" s="6"/>
      <c r="K359" s="79"/>
      <c r="L359" s="6"/>
      <c r="M359" s="79"/>
      <c r="N359" s="6"/>
      <c r="O359" s="79"/>
      <c r="P359" s="6"/>
      <c r="Q359" s="79"/>
      <c r="R359" s="6"/>
      <c r="S359" s="6"/>
      <c r="T359" s="6"/>
      <c r="U359" s="6"/>
      <c r="V359" s="79"/>
      <c r="W359" s="6"/>
      <c r="X359" s="6"/>
      <c r="Y359" s="6"/>
      <c r="Z359" s="6"/>
      <c r="AA359" s="79"/>
      <c r="AB359" s="79"/>
      <c r="AC359" s="6"/>
      <c r="AD359" s="6"/>
      <c r="AE359" s="6"/>
      <c r="AF359" s="6"/>
      <c r="AG359" s="79"/>
      <c r="AH359" s="6"/>
      <c r="AI359" s="6"/>
      <c r="AJ359" s="6"/>
      <c r="AK359" s="6"/>
      <c r="AL359" s="79"/>
      <c r="AM359" s="6"/>
      <c r="AN359" s="6"/>
      <c r="AO359" s="6"/>
      <c r="AP359" s="6"/>
      <c r="AQ359" s="79"/>
      <c r="AR359" s="6"/>
      <c r="AS359" s="6"/>
      <c r="AT359" s="6"/>
      <c r="AU359" s="6"/>
      <c r="AV359" s="79"/>
      <c r="AW359" s="6"/>
      <c r="AX359" s="6"/>
      <c r="AY359" s="6"/>
      <c r="AZ359" s="6"/>
      <c r="BA359" s="79"/>
      <c r="BB359" s="6"/>
      <c r="BC359" s="6"/>
      <c r="BD359" s="6"/>
      <c r="BE359" s="6"/>
      <c r="BF359" s="79"/>
      <c r="BG359" s="6"/>
      <c r="BH359" s="6"/>
      <c r="BI359" s="6"/>
      <c r="BJ359" s="6"/>
      <c r="BK359" s="79"/>
      <c r="BL359" s="6"/>
      <c r="BM359" s="6"/>
      <c r="BN359" s="6"/>
      <c r="BO359" s="6"/>
      <c r="BP359" s="79"/>
      <c r="BQ359" s="6"/>
      <c r="BR359" s="6"/>
      <c r="BS359" s="6"/>
      <c r="BT359" s="6"/>
      <c r="BU359" s="79"/>
      <c r="BV359" s="6"/>
      <c r="BW359" s="6"/>
      <c r="BX359" s="6"/>
      <c r="BY359" s="6"/>
      <c r="BZ359" s="79"/>
      <c r="CA359" s="6"/>
      <c r="CB359" s="6"/>
      <c r="CC359" s="6"/>
      <c r="CD359" s="6"/>
      <c r="CE359" s="36">
        <v>3696</v>
      </c>
      <c r="CF359" s="43"/>
      <c r="CG359" s="43"/>
      <c r="CH359" s="43"/>
      <c r="CI359" s="43"/>
      <c r="CJ359" s="36">
        <v>3784</v>
      </c>
      <c r="CK359" s="43">
        <v>811</v>
      </c>
      <c r="CL359" s="43">
        <v>754</v>
      </c>
      <c r="CM359" s="43">
        <v>780</v>
      </c>
      <c r="CN359" s="43">
        <f>CO359-CM359-CL359-CK359</f>
        <v>683</v>
      </c>
      <c r="CO359" s="36">
        <v>3028</v>
      </c>
      <c r="CP359" s="43">
        <v>714</v>
      </c>
      <c r="CQ359" s="43">
        <v>587</v>
      </c>
      <c r="CR359" s="43">
        <v>776</v>
      </c>
      <c r="CS359" s="43">
        <f>CT359-CR359-CQ359-CP359</f>
        <v>593</v>
      </c>
      <c r="CT359" s="36">
        <v>2670</v>
      </c>
      <c r="CU359" s="43"/>
      <c r="CV359" s="43"/>
      <c r="CW359" s="43"/>
      <c r="CX359" s="43"/>
      <c r="CY359" s="36"/>
      <c r="CZ359" s="43"/>
      <c r="DA359" s="43"/>
      <c r="DB359" s="43"/>
      <c r="DC359" s="43"/>
      <c r="DD359" s="36"/>
      <c r="DE359" s="43"/>
      <c r="DF359" s="43"/>
      <c r="DG359" s="43"/>
      <c r="DH359" s="43"/>
      <c r="DI359" s="36"/>
    </row>
    <row r="360" spans="1:113" ht="12" hidden="1" customHeight="1" outlineLevel="1">
      <c r="A360" s="219"/>
      <c r="B360" s="491" t="s">
        <v>348</v>
      </c>
      <c r="C360" s="79"/>
      <c r="D360" s="6"/>
      <c r="E360" s="79"/>
      <c r="F360" s="6"/>
      <c r="G360" s="79"/>
      <c r="H360" s="6"/>
      <c r="I360" s="79"/>
      <c r="J360" s="6"/>
      <c r="K360" s="79"/>
      <c r="L360" s="6"/>
      <c r="M360" s="79"/>
      <c r="N360" s="6"/>
      <c r="O360" s="79"/>
      <c r="P360" s="6"/>
      <c r="Q360" s="79"/>
      <c r="R360" s="6"/>
      <c r="S360" s="6"/>
      <c r="T360" s="6"/>
      <c r="U360" s="6"/>
      <c r="V360" s="79"/>
      <c r="W360" s="6"/>
      <c r="X360" s="6"/>
      <c r="Y360" s="6"/>
      <c r="Z360" s="6"/>
      <c r="AA360" s="79"/>
      <c r="AB360" s="79"/>
      <c r="AC360" s="6"/>
      <c r="AD360" s="6"/>
      <c r="AE360" s="6"/>
      <c r="AF360" s="6"/>
      <c r="AG360" s="79"/>
      <c r="AH360" s="6"/>
      <c r="AI360" s="6"/>
      <c r="AJ360" s="6"/>
      <c r="AK360" s="6"/>
      <c r="AL360" s="79"/>
      <c r="AM360" s="6"/>
      <c r="AN360" s="6"/>
      <c r="AO360" s="6"/>
      <c r="AP360" s="6"/>
      <c r="AQ360" s="79"/>
      <c r="AR360" s="6"/>
      <c r="AS360" s="6"/>
      <c r="AT360" s="6"/>
      <c r="AU360" s="6"/>
      <c r="AV360" s="79"/>
      <c r="AW360" s="6"/>
      <c r="AX360" s="6"/>
      <c r="AY360" s="6"/>
      <c r="AZ360" s="6"/>
      <c r="BA360" s="79"/>
      <c r="BB360" s="6"/>
      <c r="BC360" s="6"/>
      <c r="BD360" s="6"/>
      <c r="BE360" s="6"/>
      <c r="BF360" s="79"/>
      <c r="BG360" s="6"/>
      <c r="BH360" s="6"/>
      <c r="BI360" s="6"/>
      <c r="BJ360" s="6"/>
      <c r="BK360" s="79"/>
      <c r="BL360" s="6"/>
      <c r="BM360" s="6"/>
      <c r="BN360" s="6"/>
      <c r="BO360" s="6"/>
      <c r="BP360" s="79"/>
      <c r="BQ360" s="6"/>
      <c r="BR360" s="6"/>
      <c r="BS360" s="6"/>
      <c r="BT360" s="6"/>
      <c r="BU360" s="79"/>
      <c r="BV360" s="6"/>
      <c r="BW360" s="6"/>
      <c r="BX360" s="6"/>
      <c r="BY360" s="6"/>
      <c r="BZ360" s="79"/>
      <c r="CA360" s="6"/>
      <c r="CB360" s="6"/>
      <c r="CC360" s="6"/>
      <c r="CD360" s="6"/>
      <c r="CE360" s="232" t="s">
        <v>126</v>
      </c>
      <c r="CF360" s="27"/>
      <c r="CG360" s="27"/>
      <c r="CH360" s="27"/>
      <c r="CI360" s="27"/>
      <c r="CJ360" s="112">
        <f>CJ359/CE359-1</f>
        <v>2.3809523809523725E-2</v>
      </c>
      <c r="CK360" s="213" t="s">
        <v>126</v>
      </c>
      <c r="CL360" s="213" t="s">
        <v>126</v>
      </c>
      <c r="CM360" s="213" t="s">
        <v>126</v>
      </c>
      <c r="CN360" s="213" t="s">
        <v>126</v>
      </c>
      <c r="CO360" s="112">
        <f>CO359/CJ359-1</f>
        <v>-0.19978858350951378</v>
      </c>
      <c r="CP360" s="27">
        <f>CP359/CK359-1</f>
        <v>-0.11960542540073982</v>
      </c>
      <c r="CQ360" s="27">
        <f>CQ359/CL359-1</f>
        <v>-0.22148541114058351</v>
      </c>
      <c r="CR360" s="27">
        <f>CR359/CM359-1</f>
        <v>-5.12820512820511E-3</v>
      </c>
      <c r="CS360" s="213" t="s">
        <v>126</v>
      </c>
      <c r="CT360" s="112">
        <f>CT359/CO359-1</f>
        <v>-0.11822985468956404</v>
      </c>
      <c r="CU360" s="27"/>
      <c r="CV360" s="27"/>
      <c r="CW360" s="27"/>
      <c r="CX360" s="27"/>
      <c r="CY360" s="112"/>
      <c r="CZ360" s="27"/>
      <c r="DA360" s="27"/>
      <c r="DB360" s="27"/>
      <c r="DC360" s="27"/>
      <c r="DD360" s="112"/>
      <c r="DE360" s="27"/>
      <c r="DF360" s="27"/>
      <c r="DG360" s="27"/>
      <c r="DH360" s="27"/>
      <c r="DI360" s="112"/>
    </row>
    <row r="361" spans="1:113" s="519" customFormat="1" ht="12" hidden="1" customHeight="1" outlineLevel="1">
      <c r="A361" s="610"/>
      <c r="B361" s="526" t="s">
        <v>217</v>
      </c>
      <c r="C361" s="42"/>
      <c r="D361" s="377"/>
      <c r="E361" s="42"/>
      <c r="F361" s="377"/>
      <c r="G361" s="42"/>
      <c r="H361" s="377"/>
      <c r="I361" s="42"/>
      <c r="J361" s="377"/>
      <c r="K361" s="42"/>
      <c r="L361" s="377"/>
      <c r="M361" s="42"/>
      <c r="N361" s="377"/>
      <c r="O361" s="42"/>
      <c r="P361" s="377"/>
      <c r="Q361" s="42"/>
      <c r="R361" s="377"/>
      <c r="S361" s="377"/>
      <c r="T361" s="377"/>
      <c r="U361" s="377"/>
      <c r="V361" s="42"/>
      <c r="W361" s="377"/>
      <c r="X361" s="377"/>
      <c r="Y361" s="377"/>
      <c r="Z361" s="377"/>
      <c r="AA361" s="42"/>
      <c r="AB361" s="42"/>
      <c r="AC361" s="377"/>
      <c r="AD361" s="377"/>
      <c r="AE361" s="377"/>
      <c r="AF361" s="377"/>
      <c r="AG361" s="42"/>
      <c r="AH361" s="377"/>
      <c r="AI361" s="377"/>
      <c r="AJ361" s="377"/>
      <c r="AK361" s="377"/>
      <c r="AL361" s="42"/>
      <c r="AM361" s="377"/>
      <c r="AN361" s="377"/>
      <c r="AO361" s="377"/>
      <c r="AP361" s="377"/>
      <c r="AQ361" s="42"/>
      <c r="AR361" s="377"/>
      <c r="AS361" s="377"/>
      <c r="AT361" s="377"/>
      <c r="AU361" s="377"/>
      <c r="AV361" s="42"/>
      <c r="AW361" s="377"/>
      <c r="AX361" s="377"/>
      <c r="AY361" s="377"/>
      <c r="AZ361" s="377"/>
      <c r="BA361" s="42"/>
      <c r="BB361" s="377"/>
      <c r="BC361" s="377"/>
      <c r="BD361" s="377"/>
      <c r="BE361" s="377"/>
      <c r="BF361" s="42"/>
      <c r="BG361" s="377"/>
      <c r="BH361" s="377"/>
      <c r="BI361" s="377"/>
      <c r="BJ361" s="377"/>
      <c r="BK361" s="42"/>
      <c r="BL361" s="377"/>
      <c r="BM361" s="377"/>
      <c r="BN361" s="377"/>
      <c r="BO361" s="377"/>
      <c r="BP361" s="42"/>
      <c r="BQ361" s="377"/>
      <c r="BR361" s="377"/>
      <c r="BS361" s="377"/>
      <c r="BT361" s="377"/>
      <c r="BU361" s="42"/>
      <c r="BV361" s="377"/>
      <c r="BW361" s="377"/>
      <c r="BX361" s="377"/>
      <c r="BY361" s="377"/>
      <c r="BZ361" s="42"/>
      <c r="CA361" s="377"/>
      <c r="CB361" s="377"/>
      <c r="CC361" s="377"/>
      <c r="CD361" s="377"/>
      <c r="CE361" s="112">
        <f>CE359/CE320</f>
        <v>0.50993377483443714</v>
      </c>
      <c r="CF361" s="27"/>
      <c r="CG361" s="27"/>
      <c r="CH361" s="27"/>
      <c r="CI361" s="27"/>
      <c r="CJ361" s="112">
        <f t="shared" ref="CJ361:CT361" si="1151">CJ359/CJ320</f>
        <v>0.50152418820410871</v>
      </c>
      <c r="CK361" s="27">
        <f t="shared" si="1151"/>
        <v>0.48679471788715484</v>
      </c>
      <c r="CL361" s="27">
        <f t="shared" si="1151"/>
        <v>0.44067796610169491</v>
      </c>
      <c r="CM361" s="27">
        <f t="shared" si="1151"/>
        <v>0.45008655510675127</v>
      </c>
      <c r="CN361" s="27">
        <f t="shared" si="1151"/>
        <v>0.4627371273712737</v>
      </c>
      <c r="CO361" s="112">
        <f t="shared" si="1151"/>
        <v>0.45976313392043727</v>
      </c>
      <c r="CP361" s="27">
        <f t="shared" si="1151"/>
        <v>0.47222222222222221</v>
      </c>
      <c r="CQ361" s="27">
        <f t="shared" si="1151"/>
        <v>0.4125087842586086</v>
      </c>
      <c r="CR361" s="27">
        <f t="shared" si="1151"/>
        <v>0.48049535603715171</v>
      </c>
      <c r="CS361" s="27">
        <f t="shared" si="1151"/>
        <v>0.4572089437162683</v>
      </c>
      <c r="CT361" s="112">
        <f t="shared" si="1151"/>
        <v>0.45664443304258595</v>
      </c>
      <c r="CU361" s="27"/>
      <c r="CV361" s="27"/>
      <c r="CW361" s="27"/>
      <c r="CX361" s="27"/>
      <c r="CY361" s="112"/>
      <c r="CZ361" s="27"/>
      <c r="DA361" s="27"/>
      <c r="DB361" s="27"/>
      <c r="DC361" s="27"/>
      <c r="DD361" s="112"/>
      <c r="DE361" s="27"/>
      <c r="DF361" s="27"/>
      <c r="DG361" s="27"/>
      <c r="DH361" s="27"/>
      <c r="DI361" s="112"/>
    </row>
    <row r="362" spans="1:113" ht="12" hidden="1" customHeight="1" outlineLevel="1">
      <c r="A362" s="219"/>
      <c r="B362" s="491" t="s">
        <v>376</v>
      </c>
      <c r="C362" s="79"/>
      <c r="D362" s="6"/>
      <c r="E362" s="79"/>
      <c r="F362" s="6"/>
      <c r="G362" s="79"/>
      <c r="H362" s="6"/>
      <c r="I362" s="79"/>
      <c r="J362" s="6"/>
      <c r="K362" s="79"/>
      <c r="L362" s="6"/>
      <c r="M362" s="79"/>
      <c r="N362" s="6"/>
      <c r="O362" s="79"/>
      <c r="P362" s="6"/>
      <c r="Q362" s="79"/>
      <c r="R362" s="6"/>
      <c r="S362" s="6"/>
      <c r="T362" s="6"/>
      <c r="U362" s="6"/>
      <c r="V362" s="79"/>
      <c r="W362" s="6"/>
      <c r="X362" s="6"/>
      <c r="Y362" s="6"/>
      <c r="Z362" s="6"/>
      <c r="AA362" s="79"/>
      <c r="AB362" s="79"/>
      <c r="AC362" s="6"/>
      <c r="AD362" s="6"/>
      <c r="AE362" s="6"/>
      <c r="AF362" s="6"/>
      <c r="AG362" s="79"/>
      <c r="AH362" s="6"/>
      <c r="AI362" s="6"/>
      <c r="AJ362" s="6"/>
      <c r="AK362" s="6"/>
      <c r="AL362" s="79"/>
      <c r="AM362" s="6"/>
      <c r="AN362" s="6"/>
      <c r="AO362" s="6"/>
      <c r="AP362" s="6"/>
      <c r="AQ362" s="79"/>
      <c r="AR362" s="6"/>
      <c r="AS362" s="6"/>
      <c r="AT362" s="6"/>
      <c r="AU362" s="6"/>
      <c r="AV362" s="79"/>
      <c r="AW362" s="6"/>
      <c r="AX362" s="6"/>
      <c r="AY362" s="6"/>
      <c r="AZ362" s="6"/>
      <c r="BA362" s="79"/>
      <c r="BB362" s="6"/>
      <c r="BC362" s="6"/>
      <c r="BD362" s="6"/>
      <c r="BE362" s="6"/>
      <c r="BF362" s="79"/>
      <c r="BG362" s="6"/>
      <c r="BH362" s="6"/>
      <c r="BI362" s="6"/>
      <c r="BJ362" s="6"/>
      <c r="BK362" s="79"/>
      <c r="BL362" s="6"/>
      <c r="BM362" s="6"/>
      <c r="BN362" s="6"/>
      <c r="BO362" s="6"/>
      <c r="BP362" s="79"/>
      <c r="BQ362" s="6"/>
      <c r="BR362" s="6"/>
      <c r="BS362" s="6"/>
      <c r="BT362" s="6"/>
      <c r="BU362" s="79"/>
      <c r="BV362" s="6"/>
      <c r="BW362" s="6"/>
      <c r="BX362" s="6"/>
      <c r="BY362" s="6"/>
      <c r="BZ362" s="79"/>
      <c r="CA362" s="6"/>
      <c r="CB362" s="6"/>
      <c r="CC362" s="6"/>
      <c r="CD362" s="6"/>
      <c r="CE362" s="596" t="s">
        <v>126</v>
      </c>
      <c r="CF362" s="568"/>
      <c r="CG362" s="568"/>
      <c r="CH362" s="568"/>
      <c r="CI362" s="568"/>
      <c r="CJ362" s="567">
        <f>(CJ361-CE361)*100*100</f>
        <v>-84.095866303284254</v>
      </c>
      <c r="CK362" s="213" t="s">
        <v>126</v>
      </c>
      <c r="CL362" s="213" t="s">
        <v>126</v>
      </c>
      <c r="CM362" s="213" t="s">
        <v>126</v>
      </c>
      <c r="CN362" s="213" t="s">
        <v>126</v>
      </c>
      <c r="CO362" s="567">
        <f t="shared" ref="CO362:CT362" si="1152">(CO361-CJ361)*100*100</f>
        <v>-417.61054283671444</v>
      </c>
      <c r="CP362" s="568">
        <f t="shared" si="1152"/>
        <v>-145.72495664932629</v>
      </c>
      <c r="CQ362" s="568">
        <f t="shared" si="1152"/>
        <v>-281.69181843086307</v>
      </c>
      <c r="CR362" s="568">
        <f t="shared" si="1152"/>
        <v>304.08800930400434</v>
      </c>
      <c r="CS362" s="568">
        <f t="shared" si="1152"/>
        <v>-55.281836550054031</v>
      </c>
      <c r="CT362" s="567">
        <f t="shared" si="1152"/>
        <v>-31.187008778513214</v>
      </c>
      <c r="CU362" s="568"/>
      <c r="CV362" s="568"/>
      <c r="CW362" s="568"/>
      <c r="CX362" s="568"/>
      <c r="CY362" s="567"/>
      <c r="CZ362" s="568"/>
      <c r="DA362" s="568"/>
      <c r="DB362" s="568"/>
      <c r="DC362" s="568"/>
      <c r="DD362" s="567"/>
      <c r="DE362" s="568"/>
      <c r="DF362" s="568"/>
      <c r="DG362" s="568"/>
      <c r="DH362" s="568"/>
      <c r="DI362" s="567"/>
    </row>
    <row r="363" spans="1:113" ht="12" hidden="1" customHeight="1" outlineLevel="1">
      <c r="A363" s="219"/>
      <c r="B363" s="491"/>
      <c r="C363" s="79"/>
      <c r="D363" s="6"/>
      <c r="E363" s="79"/>
      <c r="F363" s="6"/>
      <c r="G363" s="79"/>
      <c r="H363" s="6"/>
      <c r="I363" s="79"/>
      <c r="J363" s="6"/>
      <c r="K363" s="79"/>
      <c r="L363" s="6"/>
      <c r="M363" s="79"/>
      <c r="N363" s="6"/>
      <c r="O363" s="79"/>
      <c r="P363" s="6"/>
      <c r="Q363" s="79"/>
      <c r="R363" s="6"/>
      <c r="S363" s="6"/>
      <c r="T363" s="6"/>
      <c r="U363" s="6"/>
      <c r="V363" s="79"/>
      <c r="W363" s="6"/>
      <c r="X363" s="6"/>
      <c r="Y363" s="6"/>
      <c r="Z363" s="6"/>
      <c r="AA363" s="79"/>
      <c r="AB363" s="79"/>
      <c r="AC363" s="6"/>
      <c r="AD363" s="6"/>
      <c r="AE363" s="6"/>
      <c r="AF363" s="6"/>
      <c r="AG363" s="79"/>
      <c r="AH363" s="6"/>
      <c r="AI363" s="6"/>
      <c r="AJ363" s="6"/>
      <c r="AK363" s="6"/>
      <c r="AL363" s="79"/>
      <c r="AM363" s="6"/>
      <c r="AN363" s="6"/>
      <c r="AO363" s="6"/>
      <c r="AP363" s="6"/>
      <c r="AQ363" s="79"/>
      <c r="AR363" s="6"/>
      <c r="AS363" s="6"/>
      <c r="AT363" s="6"/>
      <c r="AU363" s="6"/>
      <c r="AV363" s="79"/>
      <c r="AW363" s="6"/>
      <c r="AX363" s="6"/>
      <c r="AY363" s="6"/>
      <c r="AZ363" s="6"/>
      <c r="BA363" s="79"/>
      <c r="BB363" s="6"/>
      <c r="BC363" s="6"/>
      <c r="BD363" s="6"/>
      <c r="BE363" s="6"/>
      <c r="BF363" s="79"/>
      <c r="BG363" s="6"/>
      <c r="BH363" s="6"/>
      <c r="BI363" s="6"/>
      <c r="BJ363" s="6"/>
      <c r="BK363" s="79"/>
      <c r="BL363" s="6"/>
      <c r="BM363" s="6"/>
      <c r="BN363" s="6"/>
      <c r="BO363" s="6"/>
      <c r="BP363" s="79"/>
      <c r="BQ363" s="6"/>
      <c r="BR363" s="6"/>
      <c r="BS363" s="6"/>
      <c r="BT363" s="6"/>
      <c r="BU363" s="79"/>
      <c r="BV363" s="6"/>
      <c r="BW363" s="6"/>
      <c r="BX363" s="6"/>
      <c r="BY363" s="6"/>
      <c r="BZ363" s="79"/>
      <c r="CA363" s="6"/>
      <c r="CB363" s="6"/>
      <c r="CC363" s="6"/>
      <c r="CD363" s="6"/>
      <c r="CE363" s="79"/>
      <c r="CF363" s="6"/>
      <c r="CG363" s="6"/>
      <c r="CH363" s="6"/>
      <c r="CI363" s="6"/>
      <c r="CJ363" s="79"/>
      <c r="CK363" s="6"/>
      <c r="CL363" s="6"/>
      <c r="CM363" s="6"/>
      <c r="CN363" s="6"/>
      <c r="CO363" s="79"/>
      <c r="CP363" s="6"/>
      <c r="CQ363" s="6"/>
      <c r="CS363" s="6"/>
      <c r="CT363" s="79"/>
      <c r="CU363" s="591"/>
      <c r="CV363" s="591"/>
      <c r="CW363" s="591"/>
      <c r="CX363" s="591"/>
      <c r="CY363" s="590"/>
      <c r="CZ363" s="591"/>
      <c r="DA363" s="591"/>
      <c r="DB363" s="6"/>
      <c r="DC363" s="6"/>
      <c r="DD363" s="79"/>
      <c r="DE363" s="591"/>
      <c r="DF363" s="591"/>
      <c r="DG363" s="6"/>
      <c r="DH363" s="6"/>
      <c r="DI363" s="79"/>
    </row>
    <row r="364" spans="1:113" ht="12" hidden="1" customHeight="1" outlineLevel="1">
      <c r="A364" s="219"/>
      <c r="B364" s="555" t="s">
        <v>398</v>
      </c>
      <c r="C364" s="79"/>
      <c r="D364" s="6"/>
      <c r="E364" s="79"/>
      <c r="F364" s="6"/>
      <c r="G364" s="79"/>
      <c r="H364" s="6"/>
      <c r="I364" s="79"/>
      <c r="J364" s="6"/>
      <c r="K364" s="79"/>
      <c r="L364" s="6"/>
      <c r="M364" s="79"/>
      <c r="N364" s="6"/>
      <c r="O364" s="79"/>
      <c r="P364" s="6"/>
      <c r="Q364" s="79"/>
      <c r="R364" s="6"/>
      <c r="S364" s="6"/>
      <c r="T364" s="6"/>
      <c r="U364" s="6"/>
      <c r="V364" s="79"/>
      <c r="W364" s="6"/>
      <c r="X364" s="6"/>
      <c r="Y364" s="6"/>
      <c r="Z364" s="6"/>
      <c r="AA364" s="79"/>
      <c r="AB364" s="79"/>
      <c r="AC364" s="6"/>
      <c r="AD364" s="6"/>
      <c r="AE364" s="6"/>
      <c r="AF364" s="6"/>
      <c r="AG364" s="79"/>
      <c r="AH364" s="6"/>
      <c r="AI364" s="6"/>
      <c r="AJ364" s="6"/>
      <c r="AK364" s="6"/>
      <c r="AL364" s="79"/>
      <c r="AM364" s="6"/>
      <c r="AN364" s="6"/>
      <c r="AO364" s="6"/>
      <c r="AP364" s="6"/>
      <c r="AQ364" s="79"/>
      <c r="AR364" s="6"/>
      <c r="AS364" s="6"/>
      <c r="AT364" s="6"/>
      <c r="AU364" s="6"/>
      <c r="AV364" s="79"/>
      <c r="AW364" s="6"/>
      <c r="AX364" s="6"/>
      <c r="AY364" s="6"/>
      <c r="AZ364" s="6"/>
      <c r="BA364" s="79"/>
      <c r="BB364" s="6"/>
      <c r="BC364" s="6"/>
      <c r="BD364" s="6"/>
      <c r="BE364" s="6"/>
      <c r="BF364" s="79"/>
      <c r="BG364" s="6"/>
      <c r="BH364" s="6"/>
      <c r="BI364" s="6"/>
      <c r="BJ364" s="6"/>
      <c r="BK364" s="79"/>
      <c r="BL364" s="6"/>
      <c r="BM364" s="6"/>
      <c r="BN364" s="6"/>
      <c r="BO364" s="6"/>
      <c r="BP364" s="79"/>
      <c r="BQ364" s="6"/>
      <c r="BR364" s="6"/>
      <c r="BS364" s="6"/>
      <c r="BT364" s="6"/>
      <c r="BU364" s="79"/>
      <c r="BV364" s="6"/>
      <c r="BW364" s="6"/>
      <c r="BX364" s="6"/>
      <c r="BY364" s="6"/>
      <c r="BZ364" s="79"/>
      <c r="CA364" s="6"/>
      <c r="CB364" s="6"/>
      <c r="CC364" s="6"/>
      <c r="CD364" s="6"/>
      <c r="CE364" s="36">
        <v>-499</v>
      </c>
      <c r="CF364" s="43"/>
      <c r="CG364" s="43"/>
      <c r="CH364" s="43"/>
      <c r="CI364" s="43"/>
      <c r="CJ364" s="36">
        <v>-519</v>
      </c>
      <c r="CK364" s="43">
        <v>-114</v>
      </c>
      <c r="CL364" s="43">
        <v>-135</v>
      </c>
      <c r="CM364" s="43">
        <v>-123</v>
      </c>
      <c r="CN364" s="43">
        <f>CO364-CM364-CL364-CK364</f>
        <v>-157</v>
      </c>
      <c r="CO364" s="36">
        <v>-529</v>
      </c>
      <c r="CP364" s="43">
        <v>-99</v>
      </c>
      <c r="CQ364" s="43">
        <v>-145</v>
      </c>
      <c r="CR364" s="43">
        <v>-97</v>
      </c>
      <c r="CS364" s="43">
        <f>CT364-CR364-CQ364-CP364</f>
        <v>-114</v>
      </c>
      <c r="CT364" s="36">
        <v>-455</v>
      </c>
      <c r="CU364" s="43"/>
      <c r="CV364" s="43"/>
      <c r="CW364" s="43"/>
      <c r="CX364" s="43"/>
      <c r="CY364" s="36"/>
      <c r="CZ364" s="43"/>
      <c r="DA364" s="43"/>
      <c r="DB364" s="43"/>
      <c r="DC364" s="43"/>
      <c r="DD364" s="36"/>
      <c r="DE364" s="43"/>
      <c r="DF364" s="43"/>
      <c r="DG364" s="43"/>
      <c r="DH364" s="43"/>
      <c r="DI364" s="36"/>
    </row>
    <row r="365" spans="1:113" ht="12" hidden="1" customHeight="1" outlineLevel="1">
      <c r="A365" s="219"/>
      <c r="B365" s="597" t="s">
        <v>348</v>
      </c>
      <c r="C365" s="79"/>
      <c r="D365" s="6"/>
      <c r="E365" s="79"/>
      <c r="F365" s="6"/>
      <c r="G365" s="79"/>
      <c r="H365" s="6"/>
      <c r="I365" s="79"/>
      <c r="J365" s="6"/>
      <c r="K365" s="79"/>
      <c r="L365" s="6"/>
      <c r="M365" s="79"/>
      <c r="N365" s="6"/>
      <c r="O365" s="79"/>
      <c r="P365" s="6"/>
      <c r="Q365" s="79"/>
      <c r="R365" s="6"/>
      <c r="S365" s="6"/>
      <c r="T365" s="6"/>
      <c r="U365" s="6"/>
      <c r="V365" s="79"/>
      <c r="W365" s="6"/>
      <c r="X365" s="6"/>
      <c r="Y365" s="6"/>
      <c r="Z365" s="6"/>
      <c r="AA365" s="79"/>
      <c r="AB365" s="79"/>
      <c r="AC365" s="6"/>
      <c r="AD365" s="6"/>
      <c r="AE365" s="6"/>
      <c r="AF365" s="6"/>
      <c r="AG365" s="79"/>
      <c r="AH365" s="6"/>
      <c r="AI365" s="6"/>
      <c r="AJ365" s="6"/>
      <c r="AK365" s="6"/>
      <c r="AL365" s="79"/>
      <c r="AM365" s="6"/>
      <c r="AN365" s="6"/>
      <c r="AO365" s="6"/>
      <c r="AP365" s="6"/>
      <c r="AQ365" s="79"/>
      <c r="AR365" s="6"/>
      <c r="AS365" s="6"/>
      <c r="AT365" s="6"/>
      <c r="AU365" s="6"/>
      <c r="AV365" s="79"/>
      <c r="AW365" s="6"/>
      <c r="AX365" s="6"/>
      <c r="AY365" s="6"/>
      <c r="AZ365" s="6"/>
      <c r="BA365" s="79"/>
      <c r="BB365" s="6"/>
      <c r="BC365" s="6"/>
      <c r="BD365" s="6"/>
      <c r="BE365" s="6"/>
      <c r="BF365" s="79"/>
      <c r="BG365" s="6"/>
      <c r="BH365" s="6"/>
      <c r="BI365" s="6"/>
      <c r="BJ365" s="6"/>
      <c r="BK365" s="79"/>
      <c r="BL365" s="6"/>
      <c r="BM365" s="6"/>
      <c r="BN365" s="6"/>
      <c r="BO365" s="6"/>
      <c r="BP365" s="79"/>
      <c r="BQ365" s="6"/>
      <c r="BR365" s="6"/>
      <c r="BS365" s="6"/>
      <c r="BT365" s="6"/>
      <c r="BU365" s="79"/>
      <c r="BV365" s="6"/>
      <c r="BW365" s="6"/>
      <c r="BX365" s="6"/>
      <c r="BY365" s="6"/>
      <c r="BZ365" s="79"/>
      <c r="CA365" s="6"/>
      <c r="CB365" s="6"/>
      <c r="CC365" s="6"/>
      <c r="CD365" s="6"/>
      <c r="CE365" s="232" t="s">
        <v>126</v>
      </c>
      <c r="CF365" s="27"/>
      <c r="CG365" s="27"/>
      <c r="CH365" s="27"/>
      <c r="CI365" s="27"/>
      <c r="CJ365" s="112">
        <f>CJ364/CE364-1</f>
        <v>4.0080160320641323E-2</v>
      </c>
      <c r="CK365" s="213" t="s">
        <v>126</v>
      </c>
      <c r="CL365" s="213" t="s">
        <v>126</v>
      </c>
      <c r="CM365" s="213" t="s">
        <v>126</v>
      </c>
      <c r="CN365" s="213" t="s">
        <v>126</v>
      </c>
      <c r="CO365" s="112">
        <f>CO364/CJ364-1</f>
        <v>1.9267822736030782E-2</v>
      </c>
      <c r="CP365" s="27">
        <f>CP364/CK364-1</f>
        <v>-0.13157894736842102</v>
      </c>
      <c r="CQ365" s="27">
        <f>CQ364/CL364-1</f>
        <v>7.4074074074074181E-2</v>
      </c>
      <c r="CR365" s="27">
        <f>CR364/CM364-1</f>
        <v>-0.21138211382113825</v>
      </c>
      <c r="CS365" s="213" t="s">
        <v>126</v>
      </c>
      <c r="CT365" s="112">
        <f>CT364/CO364-1</f>
        <v>-0.13988657844990549</v>
      </c>
      <c r="CU365" s="27"/>
      <c r="CV365" s="27"/>
      <c r="CW365" s="27"/>
      <c r="CX365" s="27"/>
      <c r="CY365" s="112"/>
      <c r="CZ365" s="27"/>
      <c r="DA365" s="27"/>
      <c r="DB365" s="27"/>
      <c r="DC365" s="27"/>
      <c r="DD365" s="112"/>
      <c r="DE365" s="27"/>
      <c r="DF365" s="27"/>
      <c r="DG365" s="27"/>
      <c r="DH365" s="27"/>
      <c r="DI365" s="112"/>
    </row>
    <row r="366" spans="1:113" ht="12" hidden="1" customHeight="1" outlineLevel="1">
      <c r="A366" s="219"/>
      <c r="B366" s="597" t="s">
        <v>217</v>
      </c>
      <c r="C366" s="79"/>
      <c r="D366" s="6"/>
      <c r="E366" s="79"/>
      <c r="F366" s="6"/>
      <c r="G366" s="79"/>
      <c r="H366" s="6"/>
      <c r="I366" s="79"/>
      <c r="J366" s="6"/>
      <c r="K366" s="79"/>
      <c r="L366" s="6"/>
      <c r="M366" s="79"/>
      <c r="N366" s="6"/>
      <c r="O366" s="79"/>
      <c r="P366" s="6"/>
      <c r="Q366" s="79"/>
      <c r="R366" s="6"/>
      <c r="S366" s="6"/>
      <c r="T366" s="6"/>
      <c r="U366" s="6"/>
      <c r="V366" s="79"/>
      <c r="W366" s="6"/>
      <c r="X366" s="6"/>
      <c r="Y366" s="6"/>
      <c r="Z366" s="6"/>
      <c r="AA366" s="79"/>
      <c r="AB366" s="79"/>
      <c r="AC366" s="6"/>
      <c r="AD366" s="6"/>
      <c r="AE366" s="6"/>
      <c r="AF366" s="6"/>
      <c r="AG366" s="79"/>
      <c r="AH366" s="6"/>
      <c r="AI366" s="6"/>
      <c r="AJ366" s="6"/>
      <c r="AK366" s="6"/>
      <c r="AL366" s="79"/>
      <c r="AM366" s="6"/>
      <c r="AN366" s="6"/>
      <c r="AO366" s="6"/>
      <c r="AP366" s="6"/>
      <c r="AQ366" s="79"/>
      <c r="AR366" s="6"/>
      <c r="AS366" s="6"/>
      <c r="AT366" s="6"/>
      <c r="AU366" s="6"/>
      <c r="AV366" s="79"/>
      <c r="AW366" s="6"/>
      <c r="AX366" s="6"/>
      <c r="AY366" s="6"/>
      <c r="AZ366" s="6"/>
      <c r="BA366" s="79"/>
      <c r="BB366" s="6"/>
      <c r="BC366" s="6"/>
      <c r="BD366" s="6"/>
      <c r="BE366" s="6"/>
      <c r="BF366" s="79"/>
      <c r="BG366" s="6"/>
      <c r="BH366" s="6"/>
      <c r="BI366" s="6"/>
      <c r="BJ366" s="6"/>
      <c r="BK366" s="79"/>
      <c r="BL366" s="6"/>
      <c r="BM366" s="6"/>
      <c r="BN366" s="6"/>
      <c r="BO366" s="6"/>
      <c r="BP366" s="79"/>
      <c r="BQ366" s="6"/>
      <c r="BR366" s="6"/>
      <c r="BS366" s="6"/>
      <c r="BT366" s="6"/>
      <c r="BU366" s="79"/>
      <c r="BV366" s="6"/>
      <c r="BW366" s="6"/>
      <c r="BX366" s="6"/>
      <c r="BY366" s="6"/>
      <c r="BZ366" s="79"/>
      <c r="CA366" s="6"/>
      <c r="CB366" s="6"/>
      <c r="CC366" s="6"/>
      <c r="CD366" s="6"/>
      <c r="CE366" s="112">
        <f>-CE364/CE$320</f>
        <v>6.8846578366445921E-2</v>
      </c>
      <c r="CF366" s="27"/>
      <c r="CG366" s="27"/>
      <c r="CH366" s="27"/>
      <c r="CI366" s="27"/>
      <c r="CJ366" s="112">
        <f>-CJ364/CJ$320</f>
        <v>6.8787276341948311E-2</v>
      </c>
      <c r="CK366" s="27">
        <f>-CK364/CK$320</f>
        <v>6.8427370948379349E-2</v>
      </c>
      <c r="CL366" s="27">
        <f>-CL364/CL$320</f>
        <v>7.8901227352425482E-2</v>
      </c>
      <c r="CM366" s="27">
        <f>-CM364/CM$320</f>
        <v>7.0975187536064632E-2</v>
      </c>
      <c r="CN366" s="27">
        <f>-CN364/CN320</f>
        <v>0.10636856368563685</v>
      </c>
      <c r="CO366" s="112">
        <f>-CO364/CO$320</f>
        <v>8.0321894928636506E-2</v>
      </c>
      <c r="CP366" s="27">
        <f>-CP364/CP$320</f>
        <v>6.5476190476190479E-2</v>
      </c>
      <c r="CQ366" s="27">
        <f>-CQ364/CQ$320</f>
        <v>0.10189739985945186</v>
      </c>
      <c r="CR366" s="27">
        <f>-CR364/CR$320</f>
        <v>6.0061919504643964E-2</v>
      </c>
      <c r="CS366" s="27">
        <f>-CS364/CS320</f>
        <v>8.7895142636854273E-2</v>
      </c>
      <c r="CT366" s="112">
        <f>-CT364/CT$320</f>
        <v>7.781768428253806E-2</v>
      </c>
      <c r="CU366" s="27"/>
      <c r="CV366" s="27"/>
      <c r="CW366" s="27"/>
      <c r="CX366" s="27"/>
      <c r="CY366" s="112"/>
      <c r="CZ366" s="27"/>
      <c r="DA366" s="27"/>
      <c r="DB366" s="27"/>
      <c r="DC366" s="27"/>
      <c r="DD366" s="112"/>
      <c r="DE366" s="27"/>
      <c r="DF366" s="27"/>
      <c r="DG366" s="27"/>
      <c r="DH366" s="27"/>
      <c r="DI366" s="112"/>
    </row>
    <row r="367" spans="1:113" ht="12" hidden="1" customHeight="1" outlineLevel="1">
      <c r="A367" s="219"/>
      <c r="B367" s="597" t="s">
        <v>376</v>
      </c>
      <c r="C367" s="79"/>
      <c r="D367" s="6"/>
      <c r="E367" s="79"/>
      <c r="F367" s="6"/>
      <c r="G367" s="79"/>
      <c r="H367" s="6"/>
      <c r="I367" s="79"/>
      <c r="J367" s="6"/>
      <c r="K367" s="79"/>
      <c r="L367" s="6"/>
      <c r="M367" s="79"/>
      <c r="N367" s="6"/>
      <c r="O367" s="79"/>
      <c r="P367" s="6"/>
      <c r="Q367" s="79"/>
      <c r="R367" s="6"/>
      <c r="S367" s="6"/>
      <c r="T367" s="6"/>
      <c r="U367" s="6"/>
      <c r="V367" s="79"/>
      <c r="W367" s="6"/>
      <c r="X367" s="6"/>
      <c r="Y367" s="6"/>
      <c r="Z367" s="6"/>
      <c r="AA367" s="79"/>
      <c r="AB367" s="79"/>
      <c r="AC367" s="6"/>
      <c r="AD367" s="6"/>
      <c r="AE367" s="6"/>
      <c r="AF367" s="6"/>
      <c r="AG367" s="79"/>
      <c r="AH367" s="6"/>
      <c r="AI367" s="6"/>
      <c r="AJ367" s="6"/>
      <c r="AK367" s="6"/>
      <c r="AL367" s="79"/>
      <c r="AM367" s="6"/>
      <c r="AN367" s="6"/>
      <c r="AO367" s="6"/>
      <c r="AP367" s="6"/>
      <c r="AQ367" s="79"/>
      <c r="AR367" s="6"/>
      <c r="AS367" s="6"/>
      <c r="AT367" s="6"/>
      <c r="AU367" s="6"/>
      <c r="AV367" s="79"/>
      <c r="AW367" s="6"/>
      <c r="AX367" s="6"/>
      <c r="AY367" s="6"/>
      <c r="AZ367" s="6"/>
      <c r="BA367" s="79"/>
      <c r="BB367" s="6"/>
      <c r="BC367" s="6"/>
      <c r="BD367" s="6"/>
      <c r="BE367" s="6"/>
      <c r="BF367" s="79"/>
      <c r="BG367" s="6"/>
      <c r="BH367" s="6"/>
      <c r="BI367" s="6"/>
      <c r="BJ367" s="6"/>
      <c r="BK367" s="79"/>
      <c r="BL367" s="6"/>
      <c r="BM367" s="6"/>
      <c r="BN367" s="6"/>
      <c r="BO367" s="6"/>
      <c r="BP367" s="79"/>
      <c r="BQ367" s="6"/>
      <c r="BR367" s="6"/>
      <c r="BS367" s="6"/>
      <c r="BT367" s="6"/>
      <c r="BU367" s="79"/>
      <c r="BV367" s="6"/>
      <c r="BW367" s="6"/>
      <c r="BX367" s="6"/>
      <c r="BY367" s="6"/>
      <c r="BZ367" s="79"/>
      <c r="CA367" s="6"/>
      <c r="CB367" s="6"/>
      <c r="CC367" s="6"/>
      <c r="CD367" s="6"/>
      <c r="CE367" s="596" t="s">
        <v>126</v>
      </c>
      <c r="CF367" s="568"/>
      <c r="CG367" s="568"/>
      <c r="CH367" s="568"/>
      <c r="CI367" s="568"/>
      <c r="CJ367" s="567">
        <f>(CJ366-CE366)*100*100</f>
        <v>-0.59302024497609462</v>
      </c>
      <c r="CK367" s="213" t="s">
        <v>126</v>
      </c>
      <c r="CL367" s="213" t="s">
        <v>126</v>
      </c>
      <c r="CM367" s="213" t="s">
        <v>126</v>
      </c>
      <c r="CN367" s="213" t="s">
        <v>126</v>
      </c>
      <c r="CO367" s="567">
        <f t="shared" ref="CO367:CT367" si="1153">(CO366-CJ366)*100*100</f>
        <v>115.34618586688194</v>
      </c>
      <c r="CP367" s="568">
        <f t="shared" si="1153"/>
        <v>-29.511804721888691</v>
      </c>
      <c r="CQ367" s="568">
        <f t="shared" si="1153"/>
        <v>229.96172507026373</v>
      </c>
      <c r="CR367" s="568">
        <f t="shared" si="1153"/>
        <v>-109.13268031420668</v>
      </c>
      <c r="CS367" s="568">
        <f t="shared" si="1153"/>
        <v>-184.73421048782578</v>
      </c>
      <c r="CT367" s="567">
        <f t="shared" si="1153"/>
        <v>-25.042106460984453</v>
      </c>
      <c r="CU367" s="568"/>
      <c r="CV367" s="568"/>
      <c r="CW367" s="568"/>
      <c r="CX367" s="568"/>
      <c r="CY367" s="567"/>
      <c r="CZ367" s="568"/>
      <c r="DA367" s="568"/>
      <c r="DB367" s="568"/>
      <c r="DC367" s="568"/>
      <c r="DD367" s="567"/>
      <c r="DE367" s="568"/>
      <c r="DF367" s="568"/>
      <c r="DG367" s="568"/>
      <c r="DH367" s="568"/>
      <c r="DI367" s="567"/>
    </row>
    <row r="368" spans="1:113" ht="12" hidden="1" customHeight="1" outlineLevel="1">
      <c r="A368" s="219"/>
      <c r="B368" s="555" t="s">
        <v>399</v>
      </c>
      <c r="C368" s="79"/>
      <c r="D368" s="6"/>
      <c r="E368" s="79"/>
      <c r="F368" s="6"/>
      <c r="G368" s="79"/>
      <c r="H368" s="6"/>
      <c r="I368" s="79"/>
      <c r="J368" s="6"/>
      <c r="K368" s="79"/>
      <c r="L368" s="6"/>
      <c r="M368" s="79"/>
      <c r="N368" s="6"/>
      <c r="O368" s="79"/>
      <c r="P368" s="6"/>
      <c r="Q368" s="79"/>
      <c r="R368" s="6"/>
      <c r="S368" s="6"/>
      <c r="T368" s="6"/>
      <c r="U368" s="6"/>
      <c r="V368" s="79"/>
      <c r="W368" s="6"/>
      <c r="X368" s="6"/>
      <c r="Y368" s="6"/>
      <c r="Z368" s="6"/>
      <c r="AA368" s="79"/>
      <c r="AB368" s="79"/>
      <c r="AC368" s="6"/>
      <c r="AD368" s="6"/>
      <c r="AE368" s="6"/>
      <c r="AF368" s="6"/>
      <c r="AG368" s="79"/>
      <c r="AH368" s="6"/>
      <c r="AI368" s="6"/>
      <c r="AJ368" s="6"/>
      <c r="AK368" s="6"/>
      <c r="AL368" s="79"/>
      <c r="AM368" s="6"/>
      <c r="AN368" s="6"/>
      <c r="AO368" s="6"/>
      <c r="AP368" s="6"/>
      <c r="AQ368" s="79"/>
      <c r="AR368" s="6"/>
      <c r="AS368" s="6"/>
      <c r="AT368" s="6"/>
      <c r="AU368" s="6"/>
      <c r="AV368" s="79"/>
      <c r="AW368" s="6"/>
      <c r="AX368" s="6"/>
      <c r="AY368" s="6"/>
      <c r="AZ368" s="6"/>
      <c r="BA368" s="79"/>
      <c r="BB368" s="6"/>
      <c r="BC368" s="6"/>
      <c r="BD368" s="6"/>
      <c r="BE368" s="6"/>
      <c r="BF368" s="79"/>
      <c r="BG368" s="6"/>
      <c r="BH368" s="6"/>
      <c r="BI368" s="6"/>
      <c r="BJ368" s="6"/>
      <c r="BK368" s="79"/>
      <c r="BL368" s="6"/>
      <c r="BM368" s="6"/>
      <c r="BN368" s="6"/>
      <c r="BO368" s="6"/>
      <c r="BP368" s="79"/>
      <c r="BQ368" s="6"/>
      <c r="BR368" s="6"/>
      <c r="BS368" s="6"/>
      <c r="BT368" s="6"/>
      <c r="BU368" s="79"/>
      <c r="BV368" s="6"/>
      <c r="BW368" s="6"/>
      <c r="BX368" s="6"/>
      <c r="BY368" s="6"/>
      <c r="BZ368" s="79"/>
      <c r="CA368" s="6"/>
      <c r="CB368" s="6"/>
      <c r="CC368" s="6"/>
      <c r="CD368" s="6"/>
      <c r="CE368" s="36">
        <v>-1012</v>
      </c>
      <c r="CF368" s="43"/>
      <c r="CG368" s="43"/>
      <c r="CH368" s="43"/>
      <c r="CI368" s="43"/>
      <c r="CJ368" s="36">
        <v>-1019</v>
      </c>
      <c r="CK368" s="43">
        <v>-240</v>
      </c>
      <c r="CL368" s="43">
        <v>-252</v>
      </c>
      <c r="CM368" s="43">
        <v>-235</v>
      </c>
      <c r="CN368" s="43">
        <f>CO368-CM368-CL368-CK368</f>
        <v>-246</v>
      </c>
      <c r="CO368" s="36">
        <v>-973</v>
      </c>
      <c r="CP368" s="43">
        <v>-238</v>
      </c>
      <c r="CQ368" s="43">
        <v>-252</v>
      </c>
      <c r="CR368" s="43">
        <v>-235</v>
      </c>
      <c r="CS368" s="43">
        <f>CT368-CR368-CQ368-CP368</f>
        <v>-268</v>
      </c>
      <c r="CT368" s="36">
        <v>-993</v>
      </c>
      <c r="CU368" s="43"/>
      <c r="CV368" s="43"/>
      <c r="CW368" s="43"/>
      <c r="CX368" s="43"/>
      <c r="CY368" s="36"/>
      <c r="CZ368" s="43"/>
      <c r="DA368" s="43"/>
      <c r="DB368" s="43"/>
      <c r="DC368" s="43"/>
      <c r="DD368" s="36"/>
      <c r="DE368" s="43"/>
      <c r="DF368" s="43"/>
      <c r="DG368" s="43"/>
      <c r="DH368" s="43"/>
      <c r="DI368" s="36"/>
    </row>
    <row r="369" spans="1:113" ht="12" hidden="1" customHeight="1" outlineLevel="1">
      <c r="A369" s="219"/>
      <c r="B369" s="597" t="s">
        <v>348</v>
      </c>
      <c r="C369" s="79"/>
      <c r="D369" s="6"/>
      <c r="E369" s="79"/>
      <c r="F369" s="6"/>
      <c r="G369" s="79"/>
      <c r="H369" s="6"/>
      <c r="I369" s="79"/>
      <c r="J369" s="6"/>
      <c r="K369" s="79"/>
      <c r="L369" s="6"/>
      <c r="M369" s="79"/>
      <c r="N369" s="6"/>
      <c r="O369" s="79"/>
      <c r="P369" s="6"/>
      <c r="Q369" s="79"/>
      <c r="R369" s="6"/>
      <c r="S369" s="6"/>
      <c r="T369" s="6"/>
      <c r="U369" s="6"/>
      <c r="V369" s="79"/>
      <c r="W369" s="6"/>
      <c r="X369" s="6"/>
      <c r="Y369" s="6"/>
      <c r="Z369" s="6"/>
      <c r="AA369" s="79"/>
      <c r="AB369" s="79"/>
      <c r="AC369" s="6"/>
      <c r="AD369" s="6"/>
      <c r="AE369" s="6"/>
      <c r="AF369" s="6"/>
      <c r="AG369" s="79"/>
      <c r="AH369" s="6"/>
      <c r="AI369" s="6"/>
      <c r="AJ369" s="6"/>
      <c r="AK369" s="6"/>
      <c r="AL369" s="79"/>
      <c r="AM369" s="6"/>
      <c r="AN369" s="6"/>
      <c r="AO369" s="6"/>
      <c r="AP369" s="6"/>
      <c r="AQ369" s="79"/>
      <c r="AR369" s="6"/>
      <c r="AS369" s="6"/>
      <c r="AT369" s="6"/>
      <c r="AU369" s="6"/>
      <c r="AV369" s="79"/>
      <c r="AW369" s="6"/>
      <c r="AX369" s="6"/>
      <c r="AY369" s="6"/>
      <c r="AZ369" s="6"/>
      <c r="BA369" s="79"/>
      <c r="BB369" s="6"/>
      <c r="BC369" s="6"/>
      <c r="BD369" s="6"/>
      <c r="BE369" s="6"/>
      <c r="BF369" s="79"/>
      <c r="BG369" s="6"/>
      <c r="BH369" s="6"/>
      <c r="BI369" s="6"/>
      <c r="BJ369" s="6"/>
      <c r="BK369" s="79"/>
      <c r="BL369" s="6"/>
      <c r="BM369" s="6"/>
      <c r="BN369" s="6"/>
      <c r="BO369" s="6"/>
      <c r="BP369" s="79"/>
      <c r="BQ369" s="6"/>
      <c r="BR369" s="6"/>
      <c r="BS369" s="6"/>
      <c r="BT369" s="6"/>
      <c r="BU369" s="79"/>
      <c r="BV369" s="6"/>
      <c r="BW369" s="6"/>
      <c r="BX369" s="6"/>
      <c r="BY369" s="6"/>
      <c r="BZ369" s="79"/>
      <c r="CA369" s="6"/>
      <c r="CB369" s="6"/>
      <c r="CC369" s="6"/>
      <c r="CD369" s="6"/>
      <c r="CE369" s="232" t="s">
        <v>126</v>
      </c>
      <c r="CF369" s="27"/>
      <c r="CG369" s="27"/>
      <c r="CH369" s="27"/>
      <c r="CI369" s="27"/>
      <c r="CJ369" s="112">
        <f>CJ368/CE368-1</f>
        <v>6.9169960474309011E-3</v>
      </c>
      <c r="CK369" s="213" t="s">
        <v>126</v>
      </c>
      <c r="CL369" s="213" t="s">
        <v>126</v>
      </c>
      <c r="CM369" s="213" t="s">
        <v>126</v>
      </c>
      <c r="CN369" s="213" t="s">
        <v>126</v>
      </c>
      <c r="CO369" s="112">
        <f t="shared" ref="CO369:CT369" si="1154">CO368/CJ368-1</f>
        <v>-4.5142296368989254E-2</v>
      </c>
      <c r="CP369" s="27">
        <f t="shared" si="1154"/>
        <v>-8.3333333333333037E-3</v>
      </c>
      <c r="CQ369" s="27">
        <f t="shared" si="1154"/>
        <v>0</v>
      </c>
      <c r="CR369" s="27">
        <f t="shared" si="1154"/>
        <v>0</v>
      </c>
      <c r="CS369" s="27">
        <f t="shared" si="1154"/>
        <v>8.9430894308943021E-2</v>
      </c>
      <c r="CT369" s="112">
        <f t="shared" si="1154"/>
        <v>2.0554984583761593E-2</v>
      </c>
      <c r="CU369" s="27"/>
      <c r="CV369" s="27"/>
      <c r="CW369" s="27"/>
      <c r="CX369" s="27"/>
      <c r="CY369" s="112"/>
      <c r="CZ369" s="27"/>
      <c r="DA369" s="27"/>
      <c r="DB369" s="27"/>
      <c r="DC369" s="27"/>
      <c r="DD369" s="112"/>
      <c r="DE369" s="27"/>
      <c r="DF369" s="27"/>
      <c r="DG369" s="27"/>
      <c r="DH369" s="27"/>
      <c r="DI369" s="112"/>
    </row>
    <row r="370" spans="1:113" ht="12" hidden="1" customHeight="1" outlineLevel="1">
      <c r="A370" s="219"/>
      <c r="B370" s="597" t="s">
        <v>217</v>
      </c>
      <c r="C370" s="79"/>
      <c r="D370" s="6"/>
      <c r="E370" s="79"/>
      <c r="F370" s="6"/>
      <c r="G370" s="79"/>
      <c r="H370" s="6"/>
      <c r="I370" s="79"/>
      <c r="J370" s="6"/>
      <c r="K370" s="79"/>
      <c r="L370" s="6"/>
      <c r="M370" s="79"/>
      <c r="N370" s="6"/>
      <c r="O370" s="79"/>
      <c r="P370" s="6"/>
      <c r="Q370" s="79"/>
      <c r="R370" s="6"/>
      <c r="S370" s="6"/>
      <c r="T370" s="6"/>
      <c r="U370" s="6"/>
      <c r="V370" s="79"/>
      <c r="W370" s="6"/>
      <c r="X370" s="6"/>
      <c r="Y370" s="6"/>
      <c r="Z370" s="6"/>
      <c r="AA370" s="79"/>
      <c r="AB370" s="79"/>
      <c r="AC370" s="6"/>
      <c r="AD370" s="6"/>
      <c r="AE370" s="6"/>
      <c r="AF370" s="6"/>
      <c r="AG370" s="79"/>
      <c r="AH370" s="6"/>
      <c r="AI370" s="6"/>
      <c r="AJ370" s="6"/>
      <c r="AK370" s="6"/>
      <c r="AL370" s="79"/>
      <c r="AM370" s="6"/>
      <c r="AN370" s="6"/>
      <c r="AO370" s="6"/>
      <c r="AP370" s="6"/>
      <c r="AQ370" s="79"/>
      <c r="AR370" s="6"/>
      <c r="AS370" s="6"/>
      <c r="AT370" s="6"/>
      <c r="AU370" s="6"/>
      <c r="AV370" s="79"/>
      <c r="AW370" s="6"/>
      <c r="AX370" s="6"/>
      <c r="AY370" s="6"/>
      <c r="AZ370" s="6"/>
      <c r="BA370" s="79"/>
      <c r="BB370" s="6"/>
      <c r="BC370" s="6"/>
      <c r="BD370" s="6"/>
      <c r="BE370" s="6"/>
      <c r="BF370" s="79"/>
      <c r="BG370" s="6"/>
      <c r="BH370" s="6"/>
      <c r="BI370" s="6"/>
      <c r="BJ370" s="6"/>
      <c r="BK370" s="79"/>
      <c r="BL370" s="6"/>
      <c r="BM370" s="6"/>
      <c r="BN370" s="6"/>
      <c r="BO370" s="6"/>
      <c r="BP370" s="79"/>
      <c r="BQ370" s="6"/>
      <c r="BR370" s="6"/>
      <c r="BS370" s="6"/>
      <c r="BT370" s="6"/>
      <c r="BU370" s="79"/>
      <c r="BV370" s="6"/>
      <c r="BW370" s="6"/>
      <c r="BX370" s="6"/>
      <c r="BY370" s="6"/>
      <c r="BZ370" s="79"/>
      <c r="CA370" s="6"/>
      <c r="CB370" s="6"/>
      <c r="CC370" s="6"/>
      <c r="CD370" s="6"/>
      <c r="CE370" s="112">
        <f>-CE368/CE$320</f>
        <v>0.13962472406181015</v>
      </c>
      <c r="CF370" s="27"/>
      <c r="CG370" s="27"/>
      <c r="CH370" s="27"/>
      <c r="CI370" s="27"/>
      <c r="CJ370" s="112">
        <f>-CJ368/CJ$320</f>
        <v>0.13505632869449966</v>
      </c>
      <c r="CK370" s="27">
        <f>-CK368/CK$320</f>
        <v>0.14405762304921968</v>
      </c>
      <c r="CL370" s="27">
        <f>-CL368/CL$320</f>
        <v>0.14728229105786089</v>
      </c>
      <c r="CM370" s="27">
        <f>-CM368/CM$320</f>
        <v>0.13560300057703403</v>
      </c>
      <c r="CN370" s="27">
        <f>-CN368/CN320</f>
        <v>0.16666666666666666</v>
      </c>
      <c r="CO370" s="112">
        <f>-CO368/CO$320</f>
        <v>0.14773762526571516</v>
      </c>
      <c r="CP370" s="27">
        <f>-CP368/CP$320</f>
        <v>0.15740740740740741</v>
      </c>
      <c r="CQ370" s="27">
        <f>-CQ368/CQ$320</f>
        <v>0.17709065354884049</v>
      </c>
      <c r="CR370" s="27">
        <f>-CR368/CR$320</f>
        <v>0.14551083591331268</v>
      </c>
      <c r="CS370" s="27">
        <f>-CS368/CS320</f>
        <v>0.20663068619892058</v>
      </c>
      <c r="CT370" s="112">
        <f>-CT368/CT$320</f>
        <v>0.16983068240123139</v>
      </c>
      <c r="CU370" s="27"/>
      <c r="CV370" s="27"/>
      <c r="CW370" s="27"/>
      <c r="CX370" s="27"/>
      <c r="CY370" s="112"/>
      <c r="CZ370" s="27"/>
      <c r="DA370" s="27"/>
      <c r="DB370" s="27"/>
      <c r="DC370" s="27"/>
      <c r="DD370" s="112"/>
      <c r="DE370" s="27"/>
      <c r="DF370" s="27"/>
      <c r="DG370" s="27"/>
      <c r="DH370" s="27"/>
      <c r="DI370" s="112"/>
    </row>
    <row r="371" spans="1:113" ht="12" hidden="1" customHeight="1" outlineLevel="1">
      <c r="A371" s="219"/>
      <c r="B371" s="597" t="s">
        <v>376</v>
      </c>
      <c r="C371" s="79"/>
      <c r="D371" s="6"/>
      <c r="E371" s="79"/>
      <c r="F371" s="6"/>
      <c r="G371" s="79"/>
      <c r="H371" s="6"/>
      <c r="I371" s="79"/>
      <c r="J371" s="6"/>
      <c r="K371" s="79"/>
      <c r="L371" s="6"/>
      <c r="M371" s="79"/>
      <c r="N371" s="6"/>
      <c r="O371" s="79"/>
      <c r="P371" s="6"/>
      <c r="Q371" s="79"/>
      <c r="R371" s="6"/>
      <c r="S371" s="6"/>
      <c r="T371" s="6"/>
      <c r="U371" s="6"/>
      <c r="V371" s="79"/>
      <c r="W371" s="6"/>
      <c r="X371" s="6"/>
      <c r="Y371" s="6"/>
      <c r="Z371" s="6"/>
      <c r="AA371" s="79"/>
      <c r="AB371" s="79"/>
      <c r="AC371" s="6"/>
      <c r="AD371" s="6"/>
      <c r="AE371" s="6"/>
      <c r="AF371" s="6"/>
      <c r="AG371" s="79"/>
      <c r="AH371" s="6"/>
      <c r="AI371" s="6"/>
      <c r="AJ371" s="6"/>
      <c r="AK371" s="6"/>
      <c r="AL371" s="79"/>
      <c r="AM371" s="6"/>
      <c r="AN371" s="6"/>
      <c r="AO371" s="6"/>
      <c r="AP371" s="6"/>
      <c r="AQ371" s="79"/>
      <c r="AR371" s="6"/>
      <c r="AS371" s="6"/>
      <c r="AT371" s="6"/>
      <c r="AU371" s="6"/>
      <c r="AV371" s="79"/>
      <c r="AW371" s="6"/>
      <c r="AX371" s="6"/>
      <c r="AY371" s="6"/>
      <c r="AZ371" s="6"/>
      <c r="BA371" s="79"/>
      <c r="BB371" s="6"/>
      <c r="BC371" s="6"/>
      <c r="BD371" s="6"/>
      <c r="BE371" s="6"/>
      <c r="BF371" s="79"/>
      <c r="BG371" s="6"/>
      <c r="BH371" s="6"/>
      <c r="BI371" s="6"/>
      <c r="BJ371" s="6"/>
      <c r="BK371" s="79"/>
      <c r="BL371" s="6"/>
      <c r="BM371" s="6"/>
      <c r="BN371" s="6"/>
      <c r="BO371" s="6"/>
      <c r="BP371" s="79"/>
      <c r="BQ371" s="6"/>
      <c r="BR371" s="6"/>
      <c r="BS371" s="6"/>
      <c r="BT371" s="6"/>
      <c r="BU371" s="79"/>
      <c r="BV371" s="6"/>
      <c r="BW371" s="6"/>
      <c r="BX371" s="6"/>
      <c r="BY371" s="6"/>
      <c r="BZ371" s="79"/>
      <c r="CA371" s="6"/>
      <c r="CB371" s="6"/>
      <c r="CC371" s="6"/>
      <c r="CD371" s="6"/>
      <c r="CE371" s="596" t="s">
        <v>126</v>
      </c>
      <c r="CF371" s="568"/>
      <c r="CG371" s="568"/>
      <c r="CH371" s="568"/>
      <c r="CI371" s="568"/>
      <c r="CJ371" s="567">
        <f>(CJ370-CE370)*100*100</f>
        <v>-45.683953673104902</v>
      </c>
      <c r="CK371" s="213" t="s">
        <v>126</v>
      </c>
      <c r="CL371" s="213" t="s">
        <v>126</v>
      </c>
      <c r="CM371" s="213" t="s">
        <v>126</v>
      </c>
      <c r="CN371" s="213" t="s">
        <v>126</v>
      </c>
      <c r="CO371" s="567">
        <f t="shared" ref="CO371:CT371" si="1155">(CO370-CJ370)*100*100</f>
        <v>126.81296571215501</v>
      </c>
      <c r="CP371" s="568">
        <f t="shared" si="1155"/>
        <v>133.49784358187733</v>
      </c>
      <c r="CQ371" s="568">
        <f t="shared" si="1155"/>
        <v>298.08362490979596</v>
      </c>
      <c r="CR371" s="568">
        <f t="shared" si="1155"/>
        <v>99.078353362786473</v>
      </c>
      <c r="CS371" s="568">
        <f t="shared" si="1155"/>
        <v>399.64019532253923</v>
      </c>
      <c r="CT371" s="567">
        <f t="shared" si="1155"/>
        <v>220.93057135516236</v>
      </c>
      <c r="CU371" s="568"/>
      <c r="CV371" s="568"/>
      <c r="CW371" s="568"/>
      <c r="CX371" s="568"/>
      <c r="CY371" s="567"/>
      <c r="CZ371" s="568"/>
      <c r="DA371" s="568"/>
      <c r="DB371" s="568"/>
      <c r="DC371" s="568"/>
      <c r="DD371" s="567"/>
      <c r="DE371" s="568"/>
      <c r="DF371" s="568"/>
      <c r="DG371" s="568"/>
      <c r="DH371" s="568"/>
      <c r="DI371" s="567"/>
    </row>
    <row r="372" spans="1:113" ht="12" hidden="1" customHeight="1" outlineLevel="1">
      <c r="A372" s="219"/>
      <c r="B372" s="17" t="s">
        <v>400</v>
      </c>
      <c r="C372" s="79"/>
      <c r="D372" s="6"/>
      <c r="E372" s="79"/>
      <c r="F372" s="6"/>
      <c r="G372" s="79"/>
      <c r="H372" s="6"/>
      <c r="I372" s="79"/>
      <c r="J372" s="6"/>
      <c r="K372" s="79"/>
      <c r="L372" s="6"/>
      <c r="M372" s="79"/>
      <c r="N372" s="6"/>
      <c r="O372" s="79"/>
      <c r="P372" s="6"/>
      <c r="Q372" s="79"/>
      <c r="R372" s="6"/>
      <c r="S372" s="6"/>
      <c r="T372" s="6"/>
      <c r="U372" s="6"/>
      <c r="V372" s="79"/>
      <c r="W372" s="6"/>
      <c r="X372" s="6"/>
      <c r="Y372" s="6"/>
      <c r="Z372" s="6"/>
      <c r="AA372" s="79"/>
      <c r="AB372" s="79"/>
      <c r="AC372" s="6"/>
      <c r="AD372" s="6"/>
      <c r="AE372" s="6"/>
      <c r="AF372" s="6"/>
      <c r="AG372" s="79"/>
      <c r="AH372" s="6"/>
      <c r="AI372" s="6"/>
      <c r="AJ372" s="6"/>
      <c r="AK372" s="6"/>
      <c r="AL372" s="79"/>
      <c r="AM372" s="6"/>
      <c r="AN372" s="6"/>
      <c r="AO372" s="6"/>
      <c r="AP372" s="6"/>
      <c r="AQ372" s="79"/>
      <c r="AR372" s="6"/>
      <c r="AS372" s="6"/>
      <c r="AT372" s="6"/>
      <c r="AU372" s="6"/>
      <c r="AV372" s="79"/>
      <c r="AW372" s="6"/>
      <c r="AX372" s="6"/>
      <c r="AY372" s="6"/>
      <c r="AZ372" s="6"/>
      <c r="BA372" s="79"/>
      <c r="BB372" s="6"/>
      <c r="BC372" s="6"/>
      <c r="BD372" s="6"/>
      <c r="BE372" s="6"/>
      <c r="BF372" s="79"/>
      <c r="BG372" s="6"/>
      <c r="BH372" s="6"/>
      <c r="BI372" s="6"/>
      <c r="BJ372" s="6"/>
      <c r="BK372" s="79"/>
      <c r="BL372" s="6"/>
      <c r="BM372" s="6"/>
      <c r="BN372" s="6"/>
      <c r="BO372" s="6"/>
      <c r="BP372" s="79"/>
      <c r="BQ372" s="6"/>
      <c r="BR372" s="6"/>
      <c r="BS372" s="6"/>
      <c r="BT372" s="6"/>
      <c r="BU372" s="79"/>
      <c r="BV372" s="6"/>
      <c r="BW372" s="6"/>
      <c r="BX372" s="6"/>
      <c r="BY372" s="6"/>
      <c r="BZ372" s="79"/>
      <c r="CA372" s="6"/>
      <c r="CB372" s="6"/>
      <c r="CC372" s="6"/>
      <c r="CD372" s="6"/>
      <c r="CE372" s="36">
        <f>CE364+CE368</f>
        <v>-1511</v>
      </c>
      <c r="CF372" s="43"/>
      <c r="CG372" s="43"/>
      <c r="CH372" s="43"/>
      <c r="CI372" s="43"/>
      <c r="CJ372" s="36">
        <f t="shared" ref="CJ372:CT372" si="1156">CJ364+CJ368</f>
        <v>-1538</v>
      </c>
      <c r="CK372" s="43">
        <f t="shared" si="1156"/>
        <v>-354</v>
      </c>
      <c r="CL372" s="43">
        <f t="shared" si="1156"/>
        <v>-387</v>
      </c>
      <c r="CM372" s="43">
        <f t="shared" si="1156"/>
        <v>-358</v>
      </c>
      <c r="CN372" s="43">
        <f t="shared" si="1156"/>
        <v>-403</v>
      </c>
      <c r="CO372" s="36">
        <f t="shared" si="1156"/>
        <v>-1502</v>
      </c>
      <c r="CP372" s="43">
        <f t="shared" si="1156"/>
        <v>-337</v>
      </c>
      <c r="CQ372" s="43">
        <f t="shared" si="1156"/>
        <v>-397</v>
      </c>
      <c r="CR372" s="43">
        <f t="shared" si="1156"/>
        <v>-332</v>
      </c>
      <c r="CS372" s="43">
        <f t="shared" si="1156"/>
        <v>-382</v>
      </c>
      <c r="CT372" s="36">
        <f t="shared" si="1156"/>
        <v>-1448</v>
      </c>
      <c r="CU372" s="43"/>
      <c r="CV372" s="43"/>
      <c r="CW372" s="43"/>
      <c r="CX372" s="43"/>
      <c r="CY372" s="36"/>
      <c r="CZ372" s="43"/>
      <c r="DA372" s="43"/>
      <c r="DB372" s="43"/>
      <c r="DC372" s="43"/>
      <c r="DD372" s="36"/>
      <c r="DE372" s="43"/>
      <c r="DF372" s="43"/>
      <c r="DG372" s="43"/>
      <c r="DH372" s="43"/>
      <c r="DI372" s="36"/>
    </row>
    <row r="373" spans="1:113" ht="12" hidden="1" customHeight="1" outlineLevel="1">
      <c r="A373" s="219"/>
      <c r="B373" s="491" t="s">
        <v>348</v>
      </c>
      <c r="C373" s="79"/>
      <c r="D373" s="6"/>
      <c r="E373" s="79"/>
      <c r="F373" s="6"/>
      <c r="G373" s="79"/>
      <c r="H373" s="6"/>
      <c r="I373" s="79"/>
      <c r="J373" s="6"/>
      <c r="K373" s="79"/>
      <c r="L373" s="6"/>
      <c r="M373" s="79"/>
      <c r="N373" s="6"/>
      <c r="O373" s="79"/>
      <c r="P373" s="6"/>
      <c r="Q373" s="79"/>
      <c r="R373" s="6"/>
      <c r="S373" s="6"/>
      <c r="T373" s="6"/>
      <c r="U373" s="6"/>
      <c r="V373" s="79"/>
      <c r="W373" s="6"/>
      <c r="X373" s="6"/>
      <c r="Y373" s="6"/>
      <c r="Z373" s="6"/>
      <c r="AA373" s="79"/>
      <c r="AB373" s="79"/>
      <c r="AC373" s="6"/>
      <c r="AD373" s="6"/>
      <c r="AE373" s="6"/>
      <c r="AF373" s="6"/>
      <c r="AG373" s="79"/>
      <c r="AH373" s="6"/>
      <c r="AI373" s="6"/>
      <c r="AJ373" s="6"/>
      <c r="AK373" s="6"/>
      <c r="AL373" s="79"/>
      <c r="AM373" s="6"/>
      <c r="AN373" s="6"/>
      <c r="AO373" s="6"/>
      <c r="AP373" s="6"/>
      <c r="AQ373" s="79"/>
      <c r="AR373" s="6"/>
      <c r="AS373" s="6"/>
      <c r="AT373" s="6"/>
      <c r="AU373" s="6"/>
      <c r="AV373" s="79"/>
      <c r="AW373" s="6"/>
      <c r="AX373" s="6"/>
      <c r="AY373" s="6"/>
      <c r="AZ373" s="6"/>
      <c r="BA373" s="79"/>
      <c r="BB373" s="6"/>
      <c r="BC373" s="6"/>
      <c r="BD373" s="6"/>
      <c r="BE373" s="6"/>
      <c r="BF373" s="79"/>
      <c r="BG373" s="6"/>
      <c r="BH373" s="6"/>
      <c r="BI373" s="6"/>
      <c r="BJ373" s="6"/>
      <c r="BK373" s="79"/>
      <c r="BL373" s="6"/>
      <c r="BM373" s="6"/>
      <c r="BN373" s="6"/>
      <c r="BO373" s="6"/>
      <c r="BP373" s="79"/>
      <c r="BQ373" s="6"/>
      <c r="BR373" s="6"/>
      <c r="BS373" s="6"/>
      <c r="BT373" s="6"/>
      <c r="BU373" s="79"/>
      <c r="BV373" s="6"/>
      <c r="BW373" s="6"/>
      <c r="BX373" s="6"/>
      <c r="BY373" s="6"/>
      <c r="BZ373" s="79"/>
      <c r="CA373" s="6"/>
      <c r="CB373" s="6"/>
      <c r="CC373" s="6"/>
      <c r="CD373" s="6"/>
      <c r="CE373" s="232" t="s">
        <v>126</v>
      </c>
      <c r="CF373" s="27"/>
      <c r="CG373" s="27"/>
      <c r="CH373" s="27"/>
      <c r="CI373" s="27"/>
      <c r="CJ373" s="112">
        <f>CJ372/CE372-1</f>
        <v>1.7868960953011159E-2</v>
      </c>
      <c r="CK373" s="213" t="s">
        <v>126</v>
      </c>
      <c r="CL373" s="213" t="s">
        <v>126</v>
      </c>
      <c r="CM373" s="213" t="s">
        <v>126</v>
      </c>
      <c r="CN373" s="213" t="s">
        <v>126</v>
      </c>
      <c r="CO373" s="112">
        <f t="shared" ref="CO373:CT373" si="1157">CO372/CJ372-1</f>
        <v>-2.3407022106632036E-2</v>
      </c>
      <c r="CP373" s="27">
        <f t="shared" si="1157"/>
        <v>-4.8022598870056443E-2</v>
      </c>
      <c r="CQ373" s="27">
        <f t="shared" si="1157"/>
        <v>2.5839793281653645E-2</v>
      </c>
      <c r="CR373" s="27">
        <f t="shared" si="1157"/>
        <v>-7.2625698324022325E-2</v>
      </c>
      <c r="CS373" s="27">
        <f t="shared" si="1157"/>
        <v>-5.2109181141439254E-2</v>
      </c>
      <c r="CT373" s="112">
        <f t="shared" si="1157"/>
        <v>-3.5952063914780341E-2</v>
      </c>
      <c r="CU373" s="27"/>
      <c r="CV373" s="27"/>
      <c r="CW373" s="27"/>
      <c r="CX373" s="27"/>
      <c r="CY373" s="112"/>
      <c r="CZ373" s="27"/>
      <c r="DA373" s="27"/>
      <c r="DB373" s="27"/>
      <c r="DC373" s="27"/>
      <c r="DD373" s="112"/>
      <c r="DE373" s="27"/>
      <c r="DF373" s="27"/>
      <c r="DG373" s="27"/>
      <c r="DH373" s="27"/>
      <c r="DI373" s="112"/>
    </row>
    <row r="374" spans="1:113" ht="12" hidden="1" customHeight="1" outlineLevel="1">
      <c r="A374" s="219"/>
      <c r="B374" s="491" t="s">
        <v>217</v>
      </c>
      <c r="C374" s="79"/>
      <c r="D374" s="6"/>
      <c r="E374" s="79"/>
      <c r="F374" s="6"/>
      <c r="G374" s="79"/>
      <c r="H374" s="6"/>
      <c r="I374" s="79"/>
      <c r="J374" s="6"/>
      <c r="K374" s="79"/>
      <c r="L374" s="6"/>
      <c r="M374" s="79"/>
      <c r="N374" s="6"/>
      <c r="O374" s="79"/>
      <c r="P374" s="6"/>
      <c r="Q374" s="79"/>
      <c r="R374" s="6"/>
      <c r="S374" s="6"/>
      <c r="T374" s="6"/>
      <c r="U374" s="6"/>
      <c r="V374" s="79"/>
      <c r="W374" s="6"/>
      <c r="X374" s="6"/>
      <c r="Y374" s="6"/>
      <c r="Z374" s="6"/>
      <c r="AA374" s="79"/>
      <c r="AB374" s="79"/>
      <c r="AC374" s="6"/>
      <c r="AD374" s="6"/>
      <c r="AE374" s="6"/>
      <c r="AF374" s="6"/>
      <c r="AG374" s="79"/>
      <c r="AH374" s="6"/>
      <c r="AI374" s="6"/>
      <c r="AJ374" s="6"/>
      <c r="AK374" s="6"/>
      <c r="AL374" s="79"/>
      <c r="AM374" s="6"/>
      <c r="AN374" s="6"/>
      <c r="AO374" s="6"/>
      <c r="AP374" s="6"/>
      <c r="AQ374" s="79"/>
      <c r="AR374" s="6"/>
      <c r="AS374" s="6"/>
      <c r="AT374" s="6"/>
      <c r="AU374" s="6"/>
      <c r="AV374" s="79"/>
      <c r="AW374" s="6"/>
      <c r="AX374" s="6"/>
      <c r="AY374" s="6"/>
      <c r="AZ374" s="6"/>
      <c r="BA374" s="79"/>
      <c r="BB374" s="6"/>
      <c r="BC374" s="6"/>
      <c r="BD374" s="6"/>
      <c r="BE374" s="6"/>
      <c r="BF374" s="79"/>
      <c r="BG374" s="6"/>
      <c r="BH374" s="6"/>
      <c r="BI374" s="6"/>
      <c r="BJ374" s="6"/>
      <c r="BK374" s="79"/>
      <c r="BL374" s="6"/>
      <c r="BM374" s="6"/>
      <c r="BN374" s="6"/>
      <c r="BO374" s="6"/>
      <c r="BP374" s="79"/>
      <c r="BQ374" s="6"/>
      <c r="BR374" s="6"/>
      <c r="BS374" s="6"/>
      <c r="BT374" s="6"/>
      <c r="BU374" s="79"/>
      <c r="BV374" s="6"/>
      <c r="BW374" s="6"/>
      <c r="BX374" s="6"/>
      <c r="BY374" s="6"/>
      <c r="BZ374" s="79"/>
      <c r="CA374" s="6"/>
      <c r="CB374" s="6"/>
      <c r="CC374" s="6"/>
      <c r="CD374" s="6"/>
      <c r="CE374" s="112">
        <f>-CE372/CE$320</f>
        <v>0.20847130242825607</v>
      </c>
      <c r="CF374" s="27"/>
      <c r="CG374" s="27"/>
      <c r="CH374" s="27"/>
      <c r="CI374" s="27"/>
      <c r="CJ374" s="112">
        <f>-CJ372/CJ$320</f>
        <v>0.20384360503644797</v>
      </c>
      <c r="CK374" s="27">
        <f>-CK372/CK$320</f>
        <v>0.21248499399759904</v>
      </c>
      <c r="CL374" s="27">
        <f>-CL372/CL$320</f>
        <v>0.22618351841028639</v>
      </c>
      <c r="CM374" s="27">
        <f>-CM372/CM$320</f>
        <v>0.20657818811309867</v>
      </c>
      <c r="CN374" s="27">
        <f>-CN372/CN320</f>
        <v>0.27303523035230354</v>
      </c>
      <c r="CO374" s="112">
        <f>-CO372/CO$320</f>
        <v>0.22805952019435166</v>
      </c>
      <c r="CP374" s="27">
        <f>-CP372/CP$320</f>
        <v>0.22288359788359788</v>
      </c>
      <c r="CQ374" s="27">
        <f>-CQ372/CQ$320</f>
        <v>0.27898805340829236</v>
      </c>
      <c r="CR374" s="27">
        <f>-CR372/CR$320</f>
        <v>0.20557275541795667</v>
      </c>
      <c r="CS374" s="27">
        <f>-CS372/CS320</f>
        <v>0.29452582883577488</v>
      </c>
      <c r="CT374" s="112">
        <f>-CT372/CT$320</f>
        <v>0.24764836668376947</v>
      </c>
      <c r="CU374" s="27"/>
      <c r="CV374" s="27"/>
      <c r="CW374" s="27"/>
      <c r="CX374" s="27"/>
      <c r="CY374" s="112"/>
      <c r="CZ374" s="27"/>
      <c r="DA374" s="27"/>
      <c r="DB374" s="27"/>
      <c r="DC374" s="27"/>
      <c r="DD374" s="112"/>
      <c r="DE374" s="27"/>
      <c r="DF374" s="27"/>
      <c r="DG374" s="27"/>
      <c r="DH374" s="27"/>
      <c r="DI374" s="112"/>
    </row>
    <row r="375" spans="1:113" ht="12" hidden="1" customHeight="1" outlineLevel="1">
      <c r="A375" s="219"/>
      <c r="B375" s="491" t="s">
        <v>376</v>
      </c>
      <c r="C375" s="79"/>
      <c r="D375" s="6"/>
      <c r="E375" s="79"/>
      <c r="F375" s="6"/>
      <c r="G375" s="79"/>
      <c r="H375" s="6"/>
      <c r="I375" s="79"/>
      <c r="J375" s="6"/>
      <c r="K375" s="79"/>
      <c r="L375" s="6"/>
      <c r="M375" s="79"/>
      <c r="N375" s="6"/>
      <c r="O375" s="79"/>
      <c r="P375" s="6"/>
      <c r="Q375" s="79"/>
      <c r="R375" s="6"/>
      <c r="S375" s="6"/>
      <c r="T375" s="6"/>
      <c r="U375" s="6"/>
      <c r="V375" s="79"/>
      <c r="W375" s="6"/>
      <c r="X375" s="6"/>
      <c r="Y375" s="6"/>
      <c r="Z375" s="6"/>
      <c r="AA375" s="79"/>
      <c r="AB375" s="79"/>
      <c r="AC375" s="6"/>
      <c r="AD375" s="6"/>
      <c r="AE375" s="6"/>
      <c r="AF375" s="6"/>
      <c r="AG375" s="79"/>
      <c r="AH375" s="6"/>
      <c r="AI375" s="6"/>
      <c r="AJ375" s="6"/>
      <c r="AK375" s="6"/>
      <c r="AL375" s="79"/>
      <c r="AM375" s="6"/>
      <c r="AN375" s="6"/>
      <c r="AO375" s="6"/>
      <c r="AP375" s="6"/>
      <c r="AQ375" s="79"/>
      <c r="AR375" s="6"/>
      <c r="AS375" s="6"/>
      <c r="AT375" s="6"/>
      <c r="AU375" s="6"/>
      <c r="AV375" s="79"/>
      <c r="AW375" s="6"/>
      <c r="AX375" s="6"/>
      <c r="AY375" s="6"/>
      <c r="AZ375" s="6"/>
      <c r="BA375" s="79"/>
      <c r="BB375" s="6"/>
      <c r="BC375" s="6"/>
      <c r="BD375" s="6"/>
      <c r="BE375" s="6"/>
      <c r="BF375" s="79"/>
      <c r="BG375" s="6"/>
      <c r="BH375" s="6"/>
      <c r="BI375" s="6"/>
      <c r="BJ375" s="6"/>
      <c r="BK375" s="79"/>
      <c r="BL375" s="6"/>
      <c r="BM375" s="6"/>
      <c r="BN375" s="6"/>
      <c r="BO375" s="6"/>
      <c r="BP375" s="79"/>
      <c r="BQ375" s="6"/>
      <c r="BR375" s="6"/>
      <c r="BS375" s="6"/>
      <c r="BT375" s="6"/>
      <c r="BU375" s="79"/>
      <c r="BV375" s="6"/>
      <c r="BW375" s="6"/>
      <c r="BX375" s="6"/>
      <c r="BY375" s="6"/>
      <c r="BZ375" s="79"/>
      <c r="CA375" s="6"/>
      <c r="CB375" s="6"/>
      <c r="CC375" s="6"/>
      <c r="CD375" s="6"/>
      <c r="CE375" s="596" t="s">
        <v>126</v>
      </c>
      <c r="CF375" s="568"/>
      <c r="CG375" s="568"/>
      <c r="CH375" s="568"/>
      <c r="CI375" s="568"/>
      <c r="CJ375" s="567">
        <f>(CJ374-CE374)*100*100</f>
        <v>-46.276973918080998</v>
      </c>
      <c r="CK375" s="213" t="s">
        <v>126</v>
      </c>
      <c r="CL375" s="213" t="s">
        <v>126</v>
      </c>
      <c r="CM375" s="213" t="s">
        <v>126</v>
      </c>
      <c r="CN375" s="213" t="s">
        <v>126</v>
      </c>
      <c r="CO375" s="567">
        <f t="shared" ref="CO375:CT375" si="1158">(CO374-CJ374)*100*100</f>
        <v>242.15915157903694</v>
      </c>
      <c r="CP375" s="568">
        <f t="shared" si="1158"/>
        <v>103.98603885998835</v>
      </c>
      <c r="CQ375" s="568">
        <f t="shared" si="1158"/>
        <v>528.04534998005965</v>
      </c>
      <c r="CR375" s="568">
        <f t="shared" si="1158"/>
        <v>-10.05432695142</v>
      </c>
      <c r="CS375" s="568">
        <f t="shared" si="1158"/>
        <v>214.90598483471345</v>
      </c>
      <c r="CT375" s="567">
        <f t="shared" si="1158"/>
        <v>195.88846489417807</v>
      </c>
      <c r="CU375" s="568"/>
      <c r="CV375" s="568"/>
      <c r="CW375" s="568"/>
      <c r="CX375" s="568"/>
      <c r="CY375" s="567"/>
      <c r="CZ375" s="568"/>
      <c r="DA375" s="568"/>
      <c r="DB375" s="568"/>
      <c r="DC375" s="568"/>
      <c r="DD375" s="567"/>
      <c r="DE375" s="568"/>
      <c r="DF375" s="568"/>
      <c r="DG375" s="568"/>
      <c r="DH375" s="568"/>
      <c r="DI375" s="567"/>
    </row>
    <row r="376" spans="1:113" ht="12" hidden="1" customHeight="1" outlineLevel="1">
      <c r="A376" s="219"/>
      <c r="B376" s="597"/>
      <c r="C376" s="79"/>
      <c r="D376" s="6"/>
      <c r="E376" s="79"/>
      <c r="F376" s="6"/>
      <c r="G376" s="79"/>
      <c r="H376" s="6"/>
      <c r="I376" s="79"/>
      <c r="J376" s="6"/>
      <c r="K376" s="79"/>
      <c r="L376" s="6"/>
      <c r="M376" s="79"/>
      <c r="N376" s="6"/>
      <c r="O376" s="79"/>
      <c r="P376" s="6"/>
      <c r="Q376" s="79"/>
      <c r="R376" s="6"/>
      <c r="S376" s="6"/>
      <c r="T376" s="6"/>
      <c r="U376" s="6"/>
      <c r="V376" s="79"/>
      <c r="W376" s="6"/>
      <c r="X376" s="6"/>
      <c r="Y376" s="6"/>
      <c r="Z376" s="6"/>
      <c r="AA376" s="79"/>
      <c r="AB376" s="79"/>
      <c r="AC376" s="6"/>
      <c r="AD376" s="6"/>
      <c r="AE376" s="6"/>
      <c r="AF376" s="6"/>
      <c r="AG376" s="79"/>
      <c r="AH376" s="6"/>
      <c r="AI376" s="6"/>
      <c r="AJ376" s="6"/>
      <c r="AK376" s="6"/>
      <c r="AL376" s="79"/>
      <c r="AM376" s="6"/>
      <c r="AN376" s="6"/>
      <c r="AO376" s="6"/>
      <c r="AP376" s="6"/>
      <c r="AQ376" s="79"/>
      <c r="AR376" s="6"/>
      <c r="AS376" s="6"/>
      <c r="AT376" s="6"/>
      <c r="AU376" s="6"/>
      <c r="AV376" s="79"/>
      <c r="AW376" s="6"/>
      <c r="AX376" s="6"/>
      <c r="AY376" s="6"/>
      <c r="AZ376" s="6"/>
      <c r="BA376" s="79"/>
      <c r="BB376" s="6"/>
      <c r="BC376" s="6"/>
      <c r="BD376" s="6"/>
      <c r="BE376" s="6"/>
      <c r="BF376" s="79"/>
      <c r="BG376" s="6"/>
      <c r="BH376" s="6"/>
      <c r="BI376" s="6"/>
      <c r="BJ376" s="6"/>
      <c r="BK376" s="79"/>
      <c r="BL376" s="6"/>
      <c r="BM376" s="6"/>
      <c r="BN376" s="6"/>
      <c r="BO376" s="6"/>
      <c r="BP376" s="79"/>
      <c r="BQ376" s="6"/>
      <c r="BR376" s="6"/>
      <c r="BS376" s="6"/>
      <c r="BT376" s="6"/>
      <c r="BU376" s="79"/>
      <c r="BV376" s="6"/>
      <c r="BW376" s="6"/>
      <c r="BX376" s="6"/>
      <c r="BY376" s="6"/>
      <c r="BZ376" s="79"/>
      <c r="CA376" s="6"/>
      <c r="CB376" s="6"/>
      <c r="CC376" s="6"/>
      <c r="CD376" s="6"/>
      <c r="CE376" s="79"/>
      <c r="CF376" s="6"/>
      <c r="CG376" s="6"/>
      <c r="CH376" s="6"/>
      <c r="CI376" s="6"/>
      <c r="CJ376" s="79"/>
      <c r="CK376" s="6"/>
      <c r="CL376" s="6"/>
      <c r="CM376" s="6"/>
      <c r="CN376" s="6"/>
      <c r="CO376" s="79"/>
      <c r="CP376" s="6"/>
      <c r="CS376" s="6"/>
      <c r="CT376" s="79"/>
      <c r="CU376" s="591"/>
      <c r="CV376" s="591"/>
      <c r="CW376" s="591"/>
      <c r="CX376" s="591"/>
      <c r="CY376" s="590"/>
      <c r="CZ376" s="591"/>
      <c r="DA376" s="591"/>
      <c r="DB376" s="6"/>
      <c r="DC376" s="6"/>
      <c r="DD376" s="79"/>
      <c r="DE376" s="591"/>
      <c r="DF376" s="591"/>
      <c r="DG376" s="6"/>
      <c r="DH376" s="6"/>
      <c r="DI376" s="79"/>
    </row>
    <row r="377" spans="1:113" ht="12" hidden="1" customHeight="1" outlineLevel="1">
      <c r="A377" s="219"/>
      <c r="B377" s="17" t="s">
        <v>401</v>
      </c>
      <c r="C377" s="79"/>
      <c r="D377" s="6"/>
      <c r="E377" s="79"/>
      <c r="F377" s="6"/>
      <c r="G377" s="79"/>
      <c r="H377" s="6"/>
      <c r="I377" s="79"/>
      <c r="J377" s="6"/>
      <c r="K377" s="79"/>
      <c r="L377" s="6"/>
      <c r="M377" s="79"/>
      <c r="N377" s="6"/>
      <c r="O377" s="79"/>
      <c r="P377" s="6"/>
      <c r="Q377" s="79"/>
      <c r="R377" s="6"/>
      <c r="S377" s="6"/>
      <c r="T377" s="6"/>
      <c r="U377" s="6"/>
      <c r="V377" s="79"/>
      <c r="W377" s="6"/>
      <c r="X377" s="6"/>
      <c r="Y377" s="6"/>
      <c r="Z377" s="6"/>
      <c r="AA377" s="79"/>
      <c r="AB377" s="79"/>
      <c r="AC377" s="6"/>
      <c r="AD377" s="6"/>
      <c r="AE377" s="6"/>
      <c r="AF377" s="6"/>
      <c r="AG377" s="79"/>
      <c r="AH377" s="6"/>
      <c r="AI377" s="6"/>
      <c r="AJ377" s="6"/>
      <c r="AK377" s="6"/>
      <c r="AL377" s="79"/>
      <c r="AM377" s="6"/>
      <c r="AN377" s="6"/>
      <c r="AO377" s="6"/>
      <c r="AP377" s="6"/>
      <c r="AQ377" s="79"/>
      <c r="AR377" s="6"/>
      <c r="AS377" s="6"/>
      <c r="AT377" s="6"/>
      <c r="AU377" s="6"/>
      <c r="AV377" s="79"/>
      <c r="AW377" s="6"/>
      <c r="AX377" s="6"/>
      <c r="AY377" s="6"/>
      <c r="AZ377" s="6"/>
      <c r="BA377" s="79"/>
      <c r="BB377" s="6"/>
      <c r="BC377" s="6"/>
      <c r="BD377" s="6"/>
      <c r="BE377" s="6"/>
      <c r="BF377" s="79"/>
      <c r="BG377" s="6"/>
      <c r="BH377" s="6"/>
      <c r="BI377" s="6"/>
      <c r="BJ377" s="6"/>
      <c r="BK377" s="79"/>
      <c r="BL377" s="6"/>
      <c r="BM377" s="6"/>
      <c r="BN377" s="6"/>
      <c r="BO377" s="6"/>
      <c r="BP377" s="79"/>
      <c r="BQ377" s="6"/>
      <c r="BR377" s="6"/>
      <c r="BS377" s="6"/>
      <c r="BT377" s="6"/>
      <c r="BU377" s="79"/>
      <c r="BV377" s="6"/>
      <c r="BW377" s="6"/>
      <c r="BX377" s="6"/>
      <c r="BY377" s="6"/>
      <c r="BZ377" s="79"/>
      <c r="CA377" s="6"/>
      <c r="CB377" s="6"/>
      <c r="CC377" s="6"/>
      <c r="CD377" s="6"/>
      <c r="CE377" s="36">
        <v>-98</v>
      </c>
      <c r="CF377" s="43"/>
      <c r="CG377" s="43"/>
      <c r="CH377" s="43"/>
      <c r="CI377" s="43"/>
      <c r="CJ377" s="36">
        <v>-63</v>
      </c>
      <c r="CK377" s="43">
        <v>-45</v>
      </c>
      <c r="CL377" s="43">
        <v>-8</v>
      </c>
      <c r="CM377" s="43">
        <v>1</v>
      </c>
      <c r="CN377" s="43">
        <f>CO377-CM377-CL377-CK377</f>
        <v>-24</v>
      </c>
      <c r="CO377" s="36">
        <v>-76</v>
      </c>
      <c r="CP377" s="43">
        <v>0</v>
      </c>
      <c r="CQ377" s="43">
        <v>-1</v>
      </c>
      <c r="CR377" s="43">
        <v>-23</v>
      </c>
      <c r="CS377" s="43">
        <f>CT377-CR377-CQ377-CP377</f>
        <v>-32</v>
      </c>
      <c r="CT377" s="36">
        <v>-56</v>
      </c>
      <c r="CU377" s="43"/>
      <c r="CV377" s="43"/>
      <c r="CW377" s="43"/>
      <c r="CX377" s="43"/>
      <c r="CY377" s="36"/>
      <c r="CZ377" s="43"/>
      <c r="DA377" s="43"/>
      <c r="DB377" s="43"/>
      <c r="DC377" s="43"/>
      <c r="DD377" s="36"/>
      <c r="DE377" s="43"/>
      <c r="DF377" s="43"/>
      <c r="DG377" s="43"/>
      <c r="DH377" s="43"/>
      <c r="DI377" s="36"/>
    </row>
    <row r="378" spans="1:113" ht="12" hidden="1" customHeight="1" outlineLevel="1">
      <c r="A378" s="219"/>
      <c r="B378" s="17"/>
      <c r="C378" s="79"/>
      <c r="D378" s="6"/>
      <c r="E378" s="79"/>
      <c r="F378" s="6"/>
      <c r="G378" s="79"/>
      <c r="H378" s="6"/>
      <c r="I378" s="79"/>
      <c r="J378" s="6"/>
      <c r="K378" s="79"/>
      <c r="L378" s="6"/>
      <c r="M378" s="79"/>
      <c r="N378" s="6"/>
      <c r="O378" s="79"/>
      <c r="P378" s="6"/>
      <c r="Q378" s="79"/>
      <c r="R378" s="6"/>
      <c r="S378" s="6"/>
      <c r="T378" s="6"/>
      <c r="U378" s="6"/>
      <c r="V378" s="79"/>
      <c r="W378" s="6"/>
      <c r="X378" s="6"/>
      <c r="Y378" s="6"/>
      <c r="Z378" s="6"/>
      <c r="AA378" s="79"/>
      <c r="AB378" s="79"/>
      <c r="AC378" s="6"/>
      <c r="AD378" s="6"/>
      <c r="AE378" s="6"/>
      <c r="AF378" s="6"/>
      <c r="AG378" s="79"/>
      <c r="AH378" s="6"/>
      <c r="AI378" s="6"/>
      <c r="AJ378" s="6"/>
      <c r="AK378" s="6"/>
      <c r="AL378" s="79"/>
      <c r="AM378" s="6"/>
      <c r="AN378" s="6"/>
      <c r="AO378" s="6"/>
      <c r="AP378" s="6"/>
      <c r="AQ378" s="79"/>
      <c r="AR378" s="6"/>
      <c r="AS378" s="6"/>
      <c r="AT378" s="6"/>
      <c r="AU378" s="6"/>
      <c r="AV378" s="79"/>
      <c r="AW378" s="6"/>
      <c r="AX378" s="6"/>
      <c r="AY378" s="6"/>
      <c r="AZ378" s="6"/>
      <c r="BA378" s="79"/>
      <c r="BB378" s="6"/>
      <c r="BC378" s="6"/>
      <c r="BD378" s="6"/>
      <c r="BE378" s="6"/>
      <c r="BF378" s="79"/>
      <c r="BG378" s="6"/>
      <c r="BH378" s="6"/>
      <c r="BI378" s="6"/>
      <c r="BJ378" s="6"/>
      <c r="BK378" s="79"/>
      <c r="BL378" s="6"/>
      <c r="BM378" s="6"/>
      <c r="BN378" s="6"/>
      <c r="BO378" s="6"/>
      <c r="BP378" s="79"/>
      <c r="BQ378" s="6"/>
      <c r="BR378" s="6"/>
      <c r="BS378" s="6"/>
      <c r="BT378" s="6"/>
      <c r="BU378" s="79"/>
      <c r="BV378" s="6"/>
      <c r="BW378" s="6"/>
      <c r="BX378" s="6"/>
      <c r="BY378" s="6"/>
      <c r="BZ378" s="79"/>
      <c r="CA378" s="6"/>
      <c r="CB378" s="6"/>
      <c r="CC378" s="6"/>
      <c r="CD378" s="6"/>
      <c r="CE378" s="79"/>
      <c r="CF378" s="6"/>
      <c r="CG378" s="6"/>
      <c r="CH378" s="6"/>
      <c r="CI378" s="6"/>
      <c r="CJ378" s="79"/>
      <c r="CK378" s="6"/>
      <c r="CL378" s="6"/>
      <c r="CM378" s="6"/>
      <c r="CN378" s="6"/>
      <c r="CO378" s="79"/>
      <c r="CP378" s="6"/>
      <c r="CQ378" s="6"/>
      <c r="CR378" s="6"/>
      <c r="CS378" s="6"/>
      <c r="CT378" s="79"/>
      <c r="CU378" s="6"/>
      <c r="CV378" s="6"/>
      <c r="CW378" s="6"/>
      <c r="CX378" s="6"/>
      <c r="CY378" s="79"/>
      <c r="CZ378" s="6"/>
      <c r="DA378" s="6"/>
      <c r="DB378" s="6"/>
      <c r="DC378" s="6"/>
      <c r="DD378" s="79"/>
      <c r="DE378" s="6"/>
      <c r="DF378" s="6"/>
      <c r="DG378" s="6"/>
      <c r="DH378" s="6"/>
      <c r="DI378" s="79"/>
    </row>
    <row r="379" spans="1:113" s="7" customFormat="1" ht="12" customHeight="1" collapsed="1">
      <c r="A379" s="239" t="str">
        <f t="shared" si="1040"/>
        <v xml:space="preserve"> </v>
      </c>
      <c r="B379" s="20" t="s">
        <v>181</v>
      </c>
      <c r="C379" s="36"/>
      <c r="D379" s="43"/>
      <c r="E379" s="36"/>
      <c r="F379" s="43"/>
      <c r="G379" s="36"/>
      <c r="H379" s="43"/>
      <c r="I379" s="36"/>
      <c r="J379" s="43"/>
      <c r="K379" s="36"/>
      <c r="L379" s="43"/>
      <c r="M379" s="36"/>
      <c r="N379" s="43"/>
      <c r="O379" s="36"/>
      <c r="P379" s="43"/>
      <c r="Q379" s="36"/>
      <c r="R379" s="43">
        <v>164</v>
      </c>
      <c r="S379" s="43">
        <v>174</v>
      </c>
      <c r="T379" s="43">
        <v>213</v>
      </c>
      <c r="U379" s="43">
        <v>226</v>
      </c>
      <c r="V379" s="36">
        <f>SUM(R379:U379)</f>
        <v>777</v>
      </c>
      <c r="W379" s="43">
        <v>171</v>
      </c>
      <c r="X379" s="43">
        <v>220</v>
      </c>
      <c r="Y379" s="43">
        <v>273</v>
      </c>
      <c r="Z379" s="43">
        <v>247</v>
      </c>
      <c r="AA379" s="36">
        <f>SUM(W379:Z379)</f>
        <v>911</v>
      </c>
      <c r="AB379" s="36"/>
      <c r="AC379" s="43">
        <v>165</v>
      </c>
      <c r="AD379" s="43">
        <v>187</v>
      </c>
      <c r="AE379" s="43">
        <v>218</v>
      </c>
      <c r="AF379" s="43">
        <v>243</v>
      </c>
      <c r="AG379" s="36">
        <f>SUM(AC379:AF379)</f>
        <v>813</v>
      </c>
      <c r="AH379" s="43">
        <v>170</v>
      </c>
      <c r="AI379" s="43">
        <v>197</v>
      </c>
      <c r="AJ379" s="43">
        <v>234</v>
      </c>
      <c r="AK379" s="43">
        <v>223</v>
      </c>
      <c r="AL379" s="36">
        <f>SUM(AH379:AK379)</f>
        <v>824</v>
      </c>
      <c r="AM379" s="43">
        <v>218</v>
      </c>
      <c r="AN379" s="43">
        <v>258</v>
      </c>
      <c r="AO379" s="43">
        <v>251</v>
      </c>
      <c r="AP379" s="43">
        <v>266</v>
      </c>
      <c r="AQ379" s="36">
        <f>SUM(AM379:AP379)</f>
        <v>993</v>
      </c>
      <c r="AR379" s="43">
        <v>330</v>
      </c>
      <c r="AS379" s="43">
        <v>327</v>
      </c>
      <c r="AT379" s="43">
        <v>358</v>
      </c>
      <c r="AU379" s="43">
        <v>357</v>
      </c>
      <c r="AV379" s="36">
        <f>SUM(AR379:AU379)</f>
        <v>1372</v>
      </c>
      <c r="AW379" s="43">
        <v>371</v>
      </c>
      <c r="AX379" s="43">
        <v>375</v>
      </c>
      <c r="AY379" s="43">
        <v>381</v>
      </c>
      <c r="AZ379" s="43">
        <v>380</v>
      </c>
      <c r="BA379" s="36">
        <f>SUM(AW379:AZ379)</f>
        <v>1507</v>
      </c>
      <c r="BB379" s="43">
        <v>394</v>
      </c>
      <c r="BC379" s="43">
        <v>378</v>
      </c>
      <c r="BD379" s="43">
        <v>496</v>
      </c>
      <c r="BE379" s="43">
        <v>539</v>
      </c>
      <c r="BF379" s="36">
        <f>SUM(BB379:BE379)</f>
        <v>1807</v>
      </c>
      <c r="BG379" s="43">
        <v>502</v>
      </c>
      <c r="BH379" s="43">
        <v>561</v>
      </c>
      <c r="BI379" s="43">
        <v>639</v>
      </c>
      <c r="BJ379" s="43">
        <v>674</v>
      </c>
      <c r="BK379" s="36">
        <f>SUM(BG379:BJ379)</f>
        <v>2376</v>
      </c>
      <c r="BL379" s="43">
        <v>669</v>
      </c>
      <c r="BM379" s="43">
        <v>694</v>
      </c>
      <c r="BN379" s="43">
        <v>556</v>
      </c>
      <c r="BO379" s="43">
        <v>571</v>
      </c>
      <c r="BP379" s="36">
        <f>SUM(BL379:BO379)</f>
        <v>2490</v>
      </c>
      <c r="BQ379" s="43">
        <v>688</v>
      </c>
      <c r="BR379" s="43">
        <v>891</v>
      </c>
      <c r="BS379" s="43">
        <v>973</v>
      </c>
      <c r="BT379" s="43">
        <v>691</v>
      </c>
      <c r="BU379" s="36">
        <f>SUM(BQ379:BT379)</f>
        <v>3243</v>
      </c>
      <c r="BV379" s="43">
        <v>701</v>
      </c>
      <c r="BW379" s="43">
        <v>569</v>
      </c>
      <c r="BX379" s="43">
        <v>784</v>
      </c>
      <c r="BY379" s="43">
        <v>311</v>
      </c>
      <c r="BZ379" s="36">
        <f>SUM(BV379:BY379)</f>
        <v>2365</v>
      </c>
      <c r="CA379" s="43">
        <v>541</v>
      </c>
      <c r="CB379" s="43">
        <v>511</v>
      </c>
      <c r="CC379" s="43">
        <v>702</v>
      </c>
      <c r="CD379" s="43">
        <v>529</v>
      </c>
      <c r="CE379" s="36">
        <f>SUM(CA379:CD379)</f>
        <v>2283</v>
      </c>
      <c r="CF379" s="43">
        <v>525</v>
      </c>
      <c r="CG379" s="43">
        <v>514</v>
      </c>
      <c r="CH379" s="43">
        <v>722</v>
      </c>
      <c r="CI379" s="43">
        <v>548</v>
      </c>
      <c r="CJ379" s="36">
        <f>SUM(CF379:CI379)</f>
        <v>2309</v>
      </c>
      <c r="CK379" s="43">
        <v>502</v>
      </c>
      <c r="CL379" s="43">
        <v>375</v>
      </c>
      <c r="CM379" s="43">
        <v>421</v>
      </c>
      <c r="CN379" s="43">
        <v>304</v>
      </c>
      <c r="CO379" s="36">
        <f>SUM(CK379:CN379)</f>
        <v>1602</v>
      </c>
      <c r="CP379" s="43">
        <v>377</v>
      </c>
      <c r="CQ379" s="43">
        <v>191</v>
      </c>
      <c r="CR379" s="43">
        <v>467</v>
      </c>
      <c r="CS379" s="43">
        <v>243</v>
      </c>
      <c r="CT379" s="36">
        <f>SUM(CP379:CS379)</f>
        <v>1278</v>
      </c>
      <c r="CU379" s="43">
        <v>248</v>
      </c>
      <c r="CV379" s="43">
        <f>(CQ379/CQ320+CV382/100/100)*CV320</f>
        <v>160.83240551816587</v>
      </c>
      <c r="CW379" s="43">
        <f>(CR379/CR320+CW382/100/100)*CW320</f>
        <v>315.48280786377705</v>
      </c>
      <c r="CX379" s="43">
        <f>(CS379/CS320+CX382/100/100)*CX320</f>
        <v>172.30457073039702</v>
      </c>
      <c r="CY379" s="36">
        <f>SUM(CU379:CX379)</f>
        <v>896.61978411233986</v>
      </c>
      <c r="CZ379" s="43">
        <f>(CU379/CU320+CZ382/100/100)*CZ320</f>
        <v>205.53329999999997</v>
      </c>
      <c r="DA379" s="43">
        <f>(CV379/CV320+DA382/100/100)*DA320</f>
        <v>145.91065449453268</v>
      </c>
      <c r="DB379" s="43">
        <f>(CW379/CW320+DB382/100/100)*DB320</f>
        <v>311.41721043467498</v>
      </c>
      <c r="DC379" s="43">
        <f>(CX379/CX320+DC382/100/100)*DC320</f>
        <v>175.21924816796525</v>
      </c>
      <c r="DD379" s="36">
        <f>SUM(CZ379:DC379)</f>
        <v>838.08041309717294</v>
      </c>
      <c r="DE379" s="43">
        <f>(CZ379/CZ320+DE382/100/100)*DE320</f>
        <v>216.82334303389825</v>
      </c>
      <c r="DF379" s="43">
        <f>(DA379/DA320+DF382/100/100)*DF320</f>
        <v>159.92480099177709</v>
      </c>
      <c r="DG379" s="43">
        <f>(DB379/DB320+DG382/100/100)*DG320</f>
        <v>335.85184333983909</v>
      </c>
      <c r="DH379" s="43">
        <f>(DC379/DC320+DH382/100/100)*DH320</f>
        <v>193.80023007976155</v>
      </c>
      <c r="DI379" s="36">
        <f>SUM(DE379:DH379)</f>
        <v>906.40021744527598</v>
      </c>
    </row>
    <row r="380" spans="1:113" ht="12" customHeight="1">
      <c r="A380" s="219" t="str">
        <f t="shared" si="1040"/>
        <v xml:space="preserve"> </v>
      </c>
      <c r="B380" s="491" t="s">
        <v>171</v>
      </c>
      <c r="C380" s="492"/>
      <c r="D380" s="522"/>
      <c r="E380" s="492"/>
      <c r="F380" s="522"/>
      <c r="G380" s="492"/>
      <c r="H380" s="522"/>
      <c r="I380" s="492"/>
      <c r="J380" s="522"/>
      <c r="K380" s="492"/>
      <c r="L380" s="522"/>
      <c r="M380" s="492"/>
      <c r="N380" s="522"/>
      <c r="O380" s="492"/>
      <c r="P380" s="522"/>
      <c r="Q380" s="492"/>
      <c r="R380" s="378" t="s">
        <v>126</v>
      </c>
      <c r="S380" s="522" t="s">
        <v>126</v>
      </c>
      <c r="T380" s="522" t="s">
        <v>126</v>
      </c>
      <c r="U380" s="522" t="s">
        <v>126</v>
      </c>
      <c r="V380" s="492" t="s">
        <v>126</v>
      </c>
      <c r="W380" s="52">
        <f>+W379/R379-1</f>
        <v>4.2682926829268331E-2</v>
      </c>
      <c r="X380" s="52">
        <f>+X379/S379-1</f>
        <v>0.26436781609195403</v>
      </c>
      <c r="Y380" s="52">
        <f>+Y379/T379-1</f>
        <v>0.28169014084507049</v>
      </c>
      <c r="Z380" s="52">
        <f>+Z379/U379-1</f>
        <v>9.2920353982300918E-2</v>
      </c>
      <c r="AA380" s="112">
        <f>+AA379/V379-1</f>
        <v>0.17245817245817241</v>
      </c>
      <c r="AB380" s="112"/>
      <c r="AC380" s="52">
        <f>+AC379/W379-1</f>
        <v>-3.5087719298245612E-2</v>
      </c>
      <c r="AD380" s="52">
        <f>+AD379/X379-1</f>
        <v>-0.15000000000000002</v>
      </c>
      <c r="AE380" s="52">
        <f>+AE379/Y379-1</f>
        <v>-0.20146520146520142</v>
      </c>
      <c r="AF380" s="52">
        <f>+AF379/Z379-1</f>
        <v>-1.619433198380571E-2</v>
      </c>
      <c r="AG380" s="112">
        <f>+AG379/AA379-1</f>
        <v>-0.10757409440175636</v>
      </c>
      <c r="AH380" s="52">
        <f t="shared" ref="AH380:BP380" si="1159">+AH379/AC379-1</f>
        <v>3.0303030303030276E-2</v>
      </c>
      <c r="AI380" s="52">
        <f t="shared" si="1159"/>
        <v>5.3475935828876997E-2</v>
      </c>
      <c r="AJ380" s="52">
        <f t="shared" si="1159"/>
        <v>7.3394495412844041E-2</v>
      </c>
      <c r="AK380" s="52">
        <f t="shared" si="1159"/>
        <v>-8.2304526748971152E-2</v>
      </c>
      <c r="AL380" s="112">
        <f t="shared" si="1159"/>
        <v>1.3530135301353052E-2</v>
      </c>
      <c r="AM380" s="52">
        <f t="shared" si="1159"/>
        <v>0.2823529411764707</v>
      </c>
      <c r="AN380" s="52">
        <f t="shared" si="1159"/>
        <v>0.30964467005076135</v>
      </c>
      <c r="AO380" s="52">
        <f t="shared" si="1159"/>
        <v>7.2649572649572614E-2</v>
      </c>
      <c r="AP380" s="52">
        <f t="shared" si="1159"/>
        <v>0.19282511210762321</v>
      </c>
      <c r="AQ380" s="112">
        <f t="shared" si="1159"/>
        <v>0.20509708737864085</v>
      </c>
      <c r="AR380" s="52">
        <f t="shared" si="1159"/>
        <v>0.51376146788990829</v>
      </c>
      <c r="AS380" s="52">
        <f t="shared" si="1159"/>
        <v>0.26744186046511631</v>
      </c>
      <c r="AT380" s="52">
        <f t="shared" si="1159"/>
        <v>0.42629482071713154</v>
      </c>
      <c r="AU380" s="52">
        <f t="shared" si="1159"/>
        <v>0.34210526315789469</v>
      </c>
      <c r="AV380" s="112">
        <f t="shared" si="1159"/>
        <v>0.38167170191339372</v>
      </c>
      <c r="AW380" s="52">
        <f t="shared" si="1159"/>
        <v>0.12424242424242427</v>
      </c>
      <c r="AX380" s="52">
        <f t="shared" si="1159"/>
        <v>0.14678899082568808</v>
      </c>
      <c r="AY380" s="52">
        <f t="shared" si="1159"/>
        <v>6.4245810055865826E-2</v>
      </c>
      <c r="AZ380" s="52">
        <f t="shared" si="1159"/>
        <v>6.4425770308123242E-2</v>
      </c>
      <c r="BA380" s="112">
        <f t="shared" si="1159"/>
        <v>9.8396501457725938E-2</v>
      </c>
      <c r="BB380" s="52">
        <f t="shared" si="1159"/>
        <v>6.1994609164420567E-2</v>
      </c>
      <c r="BC380" s="52">
        <f t="shared" si="1159"/>
        <v>8.0000000000000071E-3</v>
      </c>
      <c r="BD380" s="52">
        <f t="shared" si="1159"/>
        <v>0.30183727034120733</v>
      </c>
      <c r="BE380" s="52">
        <f t="shared" si="1159"/>
        <v>0.41842105263157903</v>
      </c>
      <c r="BF380" s="112">
        <f t="shared" si="1159"/>
        <v>0.19907100199071004</v>
      </c>
      <c r="BG380" s="52">
        <f t="shared" si="1159"/>
        <v>0.27411167512690349</v>
      </c>
      <c r="BH380" s="52">
        <f t="shared" si="1159"/>
        <v>0.48412698412698418</v>
      </c>
      <c r="BI380" s="52">
        <f t="shared" si="1159"/>
        <v>0.28830645161290325</v>
      </c>
      <c r="BJ380" s="52">
        <f t="shared" si="1159"/>
        <v>0.25046382189239336</v>
      </c>
      <c r="BK380" s="112">
        <f t="shared" si="1159"/>
        <v>0.31488655229662421</v>
      </c>
      <c r="BL380" s="52">
        <f t="shared" si="1159"/>
        <v>0.33266932270916327</v>
      </c>
      <c r="BM380" s="52">
        <f t="shared" si="1159"/>
        <v>0.23707664884135471</v>
      </c>
      <c r="BN380" s="52">
        <f t="shared" si="1159"/>
        <v>-0.12989045383411579</v>
      </c>
      <c r="BO380" s="52">
        <f t="shared" si="1159"/>
        <v>-0.15281899109792285</v>
      </c>
      <c r="BP380" s="112">
        <f t="shared" si="1159"/>
        <v>4.7979797979798011E-2</v>
      </c>
      <c r="BQ380" s="52">
        <f t="shared" ref="BQ380:CC380" si="1160">+BQ379/BL379-1</f>
        <v>2.8400597907324299E-2</v>
      </c>
      <c r="BR380" s="52">
        <f t="shared" si="1160"/>
        <v>0.28386167146974062</v>
      </c>
      <c r="BS380" s="52">
        <f t="shared" si="1160"/>
        <v>0.75</v>
      </c>
      <c r="BT380" s="52">
        <f t="shared" si="1160"/>
        <v>0.21015761821366019</v>
      </c>
      <c r="BU380" s="112">
        <f t="shared" si="1160"/>
        <v>0.30240963855421676</v>
      </c>
      <c r="BV380" s="52">
        <f t="shared" si="1160"/>
        <v>1.8895348837209225E-2</v>
      </c>
      <c r="BW380" s="52">
        <f t="shared" si="1160"/>
        <v>-0.36139169472502808</v>
      </c>
      <c r="BX380" s="52">
        <f t="shared" si="1160"/>
        <v>-0.19424460431654678</v>
      </c>
      <c r="BY380" s="52">
        <f t="shared" si="1160"/>
        <v>-0.54992764109985526</v>
      </c>
      <c r="BZ380" s="112">
        <f t="shared" si="1160"/>
        <v>-0.27073697193956214</v>
      </c>
      <c r="CA380" s="52">
        <f t="shared" si="1160"/>
        <v>-0.22824536376604854</v>
      </c>
      <c r="CB380" s="52">
        <f t="shared" si="1160"/>
        <v>-0.10193321616871709</v>
      </c>
      <c r="CC380" s="52">
        <f t="shared" si="1160"/>
        <v>-0.10459183673469385</v>
      </c>
      <c r="CD380" s="52">
        <f t="shared" ref="CD380" si="1161">+CD379/BY379-1</f>
        <v>0.70096463022508049</v>
      </c>
      <c r="CE380" s="112">
        <f t="shared" ref="CE380" si="1162">+CE379/BZ379-1</f>
        <v>-3.4672304439746338E-2</v>
      </c>
      <c r="CF380" s="52">
        <f t="shared" ref="CF380" si="1163">+CF379/CA379-1</f>
        <v>-2.957486136783738E-2</v>
      </c>
      <c r="CG380" s="52">
        <f t="shared" ref="CG380:CH380" si="1164">+CG379/CB379-1</f>
        <v>5.8708414872798986E-3</v>
      </c>
      <c r="CH380" s="52">
        <f t="shared" si="1164"/>
        <v>2.8490028490028463E-2</v>
      </c>
      <c r="CI380" s="52">
        <f t="shared" ref="CI380" si="1165">+CI379/CD379-1</f>
        <v>3.5916824196597252E-2</v>
      </c>
      <c r="CJ380" s="112">
        <f t="shared" ref="CJ380:CL380" si="1166">+CJ379/CE379-1</f>
        <v>1.13885238720981E-2</v>
      </c>
      <c r="CK380" s="52">
        <f t="shared" si="1166"/>
        <v>-4.3809523809523854E-2</v>
      </c>
      <c r="CL380" s="52">
        <f t="shared" si="1166"/>
        <v>-0.27042801556420237</v>
      </c>
      <c r="CM380" s="52">
        <f t="shared" ref="CM380:CN380" si="1167">+CM379/CH379-1</f>
        <v>-0.41689750692520777</v>
      </c>
      <c r="CN380" s="52">
        <f t="shared" si="1167"/>
        <v>-0.44525547445255476</v>
      </c>
      <c r="CO380" s="112">
        <f t="shared" ref="CO380:CR380" si="1168">+CO379/CJ379-1</f>
        <v>-0.30619315721091378</v>
      </c>
      <c r="CP380" s="52">
        <f t="shared" si="1168"/>
        <v>-0.24900398406374502</v>
      </c>
      <c r="CQ380" s="52">
        <f t="shared" si="1168"/>
        <v>-0.4906666666666667</v>
      </c>
      <c r="CR380" s="52">
        <f t="shared" si="1168"/>
        <v>0.10926365795724458</v>
      </c>
      <c r="CS380" s="52">
        <f t="shared" ref="CS380" si="1169">+CS379/CN379-1</f>
        <v>-0.20065789473684215</v>
      </c>
      <c r="CT380" s="112">
        <f t="shared" ref="CT380:CU380" si="1170">+CT379/CO379-1</f>
        <v>-0.202247191011236</v>
      </c>
      <c r="CU380" s="52">
        <f t="shared" si="1170"/>
        <v>-0.34217506631299732</v>
      </c>
      <c r="CV380" s="52">
        <f t="shared" ref="CV380" si="1171">+CV379/CQ379-1</f>
        <v>-0.15794552084729907</v>
      </c>
      <c r="CW380" s="52">
        <f t="shared" ref="CW380" si="1172">+CW379/CR379-1</f>
        <v>-0.32444794889983497</v>
      </c>
      <c r="CX380" s="52">
        <f t="shared" ref="CX380" si="1173">+CX379/CS379-1</f>
        <v>-0.29092769246750194</v>
      </c>
      <c r="CY380" s="112">
        <f t="shared" ref="CY380" si="1174">+CY379/CT379-1</f>
        <v>-0.29841957424699539</v>
      </c>
      <c r="CZ380" s="52">
        <f t="shared" ref="CZ380" si="1175">+CZ379/CU379-1</f>
        <v>-0.17123669354838722</v>
      </c>
      <c r="DA380" s="52">
        <f t="shared" ref="DA380" si="1176">+DA379/CV379-1</f>
        <v>-9.2778261790953498E-2</v>
      </c>
      <c r="DB380" s="52">
        <f t="shared" ref="DB380" si="1177">+DB379/CW379-1</f>
        <v>-1.2886906442323709E-2</v>
      </c>
      <c r="DC380" s="52">
        <f t="shared" ref="DC380" si="1178">+DC379/CX379-1</f>
        <v>1.6915845152644327E-2</v>
      </c>
      <c r="DD380" s="112">
        <f t="shared" ref="DD380" si="1179">+DD379/CY379-1</f>
        <v>-6.5288957540816872E-2</v>
      </c>
      <c r="DE380" s="52">
        <f t="shared" ref="DE380" si="1180">+DE379/CZ379-1</f>
        <v>5.4930481016449928E-2</v>
      </c>
      <c r="DF380" s="52">
        <f t="shared" ref="DF380" si="1181">+DF379/DA379-1</f>
        <v>9.6046080704610404E-2</v>
      </c>
      <c r="DG380" s="52">
        <f t="shared" ref="DG380" si="1182">+DG379/DB379-1</f>
        <v>7.8462692768515696E-2</v>
      </c>
      <c r="DH380" s="52">
        <f t="shared" ref="DH380" si="1183">+DH379/DC379-1</f>
        <v>0.10604418239475932</v>
      </c>
      <c r="DI380" s="112">
        <f t="shared" ref="DI380" si="1184">+DI379/DD379-1</f>
        <v>8.1519390359719113E-2</v>
      </c>
    </row>
    <row r="381" spans="1:113" s="3" customFormat="1" ht="12" customHeight="1">
      <c r="A381" s="490" t="str">
        <f t="shared" si="1040"/>
        <v xml:space="preserve"> </v>
      </c>
      <c r="B381" s="491" t="s">
        <v>170</v>
      </c>
      <c r="C381" s="550"/>
      <c r="D381" s="549"/>
      <c r="E381" s="550"/>
      <c r="F381" s="549"/>
      <c r="G381" s="550"/>
      <c r="H381" s="549"/>
      <c r="I381" s="550"/>
      <c r="J381" s="549"/>
      <c r="K381" s="550"/>
      <c r="L381" s="549"/>
      <c r="M381" s="550"/>
      <c r="N381" s="549"/>
      <c r="O381" s="550"/>
      <c r="P381" s="549"/>
      <c r="Q381" s="550"/>
      <c r="R381" s="111">
        <f t="shared" ref="R381:AA381" si="1185">+R379/R320</f>
        <v>0.35652173913043478</v>
      </c>
      <c r="S381" s="111">
        <f t="shared" si="1185"/>
        <v>0.36099585062240663</v>
      </c>
      <c r="T381" s="111">
        <f t="shared" si="1185"/>
        <v>0.3844765342960289</v>
      </c>
      <c r="U381" s="111">
        <f t="shared" si="1185"/>
        <v>0.40070921985815605</v>
      </c>
      <c r="V381" s="229">
        <f t="shared" si="1185"/>
        <v>0.37718446601941746</v>
      </c>
      <c r="W381" s="111">
        <f t="shared" si="1185"/>
        <v>0.32386363636363635</v>
      </c>
      <c r="X381" s="111">
        <f t="shared" si="1185"/>
        <v>0.33846153846153848</v>
      </c>
      <c r="Y381" s="111">
        <f t="shared" si="1185"/>
        <v>0.39337175792507206</v>
      </c>
      <c r="Z381" s="111">
        <f t="shared" si="1185"/>
        <v>0.37031484257871067</v>
      </c>
      <c r="AA381" s="229">
        <f t="shared" si="1185"/>
        <v>0.35880267821977158</v>
      </c>
      <c r="AB381" s="229"/>
      <c r="AC381" s="111">
        <f t="shared" ref="AC381:BH381" si="1186">+AC379/AC320</f>
        <v>0.28596187175043325</v>
      </c>
      <c r="AD381" s="111">
        <f t="shared" si="1186"/>
        <v>0.32130584192439865</v>
      </c>
      <c r="AE381" s="111">
        <f t="shared" si="1186"/>
        <v>0.34009360374414976</v>
      </c>
      <c r="AF381" s="111">
        <f t="shared" si="1186"/>
        <v>0.3584070796460177</v>
      </c>
      <c r="AG381" s="229">
        <f t="shared" si="1186"/>
        <v>0.3280871670702179</v>
      </c>
      <c r="AH381" s="111">
        <f t="shared" si="1186"/>
        <v>0.29616724738675959</v>
      </c>
      <c r="AI381" s="111">
        <f t="shared" si="1186"/>
        <v>0.31319554848966613</v>
      </c>
      <c r="AJ381" s="111">
        <f t="shared" si="1186"/>
        <v>0.33572453371592542</v>
      </c>
      <c r="AK381" s="111">
        <f t="shared" si="1186"/>
        <v>0.31766381766381768</v>
      </c>
      <c r="AL381" s="229">
        <f t="shared" si="1186"/>
        <v>0.31667947732513452</v>
      </c>
      <c r="AM381" s="111">
        <f t="shared" si="1186"/>
        <v>0.32106038291605304</v>
      </c>
      <c r="AN381" s="111">
        <f t="shared" si="1186"/>
        <v>0.34036939313984171</v>
      </c>
      <c r="AO381" s="111">
        <f t="shared" si="1186"/>
        <v>0.31335830212234705</v>
      </c>
      <c r="AP381" s="111">
        <f t="shared" si="1186"/>
        <v>0.32086851628468033</v>
      </c>
      <c r="AQ381" s="229">
        <f t="shared" si="1186"/>
        <v>0.3237691555265732</v>
      </c>
      <c r="AR381" s="111">
        <f t="shared" si="1186"/>
        <v>0.3724604966139955</v>
      </c>
      <c r="AS381" s="111">
        <f t="shared" si="1186"/>
        <v>0.34861407249466952</v>
      </c>
      <c r="AT381" s="111">
        <f t="shared" si="1186"/>
        <v>0.36456211812627293</v>
      </c>
      <c r="AU381" s="111">
        <f t="shared" si="1186"/>
        <v>0.36465781409601633</v>
      </c>
      <c r="AV381" s="229">
        <f t="shared" si="1186"/>
        <v>0.36248348745046233</v>
      </c>
      <c r="AW381" s="111">
        <f t="shared" si="1186"/>
        <v>0.36372549019607842</v>
      </c>
      <c r="AX381" s="111">
        <f t="shared" si="1186"/>
        <v>0.35545023696682465</v>
      </c>
      <c r="AY381" s="111">
        <f t="shared" si="1186"/>
        <v>0.35441860465116282</v>
      </c>
      <c r="AZ381" s="111">
        <f t="shared" si="1186"/>
        <v>0.34958601655933763</v>
      </c>
      <c r="BA381" s="229">
        <f t="shared" si="1186"/>
        <v>0.35567618598064671</v>
      </c>
      <c r="BB381" s="111">
        <f t="shared" si="1186"/>
        <v>0.3555956678700361</v>
      </c>
      <c r="BC381" s="111">
        <f t="shared" si="1186"/>
        <v>0.30932896890343697</v>
      </c>
      <c r="BD381" s="111">
        <f t="shared" si="1186"/>
        <v>0.3712574850299401</v>
      </c>
      <c r="BE381" s="111">
        <f t="shared" si="1186"/>
        <v>0.36716621253405995</v>
      </c>
      <c r="BF381" s="229">
        <f t="shared" si="1186"/>
        <v>0.35196727697701596</v>
      </c>
      <c r="BG381" s="111">
        <f t="shared" si="1186"/>
        <v>0.36403190717911532</v>
      </c>
      <c r="BH381" s="111">
        <f t="shared" si="1186"/>
        <v>0.36334196891191711</v>
      </c>
      <c r="BI381" s="111">
        <f t="shared" ref="BI381:CN381" si="1187">+BI379/BI320</f>
        <v>0.40239294710327456</v>
      </c>
      <c r="BJ381" s="111">
        <f t="shared" si="1187"/>
        <v>0.39717147908073069</v>
      </c>
      <c r="BK381" s="229">
        <f t="shared" si="1187"/>
        <v>0.38273195876288657</v>
      </c>
      <c r="BL381" s="111">
        <f t="shared" si="1187"/>
        <v>0.39845145920190589</v>
      </c>
      <c r="BM381" s="111">
        <f t="shared" si="1187"/>
        <v>0.37574445046020571</v>
      </c>
      <c r="BN381" s="111">
        <f t="shared" si="1187"/>
        <v>0.36918990703851262</v>
      </c>
      <c r="BO381" s="111">
        <f t="shared" si="1187"/>
        <v>0.34669095324833032</v>
      </c>
      <c r="BP381" s="229">
        <f t="shared" si="1187"/>
        <v>0.37281030094325496</v>
      </c>
      <c r="BQ381" s="111">
        <f t="shared" si="1187"/>
        <v>0.38651685393258428</v>
      </c>
      <c r="BR381" s="111">
        <f t="shared" si="1187"/>
        <v>0.3877284595300261</v>
      </c>
      <c r="BS381" s="111">
        <f t="shared" si="1187"/>
        <v>0.42694164107064503</v>
      </c>
      <c r="BT381" s="111">
        <f t="shared" si="1187"/>
        <v>0.35747542679772376</v>
      </c>
      <c r="BU381" s="229">
        <f t="shared" si="1187"/>
        <v>0.39119420989143544</v>
      </c>
      <c r="BV381" s="111">
        <f t="shared" si="1187"/>
        <v>0.35368314833501513</v>
      </c>
      <c r="BW381" s="111">
        <f t="shared" si="1187"/>
        <v>0.30856832971800435</v>
      </c>
      <c r="BX381" s="111">
        <f t="shared" si="1187"/>
        <v>0.36296296296296299</v>
      </c>
      <c r="BY381" s="111">
        <f t="shared" si="1187"/>
        <v>0.19923126201153107</v>
      </c>
      <c r="BZ381" s="229">
        <f t="shared" si="1187"/>
        <v>0.31336955081489332</v>
      </c>
      <c r="CA381" s="52">
        <f t="shared" si="1187"/>
        <v>0.32669082125603865</v>
      </c>
      <c r="CB381" s="52">
        <f t="shared" si="1187"/>
        <v>0.28579418344519014</v>
      </c>
      <c r="CC381" s="52">
        <f t="shared" si="1187"/>
        <v>0.35205616850551658</v>
      </c>
      <c r="CD381" s="52">
        <f t="shared" si="1187"/>
        <v>0.29226519337016577</v>
      </c>
      <c r="CE381" s="112">
        <f t="shared" si="1187"/>
        <v>0.31498344370860926</v>
      </c>
      <c r="CF381" s="52">
        <f t="shared" si="1187"/>
        <v>0.30259365994236309</v>
      </c>
      <c r="CG381" s="52">
        <f t="shared" si="1187"/>
        <v>0.2758990874932904</v>
      </c>
      <c r="CH381" s="52">
        <f t="shared" si="1187"/>
        <v>0.34644913627639157</v>
      </c>
      <c r="CI381" s="52">
        <f t="shared" si="1187"/>
        <v>0.29414922168545354</v>
      </c>
      <c r="CJ381" s="112">
        <f t="shared" si="1187"/>
        <v>0.30603048376408215</v>
      </c>
      <c r="CK381" s="52">
        <f t="shared" si="1187"/>
        <v>0.30132052821128452</v>
      </c>
      <c r="CL381" s="52">
        <f t="shared" si="1187"/>
        <v>0.21917007597895968</v>
      </c>
      <c r="CM381" s="52">
        <f t="shared" si="1187"/>
        <v>0.24293133294864397</v>
      </c>
      <c r="CN381" s="52">
        <f t="shared" si="1187"/>
        <v>0.20596205962059622</v>
      </c>
      <c r="CO381" s="112">
        <f t="shared" ref="CO381:DI381" si="1188">+CO379/CO320</f>
        <v>0.24324324324324326</v>
      </c>
      <c r="CP381" s="52">
        <f t="shared" si="1188"/>
        <v>0.24933862433862433</v>
      </c>
      <c r="CQ381" s="52">
        <f t="shared" si="1188"/>
        <v>0.1342234715390021</v>
      </c>
      <c r="CR381" s="52">
        <f t="shared" si="1188"/>
        <v>0.28916408668730648</v>
      </c>
      <c r="CS381" s="52">
        <f t="shared" si="1188"/>
        <v>0.18735543562066306</v>
      </c>
      <c r="CT381" s="112">
        <f t="shared" si="1188"/>
        <v>0.2185736275012827</v>
      </c>
      <c r="CU381" s="52">
        <f t="shared" si="1188"/>
        <v>0.21016949152542372</v>
      </c>
      <c r="CV381" s="52">
        <f t="shared" si="1188"/>
        <v>0.14922347153900212</v>
      </c>
      <c r="CW381" s="52">
        <f t="shared" si="1188"/>
        <v>0.27416408668730646</v>
      </c>
      <c r="CX381" s="52">
        <f t="shared" si="1188"/>
        <v>0.18985543562066307</v>
      </c>
      <c r="CY381" s="112">
        <f t="shared" si="1188"/>
        <v>0.20774032743646639</v>
      </c>
      <c r="CZ381" s="52">
        <f t="shared" si="1188"/>
        <v>0.23016949152542371</v>
      </c>
      <c r="DA381" s="52">
        <f t="shared" si="1188"/>
        <v>0.16922347153900211</v>
      </c>
      <c r="DB381" s="52">
        <f t="shared" si="1188"/>
        <v>0.29416408668730648</v>
      </c>
      <c r="DC381" s="52">
        <f t="shared" si="1188"/>
        <v>0.20985543562066306</v>
      </c>
      <c r="DD381" s="112">
        <f t="shared" si="1188"/>
        <v>0.22968626955375007</v>
      </c>
      <c r="DE381" s="52">
        <f t="shared" si="1188"/>
        <v>0.25016949152542373</v>
      </c>
      <c r="DF381" s="52">
        <f t="shared" si="1188"/>
        <v>0.1892234715390021</v>
      </c>
      <c r="DG381" s="52">
        <f t="shared" si="1188"/>
        <v>0.3141640866873065</v>
      </c>
      <c r="DH381" s="52">
        <f t="shared" si="1188"/>
        <v>0.22985543562066305</v>
      </c>
      <c r="DI381" s="112">
        <f t="shared" si="1188"/>
        <v>0.25010751675953025</v>
      </c>
    </row>
    <row r="382" spans="1:113" s="3" customFormat="1" ht="12" customHeight="1">
      <c r="A382" s="490" t="str">
        <f t="shared" si="1040"/>
        <v xml:space="preserve"> </v>
      </c>
      <c r="B382" s="491" t="s">
        <v>174</v>
      </c>
      <c r="C382" s="571"/>
      <c r="D382" s="572"/>
      <c r="E382" s="571"/>
      <c r="F382" s="572"/>
      <c r="G382" s="571"/>
      <c r="H382" s="572"/>
      <c r="I382" s="571"/>
      <c r="J382" s="572"/>
      <c r="K382" s="571"/>
      <c r="L382" s="572"/>
      <c r="M382" s="571"/>
      <c r="N382" s="572"/>
      <c r="O382" s="571"/>
      <c r="P382" s="572"/>
      <c r="Q382" s="571"/>
      <c r="R382" s="573" t="s">
        <v>126</v>
      </c>
      <c r="S382" s="572" t="s">
        <v>126</v>
      </c>
      <c r="T382" s="572" t="s">
        <v>126</v>
      </c>
      <c r="U382" s="572" t="s">
        <v>126</v>
      </c>
      <c r="V382" s="571" t="s">
        <v>126</v>
      </c>
      <c r="W382" s="572">
        <f>+(W381-R381)*100*100</f>
        <v>-326.58102766798424</v>
      </c>
      <c r="X382" s="572">
        <f>+(X381-S381)*100*100</f>
        <v>-225.34312160868151</v>
      </c>
      <c r="Y382" s="572">
        <f>+(Y381-T381)*100*100</f>
        <v>88.952236290431586</v>
      </c>
      <c r="Z382" s="572">
        <f>+(Z381-U381)*100*100</f>
        <v>-303.94377279445382</v>
      </c>
      <c r="AA382" s="571">
        <f>+(AA381-V381)*100*100</f>
        <v>-183.81787799645889</v>
      </c>
      <c r="AB382" s="571"/>
      <c r="AC382" s="572">
        <f>+(AC381-W381)*100*100</f>
        <v>-379.01764613203108</v>
      </c>
      <c r="AD382" s="572">
        <f>+(AD381-X381)*100*100</f>
        <v>-171.55696537139832</v>
      </c>
      <c r="AE382" s="572">
        <f>+(AE381-Y381)*100*100</f>
        <v>-532.78154180922309</v>
      </c>
      <c r="AF382" s="572">
        <f>+(AF381-Z381)*100*100</f>
        <v>-119.07762932692967</v>
      </c>
      <c r="AG382" s="571">
        <f>+(AG381-AA381)*100*100</f>
        <v>-307.15511149553674</v>
      </c>
      <c r="AH382" s="572">
        <f t="shared" ref="AH382:CC382" si="1189">+(AH381-AC381)*100*100</f>
        <v>102.05375636326342</v>
      </c>
      <c r="AI382" s="572">
        <f t="shared" si="1189"/>
        <v>-81.102934347325188</v>
      </c>
      <c r="AJ382" s="572">
        <f t="shared" si="1189"/>
        <v>-43.690700282243419</v>
      </c>
      <c r="AK382" s="572">
        <f t="shared" si="1189"/>
        <v>-407.43261982200016</v>
      </c>
      <c r="AL382" s="571">
        <f t="shared" si="1189"/>
        <v>-114.07689745083383</v>
      </c>
      <c r="AM382" s="572">
        <f t="shared" si="1189"/>
        <v>248.93135529293451</v>
      </c>
      <c r="AN382" s="572">
        <f t="shared" si="1189"/>
        <v>271.73844650175585</v>
      </c>
      <c r="AO382" s="572">
        <f t="shared" si="1189"/>
        <v>-223.66231593578368</v>
      </c>
      <c r="AP382" s="572">
        <f t="shared" si="1189"/>
        <v>32.04698620862645</v>
      </c>
      <c r="AQ382" s="571">
        <f t="shared" si="1189"/>
        <v>70.896782014386872</v>
      </c>
      <c r="AR382" s="572">
        <f t="shared" si="1189"/>
        <v>514.00113697942459</v>
      </c>
      <c r="AS382" s="572">
        <f t="shared" si="1189"/>
        <v>82.446793548278109</v>
      </c>
      <c r="AT382" s="572">
        <f t="shared" si="1189"/>
        <v>512.03816003925874</v>
      </c>
      <c r="AU382" s="572">
        <f t="shared" si="1189"/>
        <v>437.89297811335996</v>
      </c>
      <c r="AV382" s="571">
        <f t="shared" si="1189"/>
        <v>387.14331923889125</v>
      </c>
      <c r="AW382" s="572">
        <f t="shared" si="1189"/>
        <v>-87.350064179170801</v>
      </c>
      <c r="AX382" s="572">
        <f t="shared" si="1189"/>
        <v>68.361644721551258</v>
      </c>
      <c r="AY382" s="572">
        <f t="shared" si="1189"/>
        <v>-101.4351347511011</v>
      </c>
      <c r="AZ382" s="572">
        <f t="shared" si="1189"/>
        <v>-150.71797536678699</v>
      </c>
      <c r="BA382" s="571">
        <f t="shared" si="1189"/>
        <v>-68.073014698156186</v>
      </c>
      <c r="BB382" s="572">
        <f t="shared" si="1189"/>
        <v>-81.298223260423129</v>
      </c>
      <c r="BC382" s="572">
        <f t="shared" si="1189"/>
        <v>-461.2126806338768</v>
      </c>
      <c r="BD382" s="572">
        <f t="shared" si="1189"/>
        <v>168.38880378777287</v>
      </c>
      <c r="BE382" s="572">
        <f t="shared" si="1189"/>
        <v>175.80195974722324</v>
      </c>
      <c r="BF382" s="598">
        <f>+(BF381-BA381)*100*100</f>
        <v>-37.089090036307446</v>
      </c>
      <c r="BG382" s="572">
        <f t="shared" si="1189"/>
        <v>84.362393090792182</v>
      </c>
      <c r="BH382" s="572">
        <f t="shared" si="1189"/>
        <v>540.1300000848014</v>
      </c>
      <c r="BI382" s="572">
        <f t="shared" si="1189"/>
        <v>311.35462073334452</v>
      </c>
      <c r="BJ382" s="572">
        <f t="shared" si="1189"/>
        <v>300.05266546670742</v>
      </c>
      <c r="BK382" s="598">
        <f>+(BK381-BF381)*100*100</f>
        <v>307.64681785870607</v>
      </c>
      <c r="BL382" s="599">
        <f t="shared" si="1189"/>
        <v>344.19552022790566</v>
      </c>
      <c r="BM382" s="599">
        <f t="shared" si="1189"/>
        <v>124.02481548288603</v>
      </c>
      <c r="BN382" s="599">
        <f t="shared" si="1189"/>
        <v>-332.03040064761933</v>
      </c>
      <c r="BO382" s="599">
        <f t="shared" si="1189"/>
        <v>-504.80525832400372</v>
      </c>
      <c r="BP382" s="598">
        <f>+(BP381-BK381)*100*100</f>
        <v>-99.216578196316135</v>
      </c>
      <c r="BQ382" s="599">
        <f t="shared" si="1189"/>
        <v>-119.34605269321608</v>
      </c>
      <c r="BR382" s="599">
        <f t="shared" si="1189"/>
        <v>119.84009069820389</v>
      </c>
      <c r="BS382" s="599">
        <f t="shared" si="1189"/>
        <v>577.51734032132413</v>
      </c>
      <c r="BT382" s="599">
        <f t="shared" si="1189"/>
        <v>107.84473549393437</v>
      </c>
      <c r="BU382" s="598">
        <f>+(BU381-BP381)*100*100</f>
        <v>183.83908948180482</v>
      </c>
      <c r="BV382" s="599">
        <f t="shared" si="1189"/>
        <v>-328.3370559756915</v>
      </c>
      <c r="BW382" s="599">
        <f t="shared" si="1189"/>
        <v>-791.60129812021751</v>
      </c>
      <c r="BX382" s="599">
        <f t="shared" si="1189"/>
        <v>-639.78678107682049</v>
      </c>
      <c r="BY382" s="599">
        <f t="shared" si="1189"/>
        <v>-1582.4416478619269</v>
      </c>
      <c r="BZ382" s="598">
        <f>+(BZ381-BU381)*100*100</f>
        <v>-778.24659076542127</v>
      </c>
      <c r="CA382" s="599">
        <f t="shared" si="1189"/>
        <v>-269.92327078976473</v>
      </c>
      <c r="CB382" s="599">
        <f t="shared" si="1189"/>
        <v>-227.7414627281421</v>
      </c>
      <c r="CC382" s="599">
        <f t="shared" si="1189"/>
        <v>-109.06794457446412</v>
      </c>
      <c r="CD382" s="599">
        <f t="shared" ref="CD382" si="1190">+(CD381-BY381)*100*100</f>
        <v>930.33931358634698</v>
      </c>
      <c r="CE382" s="598">
        <f>+(CE381-BZ381)*100*100</f>
        <v>16.138928937159402</v>
      </c>
      <c r="CF382" s="599">
        <f t="shared" ref="CF382:CU382" si="1191">+(CF381-CA381)*100*100</f>
        <v>-240.97161313675565</v>
      </c>
      <c r="CG382" s="599">
        <f t="shared" si="1191"/>
        <v>-98.950959518997465</v>
      </c>
      <c r="CH382" s="599">
        <f t="shared" si="1191"/>
        <v>-56.070322291250086</v>
      </c>
      <c r="CI382" s="599">
        <f t="shared" si="1191"/>
        <v>18.840283152877781</v>
      </c>
      <c r="CJ382" s="598">
        <f>+(CJ381-CE381)*100*100</f>
        <v>-89.52959944527106</v>
      </c>
      <c r="CK382" s="599">
        <f t="shared" si="1191"/>
        <v>-12.731317310785695</v>
      </c>
      <c r="CL382" s="599">
        <f t="shared" si="1191"/>
        <v>-567.29011514330705</v>
      </c>
      <c r="CM382" s="599">
        <f t="shared" si="1191"/>
        <v>-1035.1780332774761</v>
      </c>
      <c r="CN382" s="599">
        <f t="shared" si="1191"/>
        <v>-881.87162064857318</v>
      </c>
      <c r="CO382" s="598">
        <f>+(CO381-CJ381)*100*100</f>
        <v>-627.87240520838895</v>
      </c>
      <c r="CP382" s="599">
        <f t="shared" si="1191"/>
        <v>-519.81903872660189</v>
      </c>
      <c r="CQ382" s="599">
        <f t="shared" si="1191"/>
        <v>-849.46604439957571</v>
      </c>
      <c r="CR382" s="599">
        <f t="shared" si="1191"/>
        <v>462.32753738662507</v>
      </c>
      <c r="CS382" s="599">
        <f t="shared" si="1191"/>
        <v>-186.06623999933154</v>
      </c>
      <c r="CT382" s="598">
        <f>+(CT381-CO381)*100*100</f>
        <v>-246.69615741960556</v>
      </c>
      <c r="CU382" s="599">
        <f t="shared" si="1191"/>
        <v>-391.69132813200616</v>
      </c>
      <c r="CV382" s="600">
        <v>150</v>
      </c>
      <c r="CW382" s="600">
        <v>-150</v>
      </c>
      <c r="CX382" s="600">
        <v>25</v>
      </c>
      <c r="CY382" s="598">
        <f>+(CY381-CT381)*100*100</f>
        <v>-108.33300064816309</v>
      </c>
      <c r="CZ382" s="600">
        <v>200</v>
      </c>
      <c r="DA382" s="600">
        <v>200</v>
      </c>
      <c r="DB382" s="600">
        <v>200</v>
      </c>
      <c r="DC382" s="600">
        <v>200</v>
      </c>
      <c r="DD382" s="598">
        <f>+(DD381-CY381)*100*100</f>
        <v>219.45942117283676</v>
      </c>
      <c r="DE382" s="600">
        <v>200</v>
      </c>
      <c r="DF382" s="600">
        <v>200</v>
      </c>
      <c r="DG382" s="600">
        <v>200</v>
      </c>
      <c r="DH382" s="600">
        <v>200</v>
      </c>
      <c r="DI382" s="598">
        <f>+(DI381-DD381)*100*100</f>
        <v>204.21247205780176</v>
      </c>
    </row>
    <row r="383" spans="1:113" ht="12" customHeight="1">
      <c r="A383" s="219"/>
      <c r="B383" s="17"/>
      <c r="C383" s="79"/>
      <c r="D383" s="6"/>
      <c r="E383" s="79"/>
      <c r="F383" s="6"/>
      <c r="G383" s="79"/>
      <c r="H383" s="6"/>
      <c r="I383" s="79"/>
      <c r="J383" s="6"/>
      <c r="K383" s="79"/>
      <c r="L383" s="6"/>
      <c r="M383" s="79"/>
      <c r="N383" s="6"/>
      <c r="O383" s="79"/>
      <c r="P383" s="6"/>
      <c r="Q383" s="79"/>
      <c r="R383" s="6"/>
      <c r="S383" s="6"/>
      <c r="T383" s="6"/>
      <c r="U383" s="6"/>
      <c r="V383" s="79"/>
      <c r="W383" s="6"/>
      <c r="X383" s="6"/>
      <c r="Y383" s="6"/>
      <c r="Z383" s="6"/>
      <c r="AA383" s="79"/>
      <c r="AB383" s="79"/>
      <c r="AC383" s="6"/>
      <c r="AD383" s="6"/>
      <c r="AE383" s="6"/>
      <c r="AF383" s="6"/>
      <c r="AG383" s="79"/>
      <c r="AH383" s="6"/>
      <c r="AI383" s="6"/>
      <c r="AJ383" s="6"/>
      <c r="AK383" s="6"/>
      <c r="AL383" s="79"/>
      <c r="AM383" s="6"/>
      <c r="AN383" s="6"/>
      <c r="AO383" s="6"/>
      <c r="AP383" s="6"/>
      <c r="AQ383" s="79"/>
      <c r="AR383" s="6"/>
      <c r="AS383" s="6"/>
      <c r="AT383" s="6"/>
      <c r="AU383" s="6"/>
      <c r="AV383" s="79"/>
      <c r="AW383" s="6"/>
      <c r="AX383" s="6"/>
      <c r="AY383" s="6"/>
      <c r="AZ383" s="6"/>
      <c r="BA383" s="79"/>
      <c r="BB383" s="6"/>
      <c r="BC383" s="6"/>
      <c r="BD383" s="6"/>
      <c r="BE383" s="6"/>
      <c r="BF383" s="79"/>
      <c r="BG383" s="6"/>
      <c r="BH383" s="6"/>
      <c r="BI383" s="6"/>
      <c r="BJ383" s="6"/>
      <c r="BK383" s="79"/>
      <c r="BL383" s="6"/>
      <c r="BM383" s="6"/>
      <c r="BN383" s="6"/>
      <c r="BO383" s="49"/>
      <c r="BP383" s="42"/>
      <c r="BQ383" s="49"/>
      <c r="BR383" s="49"/>
      <c r="BS383" s="6"/>
      <c r="BT383" s="6"/>
      <c r="BU383" s="79"/>
      <c r="BV383" s="6"/>
      <c r="BW383" s="6"/>
      <c r="BX383" s="6"/>
      <c r="BY383" s="6"/>
      <c r="BZ383" s="79"/>
      <c r="CA383" s="6"/>
      <c r="CB383" s="6"/>
      <c r="CC383" s="6"/>
      <c r="CD383" s="6"/>
      <c r="CE383" s="79"/>
      <c r="CF383" s="6"/>
      <c r="CG383" s="6"/>
      <c r="CH383" s="6"/>
      <c r="CI383" s="6"/>
      <c r="CJ383" s="79"/>
      <c r="CK383" s="6"/>
      <c r="CL383" s="6"/>
      <c r="CM383" s="6"/>
      <c r="CN383" s="6"/>
      <c r="CO383" s="79"/>
      <c r="CP383" s="6"/>
      <c r="CQ383" s="6"/>
      <c r="CR383" s="6"/>
      <c r="CS383" s="6"/>
      <c r="CT383" s="79"/>
      <c r="CU383" s="6"/>
      <c r="CV383" s="6"/>
      <c r="CW383" s="6"/>
      <c r="CX383" s="6"/>
      <c r="CY383" s="79"/>
      <c r="CZ383" s="6"/>
      <c r="DA383" s="6"/>
      <c r="DB383" s="6"/>
      <c r="DC383" s="6"/>
      <c r="DD383" s="79"/>
      <c r="DE383" s="6"/>
      <c r="DF383" s="6"/>
      <c r="DG383" s="6"/>
      <c r="DH383" s="6"/>
      <c r="DI383" s="79"/>
    </row>
    <row r="384" spans="1:113" ht="12" customHeight="1">
      <c r="A384" s="219"/>
      <c r="B384" s="17" t="s">
        <v>411</v>
      </c>
      <c r="C384" s="79"/>
      <c r="D384" s="6"/>
      <c r="E384" s="79"/>
      <c r="F384" s="6"/>
      <c r="G384" s="79"/>
      <c r="H384" s="6"/>
      <c r="I384" s="79"/>
      <c r="J384" s="6"/>
      <c r="K384" s="79"/>
      <c r="L384" s="6"/>
      <c r="M384" s="79"/>
      <c r="N384" s="6"/>
      <c r="O384" s="79"/>
      <c r="P384" s="6"/>
      <c r="Q384" s="79"/>
      <c r="R384" s="6"/>
      <c r="S384" s="6"/>
      <c r="T384" s="6"/>
      <c r="U384" s="6"/>
      <c r="V384" s="79"/>
      <c r="W384" s="6"/>
      <c r="X384" s="6"/>
      <c r="Y384" s="6"/>
      <c r="Z384" s="6"/>
      <c r="AA384" s="79"/>
      <c r="AB384" s="79"/>
      <c r="AC384" s="6"/>
      <c r="AD384" s="6"/>
      <c r="AE384" s="6"/>
      <c r="AF384" s="6"/>
      <c r="AG384" s="79"/>
      <c r="AH384" s="6"/>
      <c r="AI384" s="6"/>
      <c r="AJ384" s="6"/>
      <c r="AK384" s="6"/>
      <c r="AL384" s="79"/>
      <c r="AM384" s="6"/>
      <c r="AN384" s="6"/>
      <c r="AO384" s="6"/>
      <c r="AP384" s="6"/>
      <c r="AQ384" s="79"/>
      <c r="AR384" s="6"/>
      <c r="AS384" s="6"/>
      <c r="AT384" s="6"/>
      <c r="AU384" s="6"/>
      <c r="AV384" s="79"/>
      <c r="AW384" s="6"/>
      <c r="AX384" s="6"/>
      <c r="AY384" s="6"/>
      <c r="AZ384" s="6"/>
      <c r="BA384" s="79"/>
      <c r="BB384" s="6"/>
      <c r="BC384" s="6"/>
      <c r="BD384" s="6"/>
      <c r="BE384" s="6"/>
      <c r="BF384" s="79"/>
      <c r="BG384" s="6"/>
      <c r="BH384" s="6"/>
      <c r="BI384" s="6"/>
      <c r="BJ384" s="6"/>
      <c r="BK384" s="79"/>
      <c r="BL384" s="6"/>
      <c r="BM384" s="6"/>
      <c r="BN384" s="6"/>
      <c r="BO384" s="6"/>
      <c r="BP384" s="79"/>
      <c r="BQ384" s="6"/>
      <c r="BR384" s="6"/>
      <c r="BS384" s="6"/>
      <c r="BT384" s="6"/>
      <c r="BU384" s="79"/>
      <c r="BV384" s="6"/>
      <c r="BW384" s="6"/>
      <c r="BX384" s="6"/>
      <c r="BY384" s="6"/>
      <c r="BZ384" s="79"/>
      <c r="CA384" s="6"/>
      <c r="CB384" s="6"/>
      <c r="CC384" s="6"/>
      <c r="CD384" s="6"/>
      <c r="CE384" s="36">
        <v>54</v>
      </c>
      <c r="CF384" s="43"/>
      <c r="CG384" s="43"/>
      <c r="CH384" s="43"/>
      <c r="CI384" s="43"/>
      <c r="CJ384" s="36">
        <v>56</v>
      </c>
      <c r="CK384" s="43">
        <v>13</v>
      </c>
      <c r="CL384" s="43">
        <v>13</v>
      </c>
      <c r="CM384" s="43">
        <v>11</v>
      </c>
      <c r="CN384" s="43">
        <f t="shared" ref="CN384" si="1192">CO384-CM384-CL384-CK384</f>
        <v>12</v>
      </c>
      <c r="CO384" s="36">
        <v>49</v>
      </c>
      <c r="CP384" s="43">
        <v>12</v>
      </c>
      <c r="CQ384" s="43">
        <v>10</v>
      </c>
      <c r="CR384" s="43">
        <v>11</v>
      </c>
      <c r="CS384" s="43">
        <f t="shared" ref="CS384:CS385" si="1193">CT384-CR384-CQ384-CP384</f>
        <v>11</v>
      </c>
      <c r="CT384" s="36">
        <v>44</v>
      </c>
      <c r="CU384" s="43"/>
      <c r="CV384" s="43"/>
      <c r="CW384" s="43"/>
      <c r="CX384" s="43"/>
      <c r="CY384" s="36"/>
      <c r="CZ384" s="43"/>
      <c r="DA384" s="43"/>
      <c r="DB384" s="43"/>
      <c r="DC384" s="43"/>
      <c r="DD384" s="36"/>
      <c r="DE384" s="43"/>
      <c r="DF384" s="43"/>
      <c r="DG384" s="43"/>
      <c r="DH384" s="43"/>
      <c r="DI384" s="36"/>
    </row>
    <row r="385" spans="1:113" ht="12" customHeight="1">
      <c r="A385" s="219"/>
      <c r="B385" s="17" t="s">
        <v>412</v>
      </c>
      <c r="C385" s="79"/>
      <c r="D385" s="6"/>
      <c r="E385" s="79"/>
      <c r="F385" s="6"/>
      <c r="G385" s="79"/>
      <c r="H385" s="6"/>
      <c r="I385" s="79"/>
      <c r="J385" s="6"/>
      <c r="K385" s="79"/>
      <c r="L385" s="6"/>
      <c r="M385" s="79"/>
      <c r="N385" s="6"/>
      <c r="O385" s="79"/>
      <c r="P385" s="6"/>
      <c r="Q385" s="79"/>
      <c r="R385" s="6"/>
      <c r="S385" s="6"/>
      <c r="T385" s="6"/>
      <c r="U385" s="6"/>
      <c r="V385" s="79"/>
      <c r="W385" s="6"/>
      <c r="X385" s="6"/>
      <c r="Y385" s="6"/>
      <c r="Z385" s="6"/>
      <c r="AA385" s="79"/>
      <c r="AB385" s="79"/>
      <c r="AC385" s="6"/>
      <c r="AD385" s="6"/>
      <c r="AE385" s="6"/>
      <c r="AF385" s="6"/>
      <c r="AG385" s="79"/>
      <c r="AH385" s="6"/>
      <c r="AI385" s="6"/>
      <c r="AJ385" s="6"/>
      <c r="AK385" s="6"/>
      <c r="AL385" s="79"/>
      <c r="AM385" s="6"/>
      <c r="AN385" s="6"/>
      <c r="AO385" s="6"/>
      <c r="AP385" s="6"/>
      <c r="AQ385" s="79"/>
      <c r="AR385" s="6"/>
      <c r="AS385" s="6"/>
      <c r="AT385" s="6"/>
      <c r="AU385" s="6"/>
      <c r="AV385" s="79"/>
      <c r="AW385" s="6"/>
      <c r="AX385" s="6"/>
      <c r="AY385" s="6"/>
      <c r="AZ385" s="6"/>
      <c r="BA385" s="79"/>
      <c r="BB385" s="6"/>
      <c r="BC385" s="6"/>
      <c r="BD385" s="6"/>
      <c r="BE385" s="6"/>
      <c r="BF385" s="79"/>
      <c r="BG385" s="6"/>
      <c r="BH385" s="6"/>
      <c r="BI385" s="6"/>
      <c r="BJ385" s="6"/>
      <c r="BK385" s="79"/>
      <c r="BL385" s="6"/>
      <c r="BM385" s="6"/>
      <c r="BN385" s="6"/>
      <c r="BO385" s="6"/>
      <c r="BP385" s="79"/>
      <c r="BQ385" s="6"/>
      <c r="BR385" s="6"/>
      <c r="BS385" s="6"/>
      <c r="BT385" s="6"/>
      <c r="BU385" s="79"/>
      <c r="BV385" s="6"/>
      <c r="BW385" s="6"/>
      <c r="BX385" s="6"/>
      <c r="BY385" s="6"/>
      <c r="BZ385" s="79"/>
      <c r="CA385" s="6"/>
      <c r="CB385" s="6"/>
      <c r="CC385" s="6"/>
      <c r="CD385" s="6"/>
      <c r="CE385" s="36">
        <v>973</v>
      </c>
      <c r="CF385" s="43"/>
      <c r="CG385" s="43"/>
      <c r="CH385" s="43"/>
      <c r="CI385" s="43"/>
      <c r="CJ385" s="36">
        <v>1070</v>
      </c>
      <c r="CK385" s="39" t="s">
        <v>126</v>
      </c>
      <c r="CL385" s="39" t="s">
        <v>126</v>
      </c>
      <c r="CM385" s="39" t="s">
        <v>126</v>
      </c>
      <c r="CN385" s="39" t="s">
        <v>126</v>
      </c>
      <c r="CO385" s="36">
        <v>951</v>
      </c>
      <c r="CP385" s="43">
        <v>1097</v>
      </c>
      <c r="CQ385" s="43">
        <v>1074</v>
      </c>
      <c r="CR385" s="43">
        <v>937</v>
      </c>
      <c r="CS385" s="43">
        <f t="shared" si="1193"/>
        <v>-2315</v>
      </c>
      <c r="CT385" s="36">
        <v>793</v>
      </c>
      <c r="CU385" s="43"/>
      <c r="CV385" s="43"/>
      <c r="CW385" s="43"/>
      <c r="CX385" s="43"/>
      <c r="CY385" s="36"/>
      <c r="CZ385" s="43"/>
      <c r="DA385" s="43"/>
      <c r="DB385" s="43"/>
      <c r="DC385" s="43"/>
      <c r="DD385" s="36"/>
      <c r="DE385" s="43"/>
      <c r="DF385" s="43"/>
      <c r="DG385" s="43"/>
      <c r="DH385" s="43"/>
      <c r="DI385" s="36"/>
    </row>
    <row r="386" spans="1:113" ht="12" customHeight="1">
      <c r="A386" s="219"/>
      <c r="B386" s="491" t="s">
        <v>348</v>
      </c>
      <c r="C386" s="79"/>
      <c r="D386" s="6"/>
      <c r="E386" s="79"/>
      <c r="F386" s="6"/>
      <c r="G386" s="79"/>
      <c r="H386" s="6"/>
      <c r="I386" s="79"/>
      <c r="J386" s="6"/>
      <c r="K386" s="79"/>
      <c r="L386" s="6"/>
      <c r="M386" s="79"/>
      <c r="N386" s="6"/>
      <c r="O386" s="79"/>
      <c r="P386" s="6"/>
      <c r="Q386" s="79"/>
      <c r="R386" s="6"/>
      <c r="S386" s="6"/>
      <c r="T386" s="6"/>
      <c r="U386" s="6"/>
      <c r="V386" s="79"/>
      <c r="W386" s="6"/>
      <c r="X386" s="6"/>
      <c r="Y386" s="6"/>
      <c r="Z386" s="6"/>
      <c r="AA386" s="79"/>
      <c r="AB386" s="79"/>
      <c r="AC386" s="6"/>
      <c r="AD386" s="6"/>
      <c r="AE386" s="6"/>
      <c r="AF386" s="6"/>
      <c r="AG386" s="79"/>
      <c r="AH386" s="6"/>
      <c r="AI386" s="6"/>
      <c r="AJ386" s="6"/>
      <c r="AK386" s="6"/>
      <c r="AL386" s="79"/>
      <c r="AM386" s="6"/>
      <c r="AN386" s="6"/>
      <c r="AO386" s="6"/>
      <c r="AP386" s="6"/>
      <c r="AQ386" s="79"/>
      <c r="AR386" s="6"/>
      <c r="AS386" s="6"/>
      <c r="AT386" s="6"/>
      <c r="AU386" s="6"/>
      <c r="AV386" s="79"/>
      <c r="AW386" s="6"/>
      <c r="AX386" s="6"/>
      <c r="AY386" s="6"/>
      <c r="AZ386" s="6"/>
      <c r="BA386" s="79"/>
      <c r="BB386" s="6"/>
      <c r="BC386" s="6"/>
      <c r="BD386" s="6"/>
      <c r="BE386" s="6"/>
      <c r="BF386" s="79"/>
      <c r="BG386" s="6"/>
      <c r="BH386" s="6"/>
      <c r="BI386" s="6"/>
      <c r="BJ386" s="6"/>
      <c r="BK386" s="79"/>
      <c r="BL386" s="6"/>
      <c r="BM386" s="6"/>
      <c r="BN386" s="6"/>
      <c r="BO386" s="6"/>
      <c r="BP386" s="79"/>
      <c r="BQ386" s="6"/>
      <c r="BR386" s="6"/>
      <c r="BS386" s="6"/>
      <c r="BT386" s="6"/>
      <c r="BU386" s="79"/>
      <c r="BV386" s="6"/>
      <c r="BW386" s="6"/>
      <c r="BX386" s="6"/>
      <c r="BY386" s="6"/>
      <c r="BZ386" s="79"/>
      <c r="CA386" s="6"/>
      <c r="CB386" s="6"/>
      <c r="CC386" s="6"/>
      <c r="CD386" s="6"/>
      <c r="CE386" s="232" t="s">
        <v>126</v>
      </c>
      <c r="CF386" s="27"/>
      <c r="CG386" s="27"/>
      <c r="CH386" s="27"/>
      <c r="CI386" s="27"/>
      <c r="CJ386" s="112">
        <f>CJ385/CE385-1</f>
        <v>9.9691675231243559E-2</v>
      </c>
      <c r="CK386" s="39" t="s">
        <v>126</v>
      </c>
      <c r="CL386" s="39" t="s">
        <v>126</v>
      </c>
      <c r="CM386" s="39" t="s">
        <v>126</v>
      </c>
      <c r="CN386" s="39" t="s">
        <v>126</v>
      </c>
      <c r="CO386" s="112">
        <f>CO385/CJ385-1</f>
        <v>-0.11121495327102804</v>
      </c>
      <c r="CP386" s="213" t="s">
        <v>126</v>
      </c>
      <c r="CQ386" s="213" t="s">
        <v>126</v>
      </c>
      <c r="CR386" s="213" t="s">
        <v>126</v>
      </c>
      <c r="CS386" s="213" t="s">
        <v>126</v>
      </c>
      <c r="CT386" s="112">
        <f>CT385/CO385-1</f>
        <v>-0.16614090431125128</v>
      </c>
      <c r="CU386" s="213"/>
      <c r="CV386" s="27"/>
      <c r="CW386" s="27"/>
      <c r="CX386" s="27"/>
      <c r="CY386" s="112"/>
      <c r="CZ386" s="27"/>
      <c r="DA386" s="27"/>
      <c r="DB386" s="27"/>
      <c r="DC386" s="27"/>
      <c r="DD386" s="112"/>
      <c r="DE386" s="27"/>
      <c r="DF386" s="27"/>
      <c r="DG386" s="27"/>
      <c r="DH386" s="27"/>
      <c r="DI386" s="112"/>
    </row>
    <row r="387" spans="1:113" ht="12" customHeight="1">
      <c r="A387" s="219"/>
      <c r="B387" s="17"/>
      <c r="C387" s="79"/>
      <c r="D387" s="6"/>
      <c r="E387" s="79"/>
      <c r="F387" s="6"/>
      <c r="G387" s="79"/>
      <c r="H387" s="6"/>
      <c r="I387" s="79"/>
      <c r="J387" s="6"/>
      <c r="K387" s="79"/>
      <c r="L387" s="6"/>
      <c r="M387" s="79"/>
      <c r="N387" s="6"/>
      <c r="O387" s="79"/>
      <c r="P387" s="6"/>
      <c r="Q387" s="79"/>
      <c r="R387" s="6"/>
      <c r="S387" s="6"/>
      <c r="T387" s="6"/>
      <c r="U387" s="6"/>
      <c r="V387" s="79"/>
      <c r="W387" s="6"/>
      <c r="X387" s="6"/>
      <c r="Y387" s="6"/>
      <c r="Z387" s="6"/>
      <c r="AA387" s="79"/>
      <c r="AB387" s="79"/>
      <c r="AC387" s="6"/>
      <c r="AD387" s="6"/>
      <c r="AE387" s="6"/>
      <c r="AF387" s="6"/>
      <c r="AG387" s="79"/>
      <c r="AH387" s="6"/>
      <c r="AI387" s="6"/>
      <c r="AJ387" s="6"/>
      <c r="AK387" s="6"/>
      <c r="AL387" s="79"/>
      <c r="AM387" s="6"/>
      <c r="AN387" s="6"/>
      <c r="AO387" s="6"/>
      <c r="AP387" s="6"/>
      <c r="AQ387" s="79"/>
      <c r="AR387" s="6"/>
      <c r="AS387" s="6"/>
      <c r="AT387" s="6"/>
      <c r="AU387" s="6"/>
      <c r="AV387" s="79"/>
      <c r="AW387" s="6"/>
      <c r="AX387" s="6"/>
      <c r="AY387" s="6"/>
      <c r="AZ387" s="6"/>
      <c r="BA387" s="79"/>
      <c r="BB387" s="6"/>
      <c r="BC387" s="6"/>
      <c r="BD387" s="6"/>
      <c r="BE387" s="6"/>
      <c r="BF387" s="79"/>
      <c r="BG387" s="6"/>
      <c r="BH387" s="6"/>
      <c r="BI387" s="6"/>
      <c r="BJ387" s="6"/>
      <c r="BK387" s="79"/>
      <c r="BL387" s="6"/>
      <c r="BM387" s="6"/>
      <c r="BN387" s="6"/>
      <c r="BO387" s="6"/>
      <c r="BP387" s="79"/>
      <c r="BQ387" s="6"/>
      <c r="BR387" s="6"/>
      <c r="BS387" s="6"/>
      <c r="BT387" s="6"/>
      <c r="BU387" s="79"/>
      <c r="BV387" s="6"/>
      <c r="BW387" s="6"/>
      <c r="BX387" s="6"/>
      <c r="BY387" s="6"/>
      <c r="BZ387" s="79"/>
      <c r="CA387" s="6"/>
      <c r="CB387" s="6"/>
      <c r="CC387" s="6"/>
      <c r="CD387" s="6"/>
      <c r="CE387" s="79"/>
      <c r="CF387" s="6"/>
      <c r="CG387" s="6"/>
      <c r="CH387" s="6"/>
      <c r="CI387" s="6"/>
      <c r="CJ387" s="79"/>
      <c r="CK387" s="6"/>
      <c r="CL387" s="6"/>
      <c r="CM387" s="6"/>
      <c r="CN387" s="6"/>
      <c r="CO387" s="79"/>
      <c r="CP387" s="6"/>
      <c r="CQ387" s="6"/>
      <c r="CR387" s="6"/>
      <c r="CS387" s="6"/>
      <c r="CT387" s="79"/>
      <c r="CU387" s="6"/>
      <c r="CV387" s="6"/>
      <c r="CW387" s="6"/>
      <c r="CX387" s="6"/>
      <c r="CY387" s="79"/>
      <c r="CZ387" s="6"/>
      <c r="DA387" s="6"/>
      <c r="DB387" s="6"/>
      <c r="DC387" s="6"/>
      <c r="DD387" s="79"/>
      <c r="DE387" s="6"/>
      <c r="DF387" s="6"/>
      <c r="DG387" s="6"/>
      <c r="DH387" s="6"/>
      <c r="DI387" s="79"/>
    </row>
    <row r="388" spans="1:113" ht="12" customHeight="1">
      <c r="A388" s="5" t="str">
        <f t="shared" si="1040"/>
        <v xml:space="preserve"> </v>
      </c>
      <c r="B388" s="61" t="s">
        <v>185</v>
      </c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37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90"/>
      <c r="AP388" s="90"/>
      <c r="AQ388" s="89"/>
      <c r="AR388" s="89"/>
      <c r="AS388" s="89"/>
      <c r="AT388" s="90"/>
      <c r="AU388" s="90"/>
      <c r="AV388" s="90"/>
      <c r="AW388" s="89"/>
      <c r="AX388" s="89"/>
      <c r="AY388" s="90"/>
      <c r="AZ388" s="90"/>
      <c r="BA388" s="90"/>
      <c r="BB388" s="89"/>
      <c r="BC388" s="89"/>
      <c r="BD388" s="90"/>
      <c r="BE388" s="90"/>
      <c r="BF388" s="90"/>
      <c r="BG388" s="108"/>
      <c r="BH388" s="108"/>
      <c r="BI388" s="108"/>
      <c r="BJ388" s="108"/>
      <c r="BK388" s="90"/>
      <c r="BL388" s="108"/>
      <c r="BM388" s="108"/>
      <c r="BN388" s="108"/>
      <c r="BO388" s="108"/>
      <c r="BP388" s="90"/>
      <c r="BQ388" s="89"/>
      <c r="BR388" s="89"/>
      <c r="BS388" s="89"/>
      <c r="BT388" s="89"/>
      <c r="BU388" s="90"/>
      <c r="BV388" s="89"/>
      <c r="BW388" s="89"/>
      <c r="BX388" s="90"/>
      <c r="BY388" s="90"/>
      <c r="BZ388" s="90"/>
      <c r="CA388" s="89"/>
      <c r="CB388" s="89"/>
      <c r="CC388" s="90"/>
      <c r="CD388" s="90"/>
      <c r="CE388" s="90"/>
      <c r="CF388" s="89"/>
      <c r="CG388" s="89"/>
      <c r="CH388" s="90"/>
      <c r="CI388" s="90"/>
      <c r="CJ388" s="90"/>
      <c r="CK388" s="89"/>
      <c r="CL388" s="89"/>
      <c r="CM388" s="90"/>
      <c r="CN388" s="90"/>
      <c r="CO388" s="90"/>
      <c r="CP388" s="89"/>
      <c r="CQ388" s="89"/>
      <c r="CR388" s="90"/>
      <c r="CS388" s="90"/>
      <c r="CT388" s="90"/>
      <c r="CU388" s="89"/>
      <c r="CV388" s="47"/>
      <c r="CW388" s="208"/>
      <c r="CX388" s="89"/>
      <c r="CY388" s="47"/>
      <c r="CZ388" s="89"/>
      <c r="DA388" s="47"/>
      <c r="DB388" s="89"/>
      <c r="DC388" s="47"/>
      <c r="DD388" s="89"/>
      <c r="DE388" s="47"/>
      <c r="DF388" s="89"/>
      <c r="DG388" s="90"/>
      <c r="DH388" s="90"/>
      <c r="DI388" s="182"/>
    </row>
    <row r="389" spans="1:113" s="7" customFormat="1" ht="12" customHeight="1">
      <c r="A389" s="239" t="str">
        <f t="shared" si="1040"/>
        <v xml:space="preserve"> </v>
      </c>
      <c r="B389" s="20" t="s">
        <v>183</v>
      </c>
      <c r="C389" s="36"/>
      <c r="D389" s="43"/>
      <c r="E389" s="36"/>
      <c r="F389" s="43"/>
      <c r="G389" s="36"/>
      <c r="H389" s="43"/>
      <c r="I389" s="36"/>
      <c r="J389" s="43"/>
      <c r="K389" s="36"/>
      <c r="L389" s="43"/>
      <c r="M389" s="36"/>
      <c r="N389" s="43"/>
      <c r="O389" s="36"/>
      <c r="P389" s="43"/>
      <c r="Q389" s="36"/>
      <c r="R389" s="43">
        <v>754</v>
      </c>
      <c r="S389" s="43">
        <v>947</v>
      </c>
      <c r="T389" s="43">
        <v>838</v>
      </c>
      <c r="U389" s="43">
        <v>963</v>
      </c>
      <c r="V389" s="36">
        <f>SUM(R389:U389)</f>
        <v>3502</v>
      </c>
      <c r="W389" s="43">
        <v>990</v>
      </c>
      <c r="X389" s="43">
        <v>1145</v>
      </c>
      <c r="Y389" s="43">
        <f>201+793</f>
        <v>994</v>
      </c>
      <c r="Z389" s="43">
        <v>1110</v>
      </c>
      <c r="AA389" s="36">
        <f>SUM(W389:Z389)</f>
        <v>4239</v>
      </c>
      <c r="AB389" s="36"/>
      <c r="AC389" s="43">
        <v>1094</v>
      </c>
      <c r="AD389" s="43">
        <v>1314</v>
      </c>
      <c r="AE389" s="43">
        <v>1062</v>
      </c>
      <c r="AF389" s="43">
        <v>1238</v>
      </c>
      <c r="AG389" s="36">
        <f>SUM(AC389:AF389)</f>
        <v>4708</v>
      </c>
      <c r="AH389" s="43">
        <v>1060</v>
      </c>
      <c r="AI389" s="43">
        <v>1240</v>
      </c>
      <c r="AJ389" s="43">
        <v>1114</v>
      </c>
      <c r="AK389" s="43">
        <v>1306</v>
      </c>
      <c r="AL389" s="36">
        <f>SUM(AH389:AK389)</f>
        <v>4720</v>
      </c>
      <c r="AM389" s="43">
        <v>1094</v>
      </c>
      <c r="AN389" s="43">
        <v>1274</v>
      </c>
      <c r="AO389" s="43">
        <v>1121</v>
      </c>
      <c r="AP389" s="43">
        <v>1164</v>
      </c>
      <c r="AQ389" s="36">
        <f>SUM(AM389:AP389)</f>
        <v>4653</v>
      </c>
      <c r="AR389" s="43">
        <v>1083</v>
      </c>
      <c r="AS389" s="43">
        <v>1107</v>
      </c>
      <c r="AT389" s="43">
        <v>1032</v>
      </c>
      <c r="AU389" s="43">
        <v>1095</v>
      </c>
      <c r="AV389" s="36">
        <f>SUM(AR389:AU389)</f>
        <v>4317</v>
      </c>
      <c r="AW389" s="43">
        <v>1131</v>
      </c>
      <c r="AX389" s="43">
        <v>1206</v>
      </c>
      <c r="AY389" s="43">
        <v>1122</v>
      </c>
      <c r="AZ389" s="43">
        <v>1278</v>
      </c>
      <c r="BA389" s="36">
        <f>SUM(AW389:AZ389)</f>
        <v>4737</v>
      </c>
      <c r="BB389" s="43">
        <v>1189</v>
      </c>
      <c r="BC389" s="43">
        <v>1273</v>
      </c>
      <c r="BD389" s="43">
        <v>1268</v>
      </c>
      <c r="BE389" s="43">
        <v>1436</v>
      </c>
      <c r="BF389" s="36">
        <f>SUM(BB389:BE389)</f>
        <v>5166</v>
      </c>
      <c r="BG389" s="43">
        <v>1270</v>
      </c>
      <c r="BH389" s="43">
        <v>1298</v>
      </c>
      <c r="BI389" s="43">
        <v>1307</v>
      </c>
      <c r="BJ389" s="43">
        <v>1379</v>
      </c>
      <c r="BK389" s="36">
        <f>SUM(BG389:BJ389)</f>
        <v>5254</v>
      </c>
      <c r="BL389" s="43">
        <v>1345</v>
      </c>
      <c r="BM389" s="43">
        <v>1468</v>
      </c>
      <c r="BN389" s="43">
        <v>1414</v>
      </c>
      <c r="BO389" s="43">
        <v>801</v>
      </c>
      <c r="BP389" s="36">
        <f>SUM(BL389:BO389)</f>
        <v>5028</v>
      </c>
      <c r="BQ389" s="43">
        <v>1099</v>
      </c>
      <c r="BR389" s="43">
        <v>1471</v>
      </c>
      <c r="BS389" s="43">
        <v>1315</v>
      </c>
      <c r="BT389" s="43">
        <v>1458</v>
      </c>
      <c r="BU389" s="36">
        <f>SUM(BQ389:BT389)</f>
        <v>5343</v>
      </c>
      <c r="BV389" s="43">
        <v>1465</v>
      </c>
      <c r="BW389" s="43">
        <v>1347</v>
      </c>
      <c r="BX389" s="43">
        <v>1461</v>
      </c>
      <c r="BY389" s="43">
        <v>1682</v>
      </c>
      <c r="BZ389" s="36">
        <f>SUM(BV389:BY389)</f>
        <v>5955</v>
      </c>
      <c r="CA389" s="43">
        <v>1535</v>
      </c>
      <c r="CB389" s="43">
        <v>1599</v>
      </c>
      <c r="CC389" s="43">
        <v>1601</v>
      </c>
      <c r="CD389" s="369">
        <v>1696</v>
      </c>
      <c r="CE389" s="36">
        <f>SUM(CA389:CD389)</f>
        <v>6431</v>
      </c>
      <c r="CF389" s="43">
        <v>1572</v>
      </c>
      <c r="CG389" s="43">
        <v>1805</v>
      </c>
      <c r="CH389" s="43">
        <v>1647</v>
      </c>
      <c r="CI389" s="369">
        <v>1705</v>
      </c>
      <c r="CJ389" s="36">
        <f>SUM(CF389:CI389)</f>
        <v>6729</v>
      </c>
      <c r="CK389" s="43">
        <v>1462</v>
      </c>
      <c r="CL389" s="43">
        <v>1744</v>
      </c>
      <c r="CM389" s="43">
        <v>1470</v>
      </c>
      <c r="CN389" s="43">
        <v>1575</v>
      </c>
      <c r="CO389" s="36">
        <f>SUM(CK389:CN389)</f>
        <v>6251</v>
      </c>
      <c r="CP389" s="43">
        <v>1490</v>
      </c>
      <c r="CQ389" s="43">
        <v>1667</v>
      </c>
      <c r="CR389" s="43">
        <v>1490</v>
      </c>
      <c r="CS389" s="43">
        <v>1596</v>
      </c>
      <c r="CT389" s="36">
        <f>SUM(CP389:CS389)</f>
        <v>6243</v>
      </c>
      <c r="CU389" s="43">
        <v>1463</v>
      </c>
      <c r="CV389" s="43">
        <f>CQ389*(1+CV391)*(1+CV392)</f>
        <v>1626.6919399999999</v>
      </c>
      <c r="CW389" s="43">
        <f>CR389*(1+CW391)*(1+CW392)</f>
        <v>1450.5726899999997</v>
      </c>
      <c r="CX389" s="43">
        <f>CS389*(1+CX391)*(1+CX392)</f>
        <v>1512.3252</v>
      </c>
      <c r="CY389" s="36">
        <f>SUM(CU389:CX389)</f>
        <v>6052.5898299999999</v>
      </c>
      <c r="CZ389" s="43">
        <f>CU389*(1+CZ391)*(1+CZ392)</f>
        <v>1445.5408000000002</v>
      </c>
      <c r="DA389" s="43">
        <f>CV389*(1+DA391)*(1+DA392)</f>
        <v>1642.3831255999999</v>
      </c>
      <c r="DB389" s="43">
        <f>CW389*(1+DB391)*(1+DB392)</f>
        <v>1464.5096282999998</v>
      </c>
      <c r="DC389" s="43">
        <f>CX389*(1+DC391)*(1+DC392)</f>
        <v>1526.8446463999996</v>
      </c>
      <c r="DD389" s="36">
        <f>SUM(CZ389:DC389)</f>
        <v>6079.2782003000002</v>
      </c>
      <c r="DE389" s="43">
        <f>CZ389*(1+DE391)*(1+DE392)</f>
        <v>1477.6216048000003</v>
      </c>
      <c r="DF389" s="43">
        <f>DA389*(1+DF391)*(1+DF392)</f>
        <v>1679.1591466859995</v>
      </c>
      <c r="DG389" s="43">
        <f>DB389*(1+DG391)*(1+DG392)</f>
        <v>1497.0047484929999</v>
      </c>
      <c r="DH389" s="43">
        <f>DC389*(1+DH391)*(1+DH392)</f>
        <v>1560.8237533279998</v>
      </c>
      <c r="DI389" s="36">
        <f>SUM(DE389:DH389)</f>
        <v>6214.6092533069996</v>
      </c>
    </row>
    <row r="390" spans="1:113" ht="12" customHeight="1">
      <c r="A390" s="219" t="str">
        <f t="shared" si="1040"/>
        <v xml:space="preserve"> </v>
      </c>
      <c r="B390" s="491" t="s">
        <v>171</v>
      </c>
      <c r="C390" s="492"/>
      <c r="D390" s="522"/>
      <c r="E390" s="492"/>
      <c r="F390" s="522"/>
      <c r="G390" s="492"/>
      <c r="H390" s="522"/>
      <c r="I390" s="492"/>
      <c r="J390" s="522"/>
      <c r="K390" s="492"/>
      <c r="L390" s="522"/>
      <c r="M390" s="492"/>
      <c r="N390" s="522"/>
      <c r="O390" s="492"/>
      <c r="P390" s="522"/>
      <c r="Q390" s="492"/>
      <c r="R390" s="378" t="s">
        <v>126</v>
      </c>
      <c r="S390" s="522" t="s">
        <v>126</v>
      </c>
      <c r="T390" s="522" t="s">
        <v>126</v>
      </c>
      <c r="U390" s="522" t="s">
        <v>126</v>
      </c>
      <c r="V390" s="492" t="s">
        <v>126</v>
      </c>
      <c r="W390" s="52">
        <f>+W389/R389-1</f>
        <v>0.31299734748010599</v>
      </c>
      <c r="X390" s="52">
        <f>+X389/S389-1</f>
        <v>0.20908130939809921</v>
      </c>
      <c r="Y390" s="52">
        <f>+Y389/T389-1</f>
        <v>0.18615751789976143</v>
      </c>
      <c r="Z390" s="52">
        <f>+Z389/U389-1</f>
        <v>0.15264797507788153</v>
      </c>
      <c r="AA390" s="112">
        <f>+AA389/V389-1</f>
        <v>0.21045117075956599</v>
      </c>
      <c r="AB390" s="112"/>
      <c r="AC390" s="52">
        <f>+AC389/W389-1</f>
        <v>0.10505050505050506</v>
      </c>
      <c r="AD390" s="52">
        <f>+AD389/X389-1</f>
        <v>0.14759825327510923</v>
      </c>
      <c r="AE390" s="52">
        <f>+AE389/Y389-1</f>
        <v>6.8410462776659964E-2</v>
      </c>
      <c r="AF390" s="52">
        <f>+AF389/Z389-1</f>
        <v>0.11531531531531525</v>
      </c>
      <c r="AG390" s="112">
        <f>+AG389/AA389-1</f>
        <v>0.11063930172210434</v>
      </c>
      <c r="AH390" s="52">
        <f t="shared" ref="AH390:AU390" si="1194">+AH389/AC389-1</f>
        <v>-3.1078610603290646E-2</v>
      </c>
      <c r="AI390" s="52">
        <f t="shared" si="1194"/>
        <v>-5.6316590563165958E-2</v>
      </c>
      <c r="AJ390" s="52">
        <f t="shared" si="1194"/>
        <v>4.8964218455743946E-2</v>
      </c>
      <c r="AK390" s="52">
        <f t="shared" si="1194"/>
        <v>5.4927302100161501E-2</v>
      </c>
      <c r="AL390" s="112">
        <f t="shared" si="1194"/>
        <v>2.5488530161428269E-3</v>
      </c>
      <c r="AM390" s="52">
        <f t="shared" si="1194"/>
        <v>3.2075471698113311E-2</v>
      </c>
      <c r="AN390" s="52">
        <f t="shared" si="1194"/>
        <v>2.7419354838709609E-2</v>
      </c>
      <c r="AO390" s="52">
        <f t="shared" si="1194"/>
        <v>6.2836624775584049E-3</v>
      </c>
      <c r="AP390" s="52">
        <f t="shared" si="1194"/>
        <v>-0.10872894333843797</v>
      </c>
      <c r="AQ390" s="112">
        <f t="shared" si="1194"/>
        <v>-1.4194915254237328E-2</v>
      </c>
      <c r="AR390" s="52">
        <f t="shared" si="1194"/>
        <v>-1.0054844606946944E-2</v>
      </c>
      <c r="AS390" s="52">
        <f t="shared" si="1194"/>
        <v>-0.13108320251177397</v>
      </c>
      <c r="AT390" s="52">
        <f t="shared" si="1194"/>
        <v>-7.9393398751115063E-2</v>
      </c>
      <c r="AU390" s="52">
        <f t="shared" si="1194"/>
        <v>-5.9278350515463929E-2</v>
      </c>
      <c r="AV390" s="112">
        <f t="shared" ref="AV390:BG390" si="1195">+AV389/AQ389-1</f>
        <v>-7.2211476466795599E-2</v>
      </c>
      <c r="AW390" s="52">
        <f t="shared" si="1195"/>
        <v>4.4321329639889218E-2</v>
      </c>
      <c r="AX390" s="52">
        <f t="shared" si="1195"/>
        <v>8.9430894308943021E-2</v>
      </c>
      <c r="AY390" s="52">
        <f t="shared" si="1195"/>
        <v>8.7209302325581328E-2</v>
      </c>
      <c r="AZ390" s="52">
        <f t="shared" si="1195"/>
        <v>0.16712328767123297</v>
      </c>
      <c r="BA390" s="112">
        <f t="shared" si="1195"/>
        <v>9.7289784572619942E-2</v>
      </c>
      <c r="BB390" s="52">
        <f t="shared" si="1195"/>
        <v>5.1282051282051322E-2</v>
      </c>
      <c r="BC390" s="52">
        <f t="shared" si="1195"/>
        <v>5.555555555555558E-2</v>
      </c>
      <c r="BD390" s="52">
        <f t="shared" si="1195"/>
        <v>0.13012477718360071</v>
      </c>
      <c r="BE390" s="52">
        <f t="shared" si="1195"/>
        <v>0.12363067292644758</v>
      </c>
      <c r="BF390" s="112">
        <f t="shared" ref="BF390:BP390" si="1196">+BF389/BA389-1</f>
        <v>9.0563647878403986E-2</v>
      </c>
      <c r="BG390" s="52">
        <f t="shared" si="1195"/>
        <v>6.8124474348191688E-2</v>
      </c>
      <c r="BH390" s="52">
        <f t="shared" si="1196"/>
        <v>1.9638648860958341E-2</v>
      </c>
      <c r="BI390" s="52">
        <f t="shared" si="1196"/>
        <v>3.0757097791798138E-2</v>
      </c>
      <c r="BJ390" s="52">
        <f t="shared" si="1196"/>
        <v>-3.9693593314763187E-2</v>
      </c>
      <c r="BK390" s="112">
        <f t="shared" si="1196"/>
        <v>1.7034456058846237E-2</v>
      </c>
      <c r="BL390" s="52">
        <f t="shared" si="1196"/>
        <v>5.9055118110236116E-2</v>
      </c>
      <c r="BM390" s="52">
        <f t="shared" si="1196"/>
        <v>0.13097072419106315</v>
      </c>
      <c r="BN390" s="52">
        <f t="shared" si="1196"/>
        <v>8.1866870696250871E-2</v>
      </c>
      <c r="BO390" s="52">
        <f t="shared" si="1196"/>
        <v>-0.41914430746918052</v>
      </c>
      <c r="BP390" s="112">
        <f t="shared" si="1196"/>
        <v>-4.3014845831747195E-2</v>
      </c>
      <c r="BQ390" s="52">
        <f t="shared" ref="BQ390:BZ390" si="1197">+BQ389/BL389-1</f>
        <v>-0.18289962825278805</v>
      </c>
      <c r="BR390" s="52">
        <f t="shared" si="1197"/>
        <v>2.043596730245234E-3</v>
      </c>
      <c r="BS390" s="52">
        <f t="shared" si="1197"/>
        <v>-7.0014144271570045E-2</v>
      </c>
      <c r="BT390" s="52">
        <f t="shared" si="1197"/>
        <v>0.8202247191011236</v>
      </c>
      <c r="BU390" s="112">
        <f t="shared" si="1197"/>
        <v>6.2649164677804237E-2</v>
      </c>
      <c r="BV390" s="52">
        <f t="shared" si="1197"/>
        <v>0.33303002729754327</v>
      </c>
      <c r="BW390" s="52">
        <f t="shared" si="1197"/>
        <v>-8.4296397008837509E-2</v>
      </c>
      <c r="BX390" s="52">
        <f t="shared" si="1197"/>
        <v>0.11102661596958185</v>
      </c>
      <c r="BY390" s="52">
        <f t="shared" si="1197"/>
        <v>0.1536351165980796</v>
      </c>
      <c r="BZ390" s="112">
        <f t="shared" si="1197"/>
        <v>0.11454239191465465</v>
      </c>
      <c r="CA390" s="52">
        <f t="shared" ref="CA390" si="1198">+CA389/BV389-1</f>
        <v>4.7781569965870352E-2</v>
      </c>
      <c r="CB390" s="52">
        <f t="shared" ref="CB390:CD390" si="1199">+CB389/BW389-1</f>
        <v>0.18708240534521159</v>
      </c>
      <c r="CC390" s="52">
        <f t="shared" si="1199"/>
        <v>9.5824777549623485E-2</v>
      </c>
      <c r="CD390" s="52">
        <f t="shared" si="1199"/>
        <v>8.3234244946492897E-3</v>
      </c>
      <c r="CE390" s="112">
        <f t="shared" ref="CE390" si="1200">+CE389/BZ389-1</f>
        <v>7.9932829554995699E-2</v>
      </c>
      <c r="CF390" s="52">
        <f t="shared" ref="CF390" si="1201">+CF389/CA389-1</f>
        <v>2.4104234527687396E-2</v>
      </c>
      <c r="CG390" s="52">
        <f t="shared" ref="CG390:CH390" si="1202">+CG389/CB389-1</f>
        <v>0.12883051907442145</v>
      </c>
      <c r="CH390" s="52">
        <f t="shared" si="1202"/>
        <v>2.8732042473454067E-2</v>
      </c>
      <c r="CI390" s="114">
        <f t="shared" ref="CI390" si="1203">+CI389/CD389-1</f>
        <v>5.3066037735849392E-3</v>
      </c>
      <c r="CJ390" s="112">
        <f t="shared" ref="CJ390:CM390" si="1204">+CJ389/CE389-1</f>
        <v>4.6338050069973491E-2</v>
      </c>
      <c r="CK390" s="52">
        <f t="shared" si="1204"/>
        <v>-6.9974554707379122E-2</v>
      </c>
      <c r="CL390" s="52">
        <f t="shared" si="1204"/>
        <v>-3.3795013850415501E-2</v>
      </c>
      <c r="CM390" s="52">
        <f t="shared" si="1204"/>
        <v>-0.10746812386156646</v>
      </c>
      <c r="CN390" s="52">
        <f t="shared" ref="CN390" si="1205">+CN389/CI389-1</f>
        <v>-7.6246334310850483E-2</v>
      </c>
      <c r="CO390" s="112">
        <f t="shared" ref="CO390" si="1206">+CO389/CJ389-1</f>
        <v>-7.1035815128548063E-2</v>
      </c>
      <c r="CP390" s="52">
        <f t="shared" ref="CP390" si="1207">+CP389/CK389-1</f>
        <v>1.9151846785225635E-2</v>
      </c>
      <c r="CQ390" s="52">
        <f t="shared" ref="CQ390:CR390" si="1208">+CQ389/CL389-1</f>
        <v>-4.415137614678899E-2</v>
      </c>
      <c r="CR390" s="52">
        <f t="shared" si="1208"/>
        <v>1.3605442176870763E-2</v>
      </c>
      <c r="CS390" s="52">
        <f>+CS389/CN389-1</f>
        <v>1.3333333333333419E-2</v>
      </c>
      <c r="CT390" s="112">
        <f t="shared" ref="CT390" si="1209">+CT389/CO389-1</f>
        <v>-1.2797952327627815E-3</v>
      </c>
      <c r="CU390" s="52">
        <f t="shared" ref="CU390" si="1210">+CU389/CP389-1</f>
        <v>-1.8120805369127524E-2</v>
      </c>
      <c r="CV390" s="52">
        <f t="shared" ref="CV390" si="1211">+CV389/CQ389-1</f>
        <v>-2.418000000000009E-2</v>
      </c>
      <c r="CW390" s="52">
        <f t="shared" ref="CW390" si="1212">+CW389/CR389-1</f>
        <v>-2.6461281879194831E-2</v>
      </c>
      <c r="CX390" s="52">
        <f t="shared" ref="CX390" si="1213">+CX389/CS389-1</f>
        <v>-5.2427819548872212E-2</v>
      </c>
      <c r="CY390" s="112">
        <f t="shared" ref="CY390" si="1214">+CY389/CT389-1</f>
        <v>-3.0499786961396769E-2</v>
      </c>
      <c r="CZ390" s="52">
        <f t="shared" ref="CZ390" si="1215">+CZ389/CU389-1</f>
        <v>-1.1933834586466019E-2</v>
      </c>
      <c r="DA390" s="52">
        <f t="shared" ref="DA390" si="1216">+DA389/CV389-1</f>
        <v>9.6460707858427863E-3</v>
      </c>
      <c r="DB390" s="52">
        <f t="shared" ref="DB390" si="1217">+DB389/CW389-1</f>
        <v>9.6078868684617014E-3</v>
      </c>
      <c r="DC390" s="52">
        <f t="shared" ref="DC390" si="1218">+DC389/CX389-1</f>
        <v>9.6007435437825972E-3</v>
      </c>
      <c r="DD390" s="112">
        <f t="shared" ref="DD390" si="1219">+DD389/CY389-1</f>
        <v>4.4094133337300168E-3</v>
      </c>
      <c r="DE390" s="52">
        <f t="shared" ref="DE390" si="1220">+DE389/CZ389-1</f>
        <v>2.2192943153178435E-2</v>
      </c>
      <c r="DF390" s="52">
        <f t="shared" ref="DF390" si="1221">+DF389/DA389-1</f>
        <v>2.2391864914323545E-2</v>
      </c>
      <c r="DG390" s="52">
        <f t="shared" ref="DG390" si="1222">+DG389/DB389-1</f>
        <v>2.218839641957171E-2</v>
      </c>
      <c r="DH390" s="52">
        <f t="shared" ref="DH390" si="1223">+DH389/DC389-1</f>
        <v>2.2254462500894467E-2</v>
      </c>
      <c r="DI390" s="112">
        <f t="shared" ref="DI390" si="1224">+DI389/DD389-1</f>
        <v>2.2261039641239266E-2</v>
      </c>
    </row>
    <row r="391" spans="1:113" s="529" customFormat="1" ht="12" customHeight="1">
      <c r="A391" s="219" t="str">
        <f t="shared" si="1040"/>
        <v xml:space="preserve"> </v>
      </c>
      <c r="B391" s="526" t="s">
        <v>172</v>
      </c>
      <c r="C391" s="112"/>
      <c r="D391" s="52"/>
      <c r="E391" s="112"/>
      <c r="F391" s="52"/>
      <c r="G391" s="112"/>
      <c r="H391" s="52"/>
      <c r="I391" s="112"/>
      <c r="J391" s="52"/>
      <c r="K391" s="112"/>
      <c r="L391" s="52"/>
      <c r="M391" s="112"/>
      <c r="N391" s="52"/>
      <c r="O391" s="112"/>
      <c r="P391" s="52"/>
      <c r="Q391" s="112"/>
      <c r="R391" s="378" t="s">
        <v>126</v>
      </c>
      <c r="S391" s="522" t="s">
        <v>126</v>
      </c>
      <c r="T391" s="522" t="s">
        <v>126</v>
      </c>
      <c r="U391" s="522" t="s">
        <v>126</v>
      </c>
      <c r="V391" s="492" t="s">
        <v>126</v>
      </c>
      <c r="W391" s="378" t="s">
        <v>126</v>
      </c>
      <c r="X391" s="522" t="s">
        <v>126</v>
      </c>
      <c r="Y391" s="522" t="s">
        <v>126</v>
      </c>
      <c r="Z391" s="522" t="s">
        <v>126</v>
      </c>
      <c r="AA391" s="492" t="s">
        <v>126</v>
      </c>
      <c r="AB391" s="492"/>
      <c r="AC391" s="378" t="s">
        <v>126</v>
      </c>
      <c r="AD391" s="522" t="s">
        <v>126</v>
      </c>
      <c r="AE391" s="522" t="s">
        <v>126</v>
      </c>
      <c r="AF391" s="522" t="s">
        <v>126</v>
      </c>
      <c r="AG391" s="492" t="s">
        <v>126</v>
      </c>
      <c r="AH391" s="378" t="s">
        <v>126</v>
      </c>
      <c r="AI391" s="522" t="s">
        <v>126</v>
      </c>
      <c r="AJ391" s="522" t="s">
        <v>126</v>
      </c>
      <c r="AK391" s="522" t="s">
        <v>126</v>
      </c>
      <c r="AL391" s="492" t="s">
        <v>126</v>
      </c>
      <c r="AM391" s="378" t="s">
        <v>126</v>
      </c>
      <c r="AN391" s="522" t="s">
        <v>126</v>
      </c>
      <c r="AO391" s="522" t="s">
        <v>126</v>
      </c>
      <c r="AP391" s="522" t="s">
        <v>126</v>
      </c>
      <c r="AQ391" s="492" t="s">
        <v>126</v>
      </c>
      <c r="AR391" s="378" t="s">
        <v>126</v>
      </c>
      <c r="AS391" s="522" t="s">
        <v>126</v>
      </c>
      <c r="AT391" s="522" t="s">
        <v>126</v>
      </c>
      <c r="AU391" s="522" t="s">
        <v>126</v>
      </c>
      <c r="AV391" s="492" t="s">
        <v>126</v>
      </c>
      <c r="AW391" s="52">
        <v>0.12</v>
      </c>
      <c r="AX391" s="52">
        <v>0.11</v>
      </c>
      <c r="AY391" s="52">
        <v>0.11</v>
      </c>
      <c r="AZ391" s="52">
        <v>0.15</v>
      </c>
      <c r="BA391" s="112">
        <v>0.13</v>
      </c>
      <c r="BB391" s="52">
        <v>0.06</v>
      </c>
      <c r="BC391" s="52">
        <v>0.08</v>
      </c>
      <c r="BD391" s="114">
        <v>0.11</v>
      </c>
      <c r="BE391" s="114">
        <v>0.13</v>
      </c>
      <c r="BF391" s="113">
        <f>SUMPRODUCT(BB391:BE391,AW389:AZ389)/BA389</f>
        <v>9.5820139328689033E-2</v>
      </c>
      <c r="BG391" s="114">
        <v>0.14000000000000001</v>
      </c>
      <c r="BH391" s="114">
        <v>0.15</v>
      </c>
      <c r="BI391" s="114">
        <v>0.14000000000000001</v>
      </c>
      <c r="BJ391" s="114">
        <v>0.09</v>
      </c>
      <c r="BK391" s="113">
        <f>SUMPRODUCT(BG391:BJ391,BB389:BE389)/BF389</f>
        <v>0.1285656213704994</v>
      </c>
      <c r="BL391" s="114">
        <v>0.13</v>
      </c>
      <c r="BM391" s="114">
        <v>0.18</v>
      </c>
      <c r="BN391" s="114">
        <v>0.13</v>
      </c>
      <c r="BO391" s="114">
        <v>-0.39</v>
      </c>
      <c r="BP391" s="113">
        <f>SUMPRODUCT(BL391:BO391,BG389:BJ389)/BK389</f>
        <v>5.8698134754472629E-3</v>
      </c>
      <c r="BQ391" s="114">
        <v>-0.12</v>
      </c>
      <c r="BR391" s="114">
        <v>0.05</v>
      </c>
      <c r="BS391" s="114">
        <v>-0.08</v>
      </c>
      <c r="BT391" s="114">
        <v>0.76</v>
      </c>
      <c r="BU391" s="113">
        <f>SUMPRODUCT(BQ391:BT391,BL389:BO389)/BP389</f>
        <v>8.1073985680190933E-2</v>
      </c>
      <c r="BV391" s="114">
        <v>0.31</v>
      </c>
      <c r="BW391" s="114">
        <v>-0.06</v>
      </c>
      <c r="BX391" s="114">
        <v>0.19</v>
      </c>
      <c r="BY391" s="114">
        <v>0.24</v>
      </c>
      <c r="BZ391" s="113">
        <f>SUMPRODUCT(BV391:BY391,BQ389:BT389)/BU389</f>
        <v>0.15949840913344562</v>
      </c>
      <c r="CA391" s="114">
        <v>0.16</v>
      </c>
      <c r="CB391" s="114">
        <v>0.34</v>
      </c>
      <c r="CC391" s="114">
        <v>0.15</v>
      </c>
      <c r="CD391" s="114">
        <v>0.06</v>
      </c>
      <c r="CE391" s="113">
        <f>SUMPRODUCT(CA391:CD391,BV389:BY389)/BZ389</f>
        <v>0.17001679261125105</v>
      </c>
      <c r="CF391" s="114">
        <v>0.03</v>
      </c>
      <c r="CG391" s="114">
        <v>0.1</v>
      </c>
      <c r="CH391" s="114">
        <v>0.04</v>
      </c>
      <c r="CI391" s="114">
        <v>0.04</v>
      </c>
      <c r="CJ391" s="113">
        <f>SUMPRODUCT(CF391:CI391,CA389:CD389)/CE389</f>
        <v>5.2531488104493866E-2</v>
      </c>
      <c r="CK391" s="114">
        <v>-0.02</v>
      </c>
      <c r="CL391" s="114">
        <v>-0.02</v>
      </c>
      <c r="CM391" s="114">
        <v>-0.04</v>
      </c>
      <c r="CN391" s="114">
        <v>-0.03</v>
      </c>
      <c r="CO391" s="113">
        <f>SUMPRODUCT(CK391:CN391,CF389:CI389)/CJ389</f>
        <v>-2.7429038490117404E-2</v>
      </c>
      <c r="CP391" s="114">
        <v>0.01</v>
      </c>
      <c r="CQ391" s="114">
        <v>-0.04</v>
      </c>
      <c r="CR391" s="114">
        <v>-0.02</v>
      </c>
      <c r="CS391" s="114">
        <v>-0.01</v>
      </c>
      <c r="CT391" s="113">
        <f>SUMPRODUCT(CP391:CS391,CK389:CN389)/CO389</f>
        <v>-1.6043832986722125E-2</v>
      </c>
      <c r="CU391" s="114">
        <v>0</v>
      </c>
      <c r="CV391" s="114">
        <f>SUM(CQ394*(1+CV396),CQ401*(1+CV403),CQ408*(1+CV410))/SUM(CQ394,CQ401,CQ408)-1</f>
        <v>-3.0000000000000027E-2</v>
      </c>
      <c r="CW391" s="114">
        <f>SUM(CR394*(1+CW396),CR401*(1+CW403),CR408*(1+CW410))/SUM(CR394,CR401,CR408)-1</f>
        <v>-3.7053691275167777E-2</v>
      </c>
      <c r="CX391" s="114">
        <f>SUM(CS394*(1+CX396),CS401*(1+CX403),CS408*(1+CX410))/SUM(CS394,CS401,CS408)-1</f>
        <v>-5.6203007518797032E-2</v>
      </c>
      <c r="CY391" s="113">
        <f>SUMPRODUCT(CU391:CX391,CP389:CS389)/CT389</f>
        <v>-3.1222168829088591E-2</v>
      </c>
      <c r="CZ391" s="114">
        <f>SUM(CU394*(1+CZ396),CU401*(1+CZ403),CU408*(1+CZ410))/SUM(CU394,CU401,CU408)-1</f>
        <v>-2.3650034176349921E-2</v>
      </c>
      <c r="DA391" s="114">
        <f>SUM(CV394*(1+DA396),CV401*(1+DA403),CV408*(1+DA410))/SUM(CV394,CV401,CV408)-1</f>
        <v>9.6460707858427863E-3</v>
      </c>
      <c r="DB391" s="114">
        <f>SUM(CW394*(1+DB396),CW401*(1+DB403),CW408*(1+DB410))/SUM(CW394,CW401,CW408)-1</f>
        <v>9.6078868684617014E-3</v>
      </c>
      <c r="DC391" s="114">
        <f>SUM(CX394*(1+DC396),CX401*(1+DC403),CX408*(1+DC410))/SUM(CX394,CX401,CX408)-1</f>
        <v>9.6007435437825972E-3</v>
      </c>
      <c r="DD391" s="113">
        <f>SUMPRODUCT(CZ391:DC391,CU389:CX389)/CY389</f>
        <v>1.577435538862523E-3</v>
      </c>
      <c r="DE391" s="114">
        <f>SUM(CZ394*(1+DE396),CZ401*(1+DE403),CZ408*(1+DE410))/SUM(CZ394,CZ401,CZ408)-1</f>
        <v>2.2192943153178435E-2</v>
      </c>
      <c r="DF391" s="114">
        <f>SUM(DA394*(1+DF396),DA401*(1+DF403),DA408*(1+DF410))/SUM(DA394,DA401,DA408)-1</f>
        <v>2.2391864914323545E-2</v>
      </c>
      <c r="DG391" s="114">
        <f>SUM(DB394*(1+DG396),DB401*(1+DG403),DB408*(1+DG410))/SUM(DB394,DB401,DB408)-1</f>
        <v>2.218839641957171E-2</v>
      </c>
      <c r="DH391" s="114">
        <f>SUM(DC394*(1+DH396),DC401*(1+DH403),DC408*(1+DH410))/SUM(DC394,DC401,DC408)-1</f>
        <v>2.2254462500894467E-2</v>
      </c>
      <c r="DI391" s="113">
        <f>SUMPRODUCT(DE391:DH391,CZ389:DC389)/DD389</f>
        <v>2.226103964123927E-2</v>
      </c>
    </row>
    <row r="392" spans="1:113" s="529" customFormat="1" ht="12" customHeight="1">
      <c r="A392" s="219" t="str">
        <f t="shared" si="1040"/>
        <v xml:space="preserve"> </v>
      </c>
      <c r="B392" s="526" t="s">
        <v>141</v>
      </c>
      <c r="C392" s="112"/>
      <c r="D392" s="52"/>
      <c r="E392" s="112"/>
      <c r="F392" s="52"/>
      <c r="G392" s="112"/>
      <c r="H392" s="52"/>
      <c r="I392" s="112"/>
      <c r="J392" s="52"/>
      <c r="K392" s="112"/>
      <c r="L392" s="52"/>
      <c r="M392" s="112"/>
      <c r="N392" s="52"/>
      <c r="O392" s="112"/>
      <c r="P392" s="52"/>
      <c r="Q392" s="112"/>
      <c r="R392" s="378" t="s">
        <v>126</v>
      </c>
      <c r="S392" s="522" t="s">
        <v>126</v>
      </c>
      <c r="T392" s="522" t="s">
        <v>126</v>
      </c>
      <c r="U392" s="522" t="s">
        <v>126</v>
      </c>
      <c r="V392" s="492" t="s">
        <v>126</v>
      </c>
      <c r="W392" s="378" t="s">
        <v>126</v>
      </c>
      <c r="X392" s="522" t="s">
        <v>126</v>
      </c>
      <c r="Y392" s="522" t="s">
        <v>126</v>
      </c>
      <c r="Z392" s="522" t="s">
        <v>126</v>
      </c>
      <c r="AA392" s="492" t="s">
        <v>126</v>
      </c>
      <c r="AB392" s="492"/>
      <c r="AC392" s="378" t="s">
        <v>126</v>
      </c>
      <c r="AD392" s="522" t="s">
        <v>126</v>
      </c>
      <c r="AE392" s="522" t="s">
        <v>126</v>
      </c>
      <c r="AF392" s="522" t="s">
        <v>126</v>
      </c>
      <c r="AG392" s="492" t="s">
        <v>126</v>
      </c>
      <c r="AH392" s="378" t="s">
        <v>126</v>
      </c>
      <c r="AI392" s="522" t="s">
        <v>126</v>
      </c>
      <c r="AJ392" s="522" t="s">
        <v>126</v>
      </c>
      <c r="AK392" s="522" t="s">
        <v>126</v>
      </c>
      <c r="AL392" s="492" t="s">
        <v>126</v>
      </c>
      <c r="AM392" s="378" t="s">
        <v>126</v>
      </c>
      <c r="AN392" s="522" t="s">
        <v>126</v>
      </c>
      <c r="AO392" s="522" t="s">
        <v>126</v>
      </c>
      <c r="AP392" s="522" t="s">
        <v>126</v>
      </c>
      <c r="AQ392" s="492" t="s">
        <v>126</v>
      </c>
      <c r="AR392" s="378" t="s">
        <v>126</v>
      </c>
      <c r="AS392" s="522" t="s">
        <v>126</v>
      </c>
      <c r="AT392" s="522" t="s">
        <v>126</v>
      </c>
      <c r="AU392" s="522" t="s">
        <v>126</v>
      </c>
      <c r="AV392" s="492" t="s">
        <v>126</v>
      </c>
      <c r="AW392" s="52">
        <f t="shared" ref="AW392:CU392" si="1225">(1+AW390)/(1+AW391)-1</f>
        <v>-6.7570241392956198E-2</v>
      </c>
      <c r="AX392" s="52">
        <f t="shared" si="1225"/>
        <v>-1.8530725847799134E-2</v>
      </c>
      <c r="AY392" s="52">
        <f t="shared" si="1225"/>
        <v>-2.0532160067043947E-2</v>
      </c>
      <c r="AZ392" s="52">
        <f t="shared" si="1225"/>
        <v>1.4889815366289527E-2</v>
      </c>
      <c r="BA392" s="112">
        <f t="shared" si="1225"/>
        <v>-2.8947093298566373E-2</v>
      </c>
      <c r="BB392" s="52">
        <f t="shared" si="1225"/>
        <v>-8.2244799225931198E-3</v>
      </c>
      <c r="BC392" s="52">
        <f t="shared" si="1225"/>
        <v>-2.2633744855967142E-2</v>
      </c>
      <c r="BD392" s="114">
        <f t="shared" si="1225"/>
        <v>1.8130429895135691E-2</v>
      </c>
      <c r="BE392" s="114">
        <f t="shared" si="1225"/>
        <v>-5.6365726314622222E-3</v>
      </c>
      <c r="BF392" s="112">
        <f>SUMPRODUCT(BB392:BE392,AW389:AZ389)/BA389</f>
        <v>-4.9523708189604526E-3</v>
      </c>
      <c r="BG392" s="52">
        <f t="shared" si="1225"/>
        <v>-6.3048706712112601E-2</v>
      </c>
      <c r="BH392" s="52">
        <f t="shared" si="1225"/>
        <v>-0.11335769664264483</v>
      </c>
      <c r="BI392" s="52">
        <f t="shared" si="1225"/>
        <v>-9.5827107200177175E-2</v>
      </c>
      <c r="BJ392" s="114">
        <f t="shared" si="1225"/>
        <v>-0.11898494799519566</v>
      </c>
      <c r="BK392" s="112">
        <f>SUMPRODUCT(BG392:BJ392,BB389:BE389)/BF389</f>
        <v>-9.9039956902383722E-2</v>
      </c>
      <c r="BL392" s="114">
        <f t="shared" si="1225"/>
        <v>-6.2783081318375067E-2</v>
      </c>
      <c r="BM392" s="114">
        <f t="shared" si="1225"/>
        <v>-4.155023373638711E-2</v>
      </c>
      <c r="BN392" s="114">
        <f t="shared" si="1225"/>
        <v>-4.2595689649335466E-2</v>
      </c>
      <c r="BO392" s="114">
        <f t="shared" si="1225"/>
        <v>-4.7777553228164793E-2</v>
      </c>
      <c r="BP392" s="112">
        <f>SUMPRODUCT(BL392:BO392,BG389:BJ389)/BK389</f>
        <v>-4.8577184799674059E-2</v>
      </c>
      <c r="BQ392" s="114">
        <f t="shared" si="1225"/>
        <v>-7.1476850287259142E-2</v>
      </c>
      <c r="BR392" s="114">
        <f t="shared" si="1225"/>
        <v>-4.5672765018814121E-2</v>
      </c>
      <c r="BS392" s="114">
        <f t="shared" si="1225"/>
        <v>1.085419100916285E-2</v>
      </c>
      <c r="BT392" s="114">
        <f t="shared" si="1225"/>
        <v>3.4218590398365611E-2</v>
      </c>
      <c r="BU392" s="112">
        <f>SUMPRODUCT(BQ392:BT392,BL389:BO389)/BP389</f>
        <v>-2.3951285936343585E-2</v>
      </c>
      <c r="BV392" s="114">
        <f t="shared" si="1225"/>
        <v>1.7580173509575081E-2</v>
      </c>
      <c r="BW392" s="114">
        <f t="shared" si="1225"/>
        <v>-2.5847230860465364E-2</v>
      </c>
      <c r="BX392" s="114">
        <f t="shared" si="1225"/>
        <v>-6.636418826085555E-2</v>
      </c>
      <c r="BY392" s="114">
        <f t="shared" si="1225"/>
        <v>-6.9649099517677726E-2</v>
      </c>
      <c r="BZ392" s="112">
        <f>SUMPRODUCT(BV392:BY392,BQ389:BT389)/BU389</f>
        <v>-3.8839221517596993E-2</v>
      </c>
      <c r="CA392" s="114">
        <f t="shared" si="1225"/>
        <v>-9.6740025891490999E-2</v>
      </c>
      <c r="CB392" s="114">
        <f t="shared" si="1225"/>
        <v>-0.11411760795133474</v>
      </c>
      <c r="CC392" s="114">
        <f t="shared" si="1225"/>
        <v>-4.7108889087283834E-2</v>
      </c>
      <c r="CD392" s="114">
        <f t="shared" si="1225"/>
        <v>-4.8751486325802618E-2</v>
      </c>
      <c r="CE392" s="112">
        <f>SUMPRODUCT(CA392:CD392,BV389:BY389)/BZ389</f>
        <v>-7.4939822468178652E-2</v>
      </c>
      <c r="CF392" s="114">
        <f t="shared" si="1225"/>
        <v>-5.724044147876306E-3</v>
      </c>
      <c r="CG392" s="114">
        <f t="shared" si="1225"/>
        <v>2.6209562794928587E-2</v>
      </c>
      <c r="CH392" s="114">
        <f t="shared" si="1225"/>
        <v>-1.0834574544755782E-2</v>
      </c>
      <c r="CI392" s="114">
        <f t="shared" si="1225"/>
        <v>-3.3359034833091439E-2</v>
      </c>
      <c r="CJ392" s="112">
        <f>SUMPRODUCT(CF392:CI392,CA389:CD389)/CE389</f>
        <v>-6.3443311741527607E-3</v>
      </c>
      <c r="CK392" s="114">
        <f t="shared" si="1225"/>
        <v>-5.0994443578958215E-2</v>
      </c>
      <c r="CL392" s="114">
        <f t="shared" si="1225"/>
        <v>-1.4076544745321939E-2</v>
      </c>
      <c r="CM392" s="114">
        <f t="shared" si="1225"/>
        <v>-7.0279295689131716E-2</v>
      </c>
      <c r="CN392" s="114">
        <f t="shared" si="1225"/>
        <v>-4.7676633310155148E-2</v>
      </c>
      <c r="CO392" s="112">
        <f>SUMPRODUCT(CK392:CN392,CF389:CI389)/CJ389</f>
        <v>-4.4971034086081565E-2</v>
      </c>
      <c r="CP392" s="114">
        <f t="shared" si="1225"/>
        <v>9.0612344408174117E-3</v>
      </c>
      <c r="CQ392" s="114">
        <f t="shared" si="1225"/>
        <v>-4.3243501529051098E-3</v>
      </c>
      <c r="CR392" s="114">
        <f t="shared" si="1225"/>
        <v>3.4291267527419178E-2</v>
      </c>
      <c r="CS392" s="114">
        <f t="shared" si="1225"/>
        <v>2.3569023569023573E-2</v>
      </c>
      <c r="CT392" s="112">
        <f>SUMPRODUCT(CP392:CS392,CK389:CN389)/CO389</f>
        <v>1.4915250915425829E-2</v>
      </c>
      <c r="CU392" s="114">
        <f t="shared" si="1225"/>
        <v>-1.8120805369127524E-2</v>
      </c>
      <c r="CV392" s="53">
        <v>6.0000000000000001E-3</v>
      </c>
      <c r="CW392" s="53">
        <v>1.0999999999999999E-2</v>
      </c>
      <c r="CX392" s="53">
        <v>4.0000000000000001E-3</v>
      </c>
      <c r="CY392" s="112">
        <f>SUMPRODUCT(CU392:CX392,CP389:CS389)/CT389</f>
        <v>9.2519621976613637E-4</v>
      </c>
      <c r="CZ392" s="53">
        <v>1.2E-2</v>
      </c>
      <c r="DA392" s="53">
        <v>0</v>
      </c>
      <c r="DB392" s="53">
        <v>0</v>
      </c>
      <c r="DC392" s="53">
        <v>0</v>
      </c>
      <c r="DD392" s="112">
        <f>SUMPRODUCT(CZ392:DC392,CU389:CX389)/CY389</f>
        <v>2.900576528907131E-3</v>
      </c>
      <c r="DE392" s="53">
        <v>0</v>
      </c>
      <c r="DF392" s="53">
        <v>0</v>
      </c>
      <c r="DG392" s="53">
        <v>0</v>
      </c>
      <c r="DH392" s="53">
        <v>0</v>
      </c>
      <c r="DI392" s="112">
        <f>SUMPRODUCT(DE392:DH392,CZ389:DC389)/DD389</f>
        <v>0</v>
      </c>
    </row>
    <row r="393" spans="1:113" ht="12" customHeight="1">
      <c r="A393" s="219"/>
      <c r="B393" s="17"/>
      <c r="C393" s="79"/>
      <c r="D393" s="6"/>
      <c r="E393" s="79"/>
      <c r="F393" s="6"/>
      <c r="G393" s="79"/>
      <c r="H393" s="6"/>
      <c r="I393" s="79"/>
      <c r="J393" s="6"/>
      <c r="K393" s="79"/>
      <c r="L393" s="6"/>
      <c r="M393" s="79"/>
      <c r="N393" s="6"/>
      <c r="O393" s="79"/>
      <c r="P393" s="6"/>
      <c r="Q393" s="79"/>
      <c r="R393" s="6"/>
      <c r="S393" s="6"/>
      <c r="T393" s="6"/>
      <c r="U393" s="6"/>
      <c r="V393" s="79"/>
      <c r="W393" s="6"/>
      <c r="X393" s="6"/>
      <c r="Y393" s="6"/>
      <c r="Z393" s="6"/>
      <c r="AA393" s="79"/>
      <c r="AB393" s="79"/>
      <c r="AC393" s="6"/>
      <c r="AD393" s="6"/>
      <c r="AE393" s="6"/>
      <c r="AF393" s="6"/>
      <c r="AG393" s="79"/>
      <c r="AH393" s="6"/>
      <c r="AI393" s="6"/>
      <c r="AJ393" s="6"/>
      <c r="AK393" s="6"/>
      <c r="AL393" s="79"/>
      <c r="AM393" s="6"/>
      <c r="AN393" s="6"/>
      <c r="AO393" s="6"/>
      <c r="AP393" s="6"/>
      <c r="AQ393" s="79"/>
      <c r="AR393" s="6"/>
      <c r="AS393" s="6"/>
      <c r="AT393" s="6"/>
      <c r="AU393" s="6"/>
      <c r="AV393" s="79"/>
      <c r="AW393" s="6"/>
      <c r="AX393" s="6"/>
      <c r="AY393" s="6"/>
      <c r="AZ393" s="6"/>
      <c r="BA393" s="79"/>
      <c r="BB393" s="6"/>
      <c r="BC393" s="6"/>
      <c r="BD393" s="582"/>
      <c r="BE393" s="24"/>
      <c r="BF393" s="79"/>
      <c r="BG393" s="49"/>
      <c r="BH393" s="49"/>
      <c r="BI393" s="49"/>
      <c r="BJ393" s="49"/>
      <c r="BK393" s="42"/>
      <c r="BL393" s="49"/>
      <c r="BM393" s="49"/>
      <c r="BN393" s="231"/>
      <c r="BO393" s="231"/>
      <c r="BP393" s="246"/>
      <c r="BQ393" s="231"/>
      <c r="BR393" s="231"/>
      <c r="BS393" s="231"/>
      <c r="BT393" s="49"/>
      <c r="BU393" s="246"/>
      <c r="BV393" s="49"/>
      <c r="BW393" s="231"/>
      <c r="BX393" s="231"/>
      <c r="BY393" s="49"/>
      <c r="BZ393" s="42"/>
      <c r="CA393" s="49"/>
      <c r="CB393" s="49"/>
      <c r="CC393" s="49"/>
      <c r="CD393" s="49"/>
      <c r="CE393" s="42"/>
      <c r="CF393" s="49"/>
      <c r="CG393" s="49"/>
      <c r="CH393" s="49"/>
      <c r="CI393" s="49"/>
      <c r="CJ393" s="42"/>
      <c r="CK393" s="49"/>
      <c r="CL393" s="49"/>
      <c r="CM393" s="49"/>
      <c r="CN393" s="49"/>
      <c r="CO393" s="42"/>
      <c r="CP393" s="49"/>
      <c r="CQ393" s="49"/>
      <c r="CR393" s="49"/>
      <c r="CS393" s="49"/>
      <c r="CT393" s="42"/>
      <c r="CU393" s="49"/>
      <c r="CV393" s="49"/>
      <c r="CW393" s="49"/>
      <c r="CX393" s="49"/>
      <c r="CY393" s="42"/>
      <c r="CZ393" s="49"/>
      <c r="DA393" s="49"/>
      <c r="DB393" s="49"/>
      <c r="DC393" s="49"/>
      <c r="DD393" s="42"/>
      <c r="DE393" s="49"/>
      <c r="DF393" s="49"/>
      <c r="DG393" s="49"/>
      <c r="DH393" s="49"/>
      <c r="DI393" s="42"/>
    </row>
    <row r="394" spans="1:113" s="7" customFormat="1" ht="12" hidden="1" customHeight="1" outlineLevel="1">
      <c r="A394" s="239" t="str">
        <f t="shared" si="1040"/>
        <v xml:space="preserve"> </v>
      </c>
      <c r="B394" s="20" t="s">
        <v>95</v>
      </c>
      <c r="C394" s="36"/>
      <c r="D394" s="43"/>
      <c r="E394" s="36"/>
      <c r="F394" s="43"/>
      <c r="G394" s="36"/>
      <c r="H394" s="43"/>
      <c r="I394" s="36"/>
      <c r="J394" s="43"/>
      <c r="K394" s="36"/>
      <c r="L394" s="43"/>
      <c r="M394" s="36"/>
      <c r="N394" s="43"/>
      <c r="O394" s="36"/>
      <c r="P394" s="43"/>
      <c r="Q394" s="36"/>
      <c r="R394" s="43">
        <v>490</v>
      </c>
      <c r="S394" s="43">
        <v>614</v>
      </c>
      <c r="T394" s="43">
        <v>548</v>
      </c>
      <c r="U394" s="43">
        <v>641</v>
      </c>
      <c r="V394" s="36">
        <f>SUM(R394:U394)</f>
        <v>2293</v>
      </c>
      <c r="W394" s="43">
        <v>670</v>
      </c>
      <c r="X394" s="43">
        <v>759</v>
      </c>
      <c r="Y394" s="43">
        <f>108+553</f>
        <v>661</v>
      </c>
      <c r="Z394" s="43">
        <v>734</v>
      </c>
      <c r="AA394" s="36">
        <f>SUM(W394:Z394)</f>
        <v>2824</v>
      </c>
      <c r="AB394" s="36"/>
      <c r="AC394" s="43">
        <v>725</v>
      </c>
      <c r="AD394" s="43">
        <v>837</v>
      </c>
      <c r="AE394" s="43">
        <v>701</v>
      </c>
      <c r="AF394" s="43">
        <v>797</v>
      </c>
      <c r="AG394" s="36">
        <f>SUM(AC394:AF394)</f>
        <v>3060</v>
      </c>
      <c r="AH394" s="43">
        <v>712</v>
      </c>
      <c r="AI394" s="43">
        <v>787</v>
      </c>
      <c r="AJ394" s="43">
        <v>723</v>
      </c>
      <c r="AK394" s="43">
        <v>829</v>
      </c>
      <c r="AL394" s="36">
        <f>SUM(AH394:AK394)</f>
        <v>3051</v>
      </c>
      <c r="AM394" s="43">
        <v>728</v>
      </c>
      <c r="AN394" s="43">
        <v>835</v>
      </c>
      <c r="AO394" s="43">
        <v>754</v>
      </c>
      <c r="AP394" s="43">
        <v>776</v>
      </c>
      <c r="AQ394" s="36">
        <f>SUM(AM394:AP394)</f>
        <v>3093</v>
      </c>
      <c r="AR394" s="43">
        <v>749</v>
      </c>
      <c r="AS394" s="43">
        <v>744</v>
      </c>
      <c r="AT394" s="43">
        <v>694</v>
      </c>
      <c r="AU394" s="43">
        <v>743</v>
      </c>
      <c r="AV394" s="36">
        <f>SUM(AR394:AU394)</f>
        <v>2930</v>
      </c>
      <c r="AW394" s="43">
        <v>787</v>
      </c>
      <c r="AX394" s="43">
        <v>818</v>
      </c>
      <c r="AY394" s="43">
        <v>777</v>
      </c>
      <c r="AZ394" s="43">
        <v>903</v>
      </c>
      <c r="BA394" s="36">
        <f>SUM(AW394:AZ394)</f>
        <v>3285</v>
      </c>
      <c r="BB394" s="43">
        <v>827</v>
      </c>
      <c r="BC394" s="43">
        <v>873</v>
      </c>
      <c r="BD394" s="369">
        <v>884</v>
      </c>
      <c r="BE394" s="369">
        <v>991</v>
      </c>
      <c r="BF394" s="36">
        <f>SUM(BB394:BE394)</f>
        <v>3575</v>
      </c>
      <c r="BG394" s="43">
        <v>881</v>
      </c>
      <c r="BH394" s="43">
        <v>879</v>
      </c>
      <c r="BI394" s="43">
        <v>909</v>
      </c>
      <c r="BJ394" s="43">
        <v>953</v>
      </c>
      <c r="BK394" s="36">
        <f>SUM(BG394:BJ394)</f>
        <v>3622</v>
      </c>
      <c r="BL394" s="43">
        <v>930</v>
      </c>
      <c r="BM394" s="43">
        <v>997</v>
      </c>
      <c r="BN394" s="43">
        <v>963</v>
      </c>
      <c r="BO394" s="43">
        <v>559</v>
      </c>
      <c r="BP394" s="36">
        <f>SUM(BL394:BO394)</f>
        <v>3449</v>
      </c>
      <c r="BQ394" s="43">
        <v>758</v>
      </c>
      <c r="BR394" s="43">
        <v>991</v>
      </c>
      <c r="BS394" s="43">
        <v>903</v>
      </c>
      <c r="BT394" s="43">
        <v>1007</v>
      </c>
      <c r="BU394" s="36">
        <f>SUM(BQ394:BT394)</f>
        <v>3659</v>
      </c>
      <c r="BV394" s="43">
        <v>1022</v>
      </c>
      <c r="BW394" s="43">
        <v>887</v>
      </c>
      <c r="BX394" s="43">
        <v>1005</v>
      </c>
      <c r="BY394" s="43">
        <v>1197</v>
      </c>
      <c r="BZ394" s="36">
        <f>SUM(BV394:BY394)</f>
        <v>4111</v>
      </c>
      <c r="CA394" s="43">
        <v>1064</v>
      </c>
      <c r="CB394" s="43">
        <v>1108</v>
      </c>
      <c r="CC394" s="43">
        <v>1141</v>
      </c>
      <c r="CD394" s="369">
        <v>1230</v>
      </c>
      <c r="CE394" s="36">
        <f>SUM(CA394:CD394)</f>
        <v>4543</v>
      </c>
      <c r="CF394" s="43">
        <v>1141</v>
      </c>
      <c r="CG394" s="43">
        <v>1303</v>
      </c>
      <c r="CH394" s="43">
        <v>1195</v>
      </c>
      <c r="CI394" s="43">
        <v>1226</v>
      </c>
      <c r="CJ394" s="36">
        <f>SUM(CF394:CI394)</f>
        <v>4865</v>
      </c>
      <c r="CK394" s="43">
        <v>1052</v>
      </c>
      <c r="CL394" s="43">
        <v>1234</v>
      </c>
      <c r="CM394" s="43">
        <v>1052</v>
      </c>
      <c r="CN394" s="43">
        <v>1114</v>
      </c>
      <c r="CO394" s="36">
        <f>SUM(CK394:CN394)</f>
        <v>4452</v>
      </c>
      <c r="CP394" s="43">
        <v>1061</v>
      </c>
      <c r="CQ394" s="43">
        <v>1151</v>
      </c>
      <c r="CR394" s="43">
        <v>1051</v>
      </c>
      <c r="CS394" s="43">
        <v>1114</v>
      </c>
      <c r="CT394" s="36">
        <f>SUM(CP394:CS394)</f>
        <v>4377</v>
      </c>
      <c r="CU394" s="43">
        <v>1028</v>
      </c>
      <c r="CV394" s="43">
        <f>CQ394*(1+CV396)*(1+CV399)</f>
        <v>1123.1688200000001</v>
      </c>
      <c r="CW394" s="43">
        <f>CR394*(1+CW396)*(1+CW399)</f>
        <v>1020.0585599999998</v>
      </c>
      <c r="CX394" s="43">
        <f>CS394*(1+CX396)*(1+CX399)</f>
        <v>1051.3486399999999</v>
      </c>
      <c r="CY394" s="36">
        <f>SUM(CU394:CX394)</f>
        <v>4222.5760199999995</v>
      </c>
      <c r="CZ394" s="43">
        <f>CU394*(1+CZ396)*(1+CZ399)</f>
        <v>1009.12592</v>
      </c>
      <c r="DA394" s="43">
        <f>CV394*(1+DA396)*(1+DA399)</f>
        <v>1134.4005082000001</v>
      </c>
      <c r="DB394" s="43">
        <f>CW394*(1+DB396)*(1+DB399)</f>
        <v>1030.2591455999998</v>
      </c>
      <c r="DC394" s="43">
        <f>CX394*(1+DC396)*(1+DC399)</f>
        <v>1061.8621263999999</v>
      </c>
      <c r="DD394" s="36">
        <f>SUM(CZ394:DC394)</f>
        <v>4235.6477001999992</v>
      </c>
      <c r="DE394" s="43">
        <f>CZ394*(1+DE396)*(1+DE399)</f>
        <v>1029.3084383999999</v>
      </c>
      <c r="DF394" s="43">
        <f>DA394*(1+DF396)*(1+DF399)</f>
        <v>1157.088518364</v>
      </c>
      <c r="DG394" s="43">
        <f>DB394*(1+DG396)*(1+DG399)</f>
        <v>1050.8643285119997</v>
      </c>
      <c r="DH394" s="43">
        <f>DC394*(1+DH396)*(1+DH399)</f>
        <v>1083.0993689279999</v>
      </c>
      <c r="DI394" s="36">
        <f>SUM(DE394:DH394)</f>
        <v>4320.3606542039997</v>
      </c>
    </row>
    <row r="395" spans="1:113" ht="12" hidden="1" customHeight="1" outlineLevel="1">
      <c r="A395" s="219" t="str">
        <f t="shared" si="1040"/>
        <v xml:space="preserve"> </v>
      </c>
      <c r="B395" s="491" t="s">
        <v>171</v>
      </c>
      <c r="C395" s="492"/>
      <c r="D395" s="522"/>
      <c r="E395" s="492"/>
      <c r="F395" s="522"/>
      <c r="G395" s="492"/>
      <c r="H395" s="522"/>
      <c r="I395" s="492"/>
      <c r="J395" s="522"/>
      <c r="K395" s="492"/>
      <c r="L395" s="522"/>
      <c r="M395" s="492"/>
      <c r="N395" s="522"/>
      <c r="O395" s="492"/>
      <c r="P395" s="522"/>
      <c r="Q395" s="492"/>
      <c r="R395" s="378" t="s">
        <v>126</v>
      </c>
      <c r="S395" s="522" t="s">
        <v>126</v>
      </c>
      <c r="T395" s="522" t="s">
        <v>126</v>
      </c>
      <c r="U395" s="522" t="s">
        <v>126</v>
      </c>
      <c r="V395" s="492" t="s">
        <v>126</v>
      </c>
      <c r="W395" s="52">
        <f>+W394/R394-1</f>
        <v>0.36734693877551017</v>
      </c>
      <c r="X395" s="52">
        <f>+X394/S394-1</f>
        <v>0.23615635179153105</v>
      </c>
      <c r="Y395" s="52">
        <f>+Y394/T394-1</f>
        <v>0.20620437956204385</v>
      </c>
      <c r="Z395" s="52">
        <f>+Z394/U394-1</f>
        <v>0.14508580343213739</v>
      </c>
      <c r="AA395" s="112">
        <f>+AA394/V394-1</f>
        <v>0.23157435673789806</v>
      </c>
      <c r="AB395" s="112"/>
      <c r="AC395" s="52">
        <f>+AC394/W394-1</f>
        <v>8.2089552238805874E-2</v>
      </c>
      <c r="AD395" s="52">
        <f>+AD394/X394-1</f>
        <v>0.1027667984189724</v>
      </c>
      <c r="AE395" s="52">
        <f>+AE394/Y394-1</f>
        <v>6.051437216338873E-2</v>
      </c>
      <c r="AF395" s="52">
        <f>+AF394/Z394-1</f>
        <v>8.5831062670299829E-2</v>
      </c>
      <c r="AG395" s="112">
        <f>+AG394/AA394-1</f>
        <v>8.3569405099150229E-2</v>
      </c>
      <c r="AH395" s="52">
        <f t="shared" ref="AH395:BP395" si="1226">+AH394/AC394-1</f>
        <v>-1.7931034482758568E-2</v>
      </c>
      <c r="AI395" s="52">
        <f t="shared" si="1226"/>
        <v>-5.9737156511350031E-2</v>
      </c>
      <c r="AJ395" s="52">
        <f t="shared" si="1226"/>
        <v>3.1383737517831634E-2</v>
      </c>
      <c r="AK395" s="52">
        <f t="shared" si="1226"/>
        <v>4.0150564617315032E-2</v>
      </c>
      <c r="AL395" s="112">
        <f t="shared" si="1226"/>
        <v>-2.9411764705882248E-3</v>
      </c>
      <c r="AM395" s="52">
        <f t="shared" si="1226"/>
        <v>2.2471910112359605E-2</v>
      </c>
      <c r="AN395" s="52">
        <f t="shared" si="1226"/>
        <v>6.099110546378661E-2</v>
      </c>
      <c r="AO395" s="52">
        <f t="shared" si="1226"/>
        <v>4.2876901798063694E-2</v>
      </c>
      <c r="AP395" s="52">
        <f t="shared" si="1226"/>
        <v>-6.3932448733413749E-2</v>
      </c>
      <c r="AQ395" s="112">
        <f t="shared" si="1226"/>
        <v>1.3765978367748177E-2</v>
      </c>
      <c r="AR395" s="52">
        <f t="shared" si="1226"/>
        <v>2.8846153846153744E-2</v>
      </c>
      <c r="AS395" s="52">
        <f t="shared" si="1226"/>
        <v>-0.10898203592814371</v>
      </c>
      <c r="AT395" s="52">
        <f t="shared" si="1226"/>
        <v>-7.9575596816976124E-2</v>
      </c>
      <c r="AU395" s="52">
        <f t="shared" si="1226"/>
        <v>-4.2525773195876249E-2</v>
      </c>
      <c r="AV395" s="112">
        <f t="shared" si="1226"/>
        <v>-5.269964435822827E-2</v>
      </c>
      <c r="AW395" s="52">
        <f t="shared" si="1226"/>
        <v>5.0734312416555349E-2</v>
      </c>
      <c r="AX395" s="52">
        <f t="shared" si="1226"/>
        <v>9.9462365591397761E-2</v>
      </c>
      <c r="AY395" s="52">
        <f t="shared" si="1226"/>
        <v>0.1195965417867435</v>
      </c>
      <c r="AZ395" s="52">
        <f t="shared" si="1226"/>
        <v>0.21534320323014811</v>
      </c>
      <c r="BA395" s="112">
        <f t="shared" si="1226"/>
        <v>0.12116040955631391</v>
      </c>
      <c r="BB395" s="52">
        <f t="shared" si="1226"/>
        <v>5.0825921219822101E-2</v>
      </c>
      <c r="BC395" s="52">
        <f t="shared" si="1226"/>
        <v>6.7237163814180878E-2</v>
      </c>
      <c r="BD395" s="114">
        <f t="shared" si="1226"/>
        <v>0.13770913770913773</v>
      </c>
      <c r="BE395" s="114">
        <f t="shared" si="1226"/>
        <v>9.7452934662237034E-2</v>
      </c>
      <c r="BF395" s="112">
        <f t="shared" si="1226"/>
        <v>8.8280060882800715E-2</v>
      </c>
      <c r="BG395" s="52">
        <f t="shared" si="1226"/>
        <v>6.5296251511487213E-2</v>
      </c>
      <c r="BH395" s="52">
        <f t="shared" si="1226"/>
        <v>6.8728522336769515E-3</v>
      </c>
      <c r="BI395" s="52">
        <f t="shared" si="1226"/>
        <v>2.8280542986425239E-2</v>
      </c>
      <c r="BJ395" s="114">
        <f t="shared" si="1226"/>
        <v>-3.8345105953582204E-2</v>
      </c>
      <c r="BK395" s="112">
        <f t="shared" si="1226"/>
        <v>1.3146853146853044E-2</v>
      </c>
      <c r="BL395" s="52">
        <f t="shared" si="1226"/>
        <v>5.5618615209988675E-2</v>
      </c>
      <c r="BM395" s="52">
        <f t="shared" si="1226"/>
        <v>0.13424345847554031</v>
      </c>
      <c r="BN395" s="52">
        <f t="shared" si="1226"/>
        <v>5.9405940594059459E-2</v>
      </c>
      <c r="BO395" s="52">
        <f t="shared" si="1226"/>
        <v>-0.41343126967471144</v>
      </c>
      <c r="BP395" s="112">
        <f t="shared" si="1226"/>
        <v>-4.7763666482606326E-2</v>
      </c>
      <c r="BQ395" s="52">
        <f t="shared" ref="BQ395:BZ395" si="1227">+BQ394/BL394-1</f>
        <v>-0.18494623655913978</v>
      </c>
      <c r="BR395" s="52">
        <f t="shared" si="1227"/>
        <v>-6.0180541624874628E-3</v>
      </c>
      <c r="BS395" s="52">
        <f t="shared" si="1227"/>
        <v>-6.230529595015577E-2</v>
      </c>
      <c r="BT395" s="52">
        <f t="shared" si="1227"/>
        <v>0.80143112701252228</v>
      </c>
      <c r="BU395" s="112">
        <f t="shared" si="1227"/>
        <v>6.0887213685126174E-2</v>
      </c>
      <c r="BV395" s="52">
        <f t="shared" si="1227"/>
        <v>0.34828496042216361</v>
      </c>
      <c r="BW395" s="52">
        <f t="shared" si="1227"/>
        <v>-0.10494450050454085</v>
      </c>
      <c r="BX395" s="52">
        <f t="shared" si="1227"/>
        <v>0.11295681063122931</v>
      </c>
      <c r="BY395" s="52">
        <f t="shared" si="1227"/>
        <v>0.18867924528301883</v>
      </c>
      <c r="BZ395" s="112">
        <f t="shared" si="1227"/>
        <v>0.12353101940420874</v>
      </c>
      <c r="CA395" s="52">
        <f t="shared" ref="CA395" si="1228">+CA394/BV394-1</f>
        <v>4.1095890410958846E-2</v>
      </c>
      <c r="CB395" s="52">
        <f t="shared" ref="CB395:CD395" si="1229">+CB394/BW394-1</f>
        <v>0.24915445321307783</v>
      </c>
      <c r="CC395" s="52">
        <f t="shared" si="1229"/>
        <v>0.13532338308457703</v>
      </c>
      <c r="CD395" s="52">
        <f t="shared" si="1229"/>
        <v>2.7568922305764465E-2</v>
      </c>
      <c r="CE395" s="112">
        <f t="shared" ref="CE395" si="1230">+CE394/BZ394-1</f>
        <v>0.10508392118705911</v>
      </c>
      <c r="CF395" s="52">
        <f t="shared" ref="CF395" si="1231">+CF394/CA394-1</f>
        <v>7.2368421052631637E-2</v>
      </c>
      <c r="CG395" s="52">
        <f t="shared" ref="CG395:CH395" si="1232">+CG394/CB394-1</f>
        <v>0.17599277978339356</v>
      </c>
      <c r="CH395" s="52">
        <f t="shared" si="1232"/>
        <v>4.732690622261182E-2</v>
      </c>
      <c r="CI395" s="52">
        <f t="shared" ref="CI395" si="1233">+CI394/CD394-1</f>
        <v>-3.2520325203252431E-3</v>
      </c>
      <c r="CJ395" s="112">
        <f t="shared" ref="CJ395" si="1234">+CJ394/CE394-1</f>
        <v>7.0878274268104668E-2</v>
      </c>
      <c r="CK395" s="52">
        <f t="shared" ref="CK395:CP395" si="1235">+CK394/CF394-1</f>
        <v>-7.8001752848378625E-2</v>
      </c>
      <c r="CL395" s="52">
        <f t="shared" si="1235"/>
        <v>-5.2954719877206458E-2</v>
      </c>
      <c r="CM395" s="52">
        <f t="shared" si="1235"/>
        <v>-0.11966527196652721</v>
      </c>
      <c r="CN395" s="52">
        <f t="shared" si="1235"/>
        <v>-9.1353996737357224E-2</v>
      </c>
      <c r="CO395" s="112">
        <f t="shared" ref="CO395" si="1236">+CO394/CJ394-1</f>
        <v>-8.4892086330935257E-2</v>
      </c>
      <c r="CP395" s="52">
        <f t="shared" si="1235"/>
        <v>8.5551330798478986E-3</v>
      </c>
      <c r="CQ395" s="52">
        <f t="shared" ref="CQ395:CR395" si="1237">+CQ394/CL394-1</f>
        <v>-6.7260940032414895E-2</v>
      </c>
      <c r="CR395" s="52">
        <f t="shared" si="1237"/>
        <v>-9.5057034220535908E-4</v>
      </c>
      <c r="CS395" s="52">
        <f t="shared" ref="CS395" si="1238">+CS394/CN394-1</f>
        <v>0</v>
      </c>
      <c r="CT395" s="112">
        <f t="shared" ref="CT395" si="1239">+CT394/CO394-1</f>
        <v>-1.6846361185983816E-2</v>
      </c>
      <c r="CU395" s="52">
        <f t="shared" ref="CU395" si="1240">+CU394/CP394-1</f>
        <v>-3.1102733270499505E-2</v>
      </c>
      <c r="CV395" s="52">
        <f t="shared" ref="CV395" si="1241">+CV394/CQ394-1</f>
        <v>-2.4179999999999868E-2</v>
      </c>
      <c r="CW395" s="52">
        <f t="shared" ref="CW395" si="1242">+CW394/CR394-1</f>
        <v>-2.9440000000000133E-2</v>
      </c>
      <c r="CX395" s="52">
        <f t="shared" ref="CX395" si="1243">+CX394/CS394-1</f>
        <v>-5.6240000000000068E-2</v>
      </c>
      <c r="CY395" s="112">
        <f t="shared" ref="CY395" si="1244">+CY394/CT394-1</f>
        <v>-3.5280781357094004E-2</v>
      </c>
      <c r="CZ395" s="52">
        <f t="shared" ref="CZ395" si="1245">+CZ394/CU394-1</f>
        <v>-1.8360000000000043E-2</v>
      </c>
      <c r="DA395" s="52">
        <f t="shared" ref="DA395" si="1246">+DA394/CV394-1</f>
        <v>1.0000000000000009E-2</v>
      </c>
      <c r="DB395" s="52">
        <f t="shared" ref="DB395" si="1247">+DB394/CW394-1</f>
        <v>1.0000000000000009E-2</v>
      </c>
      <c r="DC395" s="52">
        <f t="shared" ref="DC395" si="1248">+DC394/CX394-1</f>
        <v>1.0000000000000009E-2</v>
      </c>
      <c r="DD395" s="112">
        <f t="shared" ref="DD395" si="1249">+DD394/CY394-1</f>
        <v>3.0956648591018432E-3</v>
      </c>
      <c r="DE395" s="52">
        <f t="shared" ref="DE395" si="1250">+DE394/CZ394-1</f>
        <v>2.0000000000000018E-2</v>
      </c>
      <c r="DF395" s="52">
        <f t="shared" ref="DF395" si="1251">+DF394/DA394-1</f>
        <v>2.0000000000000018E-2</v>
      </c>
      <c r="DG395" s="52">
        <f t="shared" ref="DG395" si="1252">+DG394/DB394-1</f>
        <v>2.0000000000000018E-2</v>
      </c>
      <c r="DH395" s="52">
        <f t="shared" ref="DH395" si="1253">+DH394/DC394-1</f>
        <v>2.0000000000000018E-2</v>
      </c>
      <c r="DI395" s="112">
        <f t="shared" ref="DI395" si="1254">+DI394/DD394-1</f>
        <v>2.0000000000000018E-2</v>
      </c>
    </row>
    <row r="396" spans="1:113" ht="12" hidden="1" customHeight="1" outlineLevel="1">
      <c r="A396" s="219" t="str">
        <f t="shared" si="1040"/>
        <v xml:space="preserve"> </v>
      </c>
      <c r="B396" s="491" t="s">
        <v>173</v>
      </c>
      <c r="C396" s="492"/>
      <c r="D396" s="522"/>
      <c r="E396" s="492"/>
      <c r="F396" s="522"/>
      <c r="G396" s="492"/>
      <c r="H396" s="522"/>
      <c r="I396" s="492"/>
      <c r="J396" s="522"/>
      <c r="K396" s="492"/>
      <c r="L396" s="522"/>
      <c r="M396" s="492"/>
      <c r="N396" s="522"/>
      <c r="O396" s="492"/>
      <c r="P396" s="522"/>
      <c r="Q396" s="492"/>
      <c r="R396" s="378" t="s">
        <v>126</v>
      </c>
      <c r="S396" s="522" t="s">
        <v>126</v>
      </c>
      <c r="T396" s="522" t="s">
        <v>126</v>
      </c>
      <c r="U396" s="522" t="s">
        <v>126</v>
      </c>
      <c r="V396" s="492" t="s">
        <v>126</v>
      </c>
      <c r="W396" s="378" t="s">
        <v>126</v>
      </c>
      <c r="X396" s="522" t="s">
        <v>126</v>
      </c>
      <c r="Y396" s="522" t="s">
        <v>126</v>
      </c>
      <c r="Z396" s="522" t="s">
        <v>126</v>
      </c>
      <c r="AA396" s="492" t="s">
        <v>126</v>
      </c>
      <c r="AB396" s="492"/>
      <c r="AC396" s="378" t="s">
        <v>126</v>
      </c>
      <c r="AD396" s="522" t="s">
        <v>126</v>
      </c>
      <c r="AE396" s="522" t="s">
        <v>126</v>
      </c>
      <c r="AF396" s="522" t="s">
        <v>126</v>
      </c>
      <c r="AG396" s="492" t="s">
        <v>126</v>
      </c>
      <c r="AH396" s="378" t="s">
        <v>126</v>
      </c>
      <c r="AI396" s="522" t="s">
        <v>126</v>
      </c>
      <c r="AJ396" s="522" t="s">
        <v>126</v>
      </c>
      <c r="AK396" s="522" t="s">
        <v>126</v>
      </c>
      <c r="AL396" s="492" t="s">
        <v>126</v>
      </c>
      <c r="AM396" s="378" t="s">
        <v>126</v>
      </c>
      <c r="AN396" s="522" t="s">
        <v>126</v>
      </c>
      <c r="AO396" s="522" t="s">
        <v>126</v>
      </c>
      <c r="AP396" s="522" t="s">
        <v>126</v>
      </c>
      <c r="AQ396" s="492" t="s">
        <v>126</v>
      </c>
      <c r="AR396" s="378" t="s">
        <v>126</v>
      </c>
      <c r="AS396" s="522" t="s">
        <v>126</v>
      </c>
      <c r="AT396" s="522" t="s">
        <v>126</v>
      </c>
      <c r="AU396" s="522" t="s">
        <v>126</v>
      </c>
      <c r="AV396" s="492" t="s">
        <v>126</v>
      </c>
      <c r="AW396" s="52">
        <v>0.13</v>
      </c>
      <c r="AX396" s="52">
        <v>0.14000000000000001</v>
      </c>
      <c r="AY396" s="52">
        <v>0.15</v>
      </c>
      <c r="AZ396" s="52">
        <v>0.2</v>
      </c>
      <c r="BA396" s="112">
        <v>0.16</v>
      </c>
      <c r="BB396" s="52">
        <v>0.06</v>
      </c>
      <c r="BC396" s="52">
        <v>0.09</v>
      </c>
      <c r="BD396" s="463">
        <v>0.12</v>
      </c>
      <c r="BE396" s="114">
        <v>0.11</v>
      </c>
      <c r="BF396" s="112">
        <f>SUMPRODUCT(BB396:BE396,AW394:AZ394)/BA394</f>
        <v>9.5406392694063924E-2</v>
      </c>
      <c r="BG396" s="114">
        <v>0.14000000000000001</v>
      </c>
      <c r="BH396" s="114">
        <v>0.14000000000000001</v>
      </c>
      <c r="BI396" s="114">
        <v>0.13</v>
      </c>
      <c r="BJ396" s="114">
        <v>0.09</v>
      </c>
      <c r="BK396" s="112">
        <f>SUMPRODUCT(BG396:BJ396,BB394:BE394)/BF394</f>
        <v>0.12366713286713286</v>
      </c>
      <c r="BL396" s="114">
        <v>0.12</v>
      </c>
      <c r="BM396" s="114">
        <v>0.19</v>
      </c>
      <c r="BN396" s="114">
        <v>0.11</v>
      </c>
      <c r="BO396" s="114">
        <v>-0.38</v>
      </c>
      <c r="BP396" s="112">
        <f>SUMPRODUCT(BL396:BO396,BG394:BJ394)/BK394</f>
        <v>2.9210381004969744E-3</v>
      </c>
      <c r="BQ396" s="114">
        <v>-0.12</v>
      </c>
      <c r="BR396" s="114">
        <v>0.05</v>
      </c>
      <c r="BS396" s="114">
        <v>-7.0000000000000007E-2</v>
      </c>
      <c r="BT396" s="114">
        <v>0.75</v>
      </c>
      <c r="BU396" s="112">
        <f>SUMPRODUCT(BQ396:BT396,BL394:BO394)/BP394</f>
        <v>8.4108437228182092E-2</v>
      </c>
      <c r="BV396" s="114">
        <v>0.33</v>
      </c>
      <c r="BW396" s="114">
        <v>-0.08</v>
      </c>
      <c r="BX396" s="114">
        <v>0.2</v>
      </c>
      <c r="BY396" s="114">
        <v>0.28000000000000003</v>
      </c>
      <c r="BZ396" s="112">
        <f>SUMPRODUCT(BV396:BY396,BQ394:BT394)/BU394</f>
        <v>0.17311287236949988</v>
      </c>
      <c r="CA396" s="114">
        <v>0.15</v>
      </c>
      <c r="CB396" s="114">
        <v>0.4</v>
      </c>
      <c r="CC396" s="114">
        <v>0.2</v>
      </c>
      <c r="CD396" s="114">
        <v>7.0000000000000007E-2</v>
      </c>
      <c r="CE396" s="112">
        <f>SUMPRODUCT(CA396:CD396,BV394:BY394)/BZ394</f>
        <v>0.19287034784723911</v>
      </c>
      <c r="CF396" s="114">
        <v>7.0000000000000007E-2</v>
      </c>
      <c r="CG396" s="114">
        <v>0.15</v>
      </c>
      <c r="CH396" s="114">
        <v>0.05</v>
      </c>
      <c r="CI396" s="114">
        <v>0.03</v>
      </c>
      <c r="CJ396" s="112">
        <f>SUMPRODUCT(CF396:CI396,CA394:CD394)/CE394</f>
        <v>7.3658375522782302E-2</v>
      </c>
      <c r="CK396" s="114">
        <v>-0.03</v>
      </c>
      <c r="CL396" s="114">
        <v>-0.04</v>
      </c>
      <c r="CM396" s="114">
        <v>-0.05</v>
      </c>
      <c r="CN396" s="114">
        <v>-0.05</v>
      </c>
      <c r="CO396" s="112">
        <f>SUMPRODUCT(CK396:CN396,CF394:CI394)/CJ394</f>
        <v>-4.2631038026721482E-2</v>
      </c>
      <c r="CP396" s="114">
        <v>0</v>
      </c>
      <c r="CQ396" s="114">
        <v>-7.0000000000000007E-2</v>
      </c>
      <c r="CR396" s="114">
        <v>-0.03</v>
      </c>
      <c r="CS396" s="114">
        <v>-0.02</v>
      </c>
      <c r="CT396" s="112">
        <f>SUMPRODUCT(CP396:CS396,CK394:CN394)/CO394</f>
        <v>-3.149595687331537E-2</v>
      </c>
      <c r="CU396" s="114">
        <v>-0.01</v>
      </c>
      <c r="CV396" s="53">
        <v>-0.03</v>
      </c>
      <c r="CW396" s="53">
        <v>-0.04</v>
      </c>
      <c r="CX396" s="53">
        <v>-0.06</v>
      </c>
      <c r="CY396" s="112">
        <f>SUMPRODUCT(CU396:CX396,CP394:CS394)/CT394</f>
        <v>-3.5188485263879375E-2</v>
      </c>
      <c r="CZ396" s="53">
        <v>-0.03</v>
      </c>
      <c r="DA396" s="53">
        <v>0.01</v>
      </c>
      <c r="DB396" s="53">
        <v>0.01</v>
      </c>
      <c r="DC396" s="53">
        <v>0.01</v>
      </c>
      <c r="DD396" s="112">
        <f>SUMPRODUCT(CZ396:DC396,CU394:CX394)/CY394</f>
        <v>2.6186863060904681E-4</v>
      </c>
      <c r="DE396" s="53">
        <v>0.02</v>
      </c>
      <c r="DF396" s="53">
        <v>0.02</v>
      </c>
      <c r="DG396" s="53">
        <v>0.02</v>
      </c>
      <c r="DH396" s="53">
        <v>0.02</v>
      </c>
      <c r="DI396" s="112">
        <f>SUMPRODUCT(DE396:DH396,CZ394:DC394)/DD394</f>
        <v>0.02</v>
      </c>
    </row>
    <row r="397" spans="1:113" ht="12" hidden="1" customHeight="1" outlineLevel="1">
      <c r="A397" s="219" t="str">
        <f t="shared" si="1040"/>
        <v xml:space="preserve"> </v>
      </c>
      <c r="B397" s="611" t="s">
        <v>142</v>
      </c>
      <c r="C397" s="492"/>
      <c r="D397" s="522"/>
      <c r="E397" s="492"/>
      <c r="F397" s="522"/>
      <c r="G397" s="492"/>
      <c r="H397" s="522"/>
      <c r="I397" s="492"/>
      <c r="J397" s="522"/>
      <c r="K397" s="492"/>
      <c r="L397" s="522"/>
      <c r="M397" s="492"/>
      <c r="N397" s="522"/>
      <c r="O397" s="492"/>
      <c r="P397" s="522"/>
      <c r="Q397" s="492"/>
      <c r="R397" s="378" t="s">
        <v>126</v>
      </c>
      <c r="S397" s="522" t="s">
        <v>126</v>
      </c>
      <c r="T397" s="522" t="s">
        <v>126</v>
      </c>
      <c r="U397" s="522" t="s">
        <v>126</v>
      </c>
      <c r="V397" s="492" t="s">
        <v>126</v>
      </c>
      <c r="W397" s="378" t="s">
        <v>126</v>
      </c>
      <c r="X397" s="522" t="s">
        <v>126</v>
      </c>
      <c r="Y397" s="522" t="s">
        <v>126</v>
      </c>
      <c r="Z397" s="522" t="s">
        <v>126</v>
      </c>
      <c r="AA397" s="492" t="s">
        <v>126</v>
      </c>
      <c r="AB397" s="492"/>
      <c r="AC397" s="378" t="s">
        <v>126</v>
      </c>
      <c r="AD397" s="522" t="s">
        <v>126</v>
      </c>
      <c r="AE397" s="522" t="s">
        <v>126</v>
      </c>
      <c r="AF397" s="522" t="s">
        <v>126</v>
      </c>
      <c r="AG397" s="492" t="s">
        <v>126</v>
      </c>
      <c r="AH397" s="378" t="s">
        <v>126</v>
      </c>
      <c r="AI397" s="522" t="s">
        <v>126</v>
      </c>
      <c r="AJ397" s="522" t="s">
        <v>126</v>
      </c>
      <c r="AK397" s="522" t="s">
        <v>126</v>
      </c>
      <c r="AL397" s="492" t="s">
        <v>126</v>
      </c>
      <c r="AM397" s="378" t="s">
        <v>126</v>
      </c>
      <c r="AN397" s="522" t="s">
        <v>126</v>
      </c>
      <c r="AO397" s="522" t="s">
        <v>126</v>
      </c>
      <c r="AP397" s="522" t="s">
        <v>126</v>
      </c>
      <c r="AQ397" s="492" t="s">
        <v>126</v>
      </c>
      <c r="AR397" s="378" t="s">
        <v>126</v>
      </c>
      <c r="AS397" s="522" t="s">
        <v>126</v>
      </c>
      <c r="AT397" s="522" t="s">
        <v>126</v>
      </c>
      <c r="AU397" s="522" t="s">
        <v>126</v>
      </c>
      <c r="AV397" s="492" t="s">
        <v>126</v>
      </c>
      <c r="AW397" s="378" t="s">
        <v>126</v>
      </c>
      <c r="AX397" s="522" t="s">
        <v>126</v>
      </c>
      <c r="AY397" s="522" t="s">
        <v>126</v>
      </c>
      <c r="AZ397" s="522" t="s">
        <v>126</v>
      </c>
      <c r="BA397" s="492" t="s">
        <v>126</v>
      </c>
      <c r="BB397" s="52">
        <v>0.06</v>
      </c>
      <c r="BC397" s="52">
        <v>7.0000000000000007E-2</v>
      </c>
      <c r="BD397" s="376">
        <v>0.06</v>
      </c>
      <c r="BE397" s="52">
        <f>((BF397*SUM(AW394:AZ394))-BB397*AW394-BC397*AX394-BD397*AY394)/AZ394</f>
        <v>1.4562569213732003E-2</v>
      </c>
      <c r="BF397" s="112">
        <v>0.05</v>
      </c>
      <c r="BG397" s="114">
        <v>0.09</v>
      </c>
      <c r="BH397" s="52">
        <v>7.0000000000000007E-2</v>
      </c>
      <c r="BI397" s="114">
        <v>7.0000000000000007E-2</v>
      </c>
      <c r="BJ397" s="52">
        <f>((BK397*SUM(BB394:BE394))-BG397*BB394-BH397*BC394-BI397*BD394)/BE394</f>
        <v>1.7235116044399573E-2</v>
      </c>
      <c r="BK397" s="112">
        <v>0.06</v>
      </c>
      <c r="BL397" s="52">
        <v>-0.02</v>
      </c>
      <c r="BM397" s="52">
        <v>0.05</v>
      </c>
      <c r="BN397" s="52">
        <v>0</v>
      </c>
      <c r="BO397" s="52">
        <f>((BP397*SUM(BG394:BJ394))-BL397*BG394-BM397*BH394-BN397*BI394)/BJ394</f>
        <v>-0.48370409233997896</v>
      </c>
      <c r="BP397" s="112">
        <v>-0.12</v>
      </c>
      <c r="BQ397" s="52">
        <v>-0.24</v>
      </c>
      <c r="BR397" s="114">
        <v>-0.06</v>
      </c>
      <c r="BS397" s="114">
        <v>-0.23</v>
      </c>
      <c r="BT397" s="52">
        <f>((BU397*SUM(BL394:BO394))-BQ397*BL394-BR397*BM394-BS397*BN394)/BO394</f>
        <v>0.594025044722719</v>
      </c>
      <c r="BU397" s="112">
        <v>-0.05</v>
      </c>
      <c r="BV397" s="52">
        <v>0.19</v>
      </c>
      <c r="BW397" s="114">
        <v>-0.25</v>
      </c>
      <c r="BX397" s="114">
        <v>0.09</v>
      </c>
      <c r="BY397" s="52">
        <f>((BZ397*SUM(BQ394:BT394))-BV397*BQ394-BW397*BR394-BX397*BS394)/BT394</f>
        <v>9.4975173783515388E-2</v>
      </c>
      <c r="BZ397" s="112">
        <v>0.02</v>
      </c>
      <c r="CA397" s="52">
        <v>0.01</v>
      </c>
      <c r="CB397" s="114">
        <v>0.38</v>
      </c>
      <c r="CC397" s="114">
        <v>0.14000000000000001</v>
      </c>
      <c r="CD397" s="52">
        <f>((CE397*SUM(BV394:BY394))-CA397*BV394-CB397*BW394-CC397*BX394)/BY394</f>
        <v>0.14183792815371757</v>
      </c>
      <c r="CE397" s="112">
        <v>0.16</v>
      </c>
      <c r="CF397" s="114">
        <v>7.0000000000000007E-2</v>
      </c>
      <c r="CG397" s="114">
        <v>0.1</v>
      </c>
      <c r="CH397" s="114">
        <v>0.04</v>
      </c>
      <c r="CI397" s="52">
        <f>((CJ397*SUM(CA394:CD394))-CF397*CA394-CG397*CB394-CH397*CC394)/CD394</f>
        <v>3.3869918699186957E-2</v>
      </c>
      <c r="CJ397" s="112">
        <v>0.06</v>
      </c>
      <c r="CK397" s="114">
        <v>-0.04</v>
      </c>
      <c r="CL397" s="114">
        <v>-0.02</v>
      </c>
      <c r="CM397" s="114">
        <v>-0.02</v>
      </c>
      <c r="CN397" s="52">
        <f>((CO397*SUM(CF394:CI394))-CK397*CF394-CL397*CG394-CM397*CH394)/CI394</f>
        <v>-1.386623164763452E-3</v>
      </c>
      <c r="CO397" s="112">
        <v>-0.02</v>
      </c>
      <c r="CP397" s="114">
        <v>0.05</v>
      </c>
      <c r="CQ397" s="114">
        <v>-7.0000000000000007E-2</v>
      </c>
      <c r="CR397" s="114">
        <v>-0.03</v>
      </c>
      <c r="CS397" s="52">
        <f>((CT397*SUM(CK394:CN394))-CP397*CK394-CQ397*CL394-CR397*CM394)/CN394</f>
        <v>-6.1238779174147204E-2</v>
      </c>
      <c r="CT397" s="112">
        <v>-0.03</v>
      </c>
      <c r="CU397" s="114"/>
      <c r="CV397" s="52"/>
      <c r="CW397" s="52"/>
      <c r="CX397" s="52"/>
      <c r="CY397" s="112"/>
      <c r="CZ397" s="52"/>
      <c r="DA397" s="52"/>
      <c r="DB397" s="52"/>
      <c r="DC397" s="52"/>
      <c r="DD397" s="112"/>
      <c r="DE397" s="52"/>
      <c r="DF397" s="52"/>
      <c r="DG397" s="52"/>
      <c r="DH397" s="52"/>
      <c r="DI397" s="112"/>
    </row>
    <row r="398" spans="1:113" ht="12" hidden="1" customHeight="1" outlineLevel="1">
      <c r="A398" s="219" t="str">
        <f t="shared" si="1040"/>
        <v xml:space="preserve"> </v>
      </c>
      <c r="B398" s="611" t="s">
        <v>143</v>
      </c>
      <c r="C398" s="492"/>
      <c r="D398" s="522"/>
      <c r="E398" s="492"/>
      <c r="F398" s="522"/>
      <c r="G398" s="492"/>
      <c r="H398" s="522"/>
      <c r="I398" s="492"/>
      <c r="J398" s="522"/>
      <c r="K398" s="492"/>
      <c r="L398" s="522"/>
      <c r="M398" s="492"/>
      <c r="N398" s="522"/>
      <c r="O398" s="492"/>
      <c r="P398" s="522"/>
      <c r="Q398" s="492"/>
      <c r="R398" s="378" t="s">
        <v>126</v>
      </c>
      <c r="S398" s="522" t="s">
        <v>126</v>
      </c>
      <c r="T398" s="522" t="s">
        <v>126</v>
      </c>
      <c r="U398" s="522" t="s">
        <v>126</v>
      </c>
      <c r="V398" s="492" t="s">
        <v>126</v>
      </c>
      <c r="W398" s="378" t="s">
        <v>126</v>
      </c>
      <c r="X398" s="522" t="s">
        <v>126</v>
      </c>
      <c r="Y398" s="522" t="s">
        <v>126</v>
      </c>
      <c r="Z398" s="522" t="s">
        <v>126</v>
      </c>
      <c r="AA398" s="492" t="s">
        <v>126</v>
      </c>
      <c r="AB398" s="492"/>
      <c r="AC398" s="378" t="s">
        <v>126</v>
      </c>
      <c r="AD398" s="522" t="s">
        <v>126</v>
      </c>
      <c r="AE398" s="522" t="s">
        <v>126</v>
      </c>
      <c r="AF398" s="522" t="s">
        <v>126</v>
      </c>
      <c r="AG398" s="492" t="s">
        <v>126</v>
      </c>
      <c r="AH398" s="378" t="s">
        <v>126</v>
      </c>
      <c r="AI398" s="522" t="s">
        <v>126</v>
      </c>
      <c r="AJ398" s="522" t="s">
        <v>126</v>
      </c>
      <c r="AK398" s="522" t="s">
        <v>126</v>
      </c>
      <c r="AL398" s="492" t="s">
        <v>126</v>
      </c>
      <c r="AM398" s="378" t="s">
        <v>126</v>
      </c>
      <c r="AN398" s="522" t="s">
        <v>126</v>
      </c>
      <c r="AO398" s="522" t="s">
        <v>126</v>
      </c>
      <c r="AP398" s="522" t="s">
        <v>126</v>
      </c>
      <c r="AQ398" s="492" t="s">
        <v>126</v>
      </c>
      <c r="AR398" s="378" t="s">
        <v>126</v>
      </c>
      <c r="AS398" s="522" t="s">
        <v>126</v>
      </c>
      <c r="AT398" s="522" t="s">
        <v>126</v>
      </c>
      <c r="AU398" s="522" t="s">
        <v>126</v>
      </c>
      <c r="AV398" s="492" t="s">
        <v>126</v>
      </c>
      <c r="AW398" s="378" t="s">
        <v>126</v>
      </c>
      <c r="AX398" s="522" t="s">
        <v>126</v>
      </c>
      <c r="AY398" s="522" t="s">
        <v>126</v>
      </c>
      <c r="AZ398" s="522" t="s">
        <v>126</v>
      </c>
      <c r="BA398" s="492" t="s">
        <v>126</v>
      </c>
      <c r="BB398" s="52">
        <v>0</v>
      </c>
      <c r="BC398" s="52">
        <v>0.02</v>
      </c>
      <c r="BD398" s="376">
        <v>0.06</v>
      </c>
      <c r="BE398" s="52">
        <f>((BF398*SUM(AW394:AZ394))-BB398*AW394-BC398*AX394-BD398*AY394)/AZ394</f>
        <v>7.5769656699889276E-2</v>
      </c>
      <c r="BF398" s="112">
        <v>0.04</v>
      </c>
      <c r="BG398" s="114">
        <v>0.05</v>
      </c>
      <c r="BH398" s="52">
        <v>7.0000000000000007E-2</v>
      </c>
      <c r="BI398" s="114">
        <v>0.06</v>
      </c>
      <c r="BJ398" s="52">
        <f>((BK398*SUM(BB394:BE394))-BG398*BB394-BH398*BC394-BI398*BD394)/BE394</f>
        <v>5.9535822401614522E-2</v>
      </c>
      <c r="BK398" s="112">
        <v>0.06</v>
      </c>
      <c r="BL398" s="52">
        <v>0.14000000000000001</v>
      </c>
      <c r="BM398" s="52">
        <v>0.14000000000000001</v>
      </c>
      <c r="BN398" s="52">
        <v>0.11</v>
      </c>
      <c r="BO398" s="52">
        <f>((BP398*SUM(BG394:BJ394))-BL398*BG394-BM398*BH394-BN398*BI394)/BJ394</f>
        <v>9.2602308499475303E-2</v>
      </c>
      <c r="BP398" s="112">
        <v>0.12</v>
      </c>
      <c r="BQ398" s="52">
        <v>0.12</v>
      </c>
      <c r="BR398" s="114">
        <v>0.11</v>
      </c>
      <c r="BS398" s="114">
        <v>0.16</v>
      </c>
      <c r="BT398" s="52">
        <f>((BU398*SUM(BL394:BO394))-BQ398*BL394-BR398*BM394-BS398*BN394)/BO394</f>
        <v>0.13062611806797844</v>
      </c>
      <c r="BU398" s="112">
        <v>0.13</v>
      </c>
      <c r="BV398" s="52">
        <v>0.14000000000000001</v>
      </c>
      <c r="BW398" s="114">
        <v>0.15</v>
      </c>
      <c r="BX398" s="114">
        <v>0.11</v>
      </c>
      <c r="BY398" s="52">
        <f>((BZ398*SUM(BQ394:BT394))-BV398*BQ394-BW398*BR394-BX398*BS394)/BT394</f>
        <v>0.19339622641509441</v>
      </c>
      <c r="BZ398" s="112">
        <v>0.15</v>
      </c>
      <c r="CA398" s="52">
        <v>0.14000000000000001</v>
      </c>
      <c r="CB398" s="114">
        <v>0.02</v>
      </c>
      <c r="CC398" s="114">
        <v>0.06</v>
      </c>
      <c r="CD398" s="52">
        <f>((CE398*SUM(BV394:BY394))-CA398*BV394-CB398*BW394-CC398*BX394)/BY394</f>
        <v>-8.1695906432748558E-2</v>
      </c>
      <c r="CE398" s="112">
        <v>0.03</v>
      </c>
      <c r="CF398" s="218">
        <v>2.5000000000000001E-3</v>
      </c>
      <c r="CG398" s="114">
        <v>0.05</v>
      </c>
      <c r="CH398" s="114">
        <v>0.01</v>
      </c>
      <c r="CI398" s="52">
        <f>((CJ398*SUM(CA394:CD394))-CF398*CA394-CG398*CB394-CH398*CC394)/CD394</f>
        <v>-1.9544715447154481E-2</v>
      </c>
      <c r="CJ398" s="112">
        <v>0.01</v>
      </c>
      <c r="CK398" s="114">
        <v>0.01</v>
      </c>
      <c r="CL398" s="114">
        <v>-0.02</v>
      </c>
      <c r="CM398" s="114">
        <v>-0.03</v>
      </c>
      <c r="CN398" s="52">
        <f>((CO398*SUM(CF394:CI394))-CK398*CF394-CL398*CG394-CM398*CH394)/CI394</f>
        <v>-3.8172920065252844E-2</v>
      </c>
      <c r="CO398" s="112">
        <v>-0.02</v>
      </c>
      <c r="CP398" s="114">
        <v>-0.05</v>
      </c>
      <c r="CQ398" s="114">
        <v>0</v>
      </c>
      <c r="CR398" s="114">
        <v>0</v>
      </c>
      <c r="CS398" s="52">
        <f>((CT398*SUM(CK394:CN394))-CP398*CK394-CQ398*CL394-CR398*CM394)/CN394</f>
        <v>4.7217235188509878E-2</v>
      </c>
      <c r="CT398" s="112">
        <v>0</v>
      </c>
      <c r="CU398" s="114"/>
      <c r="CV398" s="52"/>
      <c r="CW398" s="52"/>
      <c r="CX398" s="52"/>
      <c r="CY398" s="112"/>
      <c r="CZ398" s="52"/>
      <c r="DA398" s="52"/>
      <c r="DB398" s="52"/>
      <c r="DC398" s="52"/>
      <c r="DD398" s="112"/>
      <c r="DE398" s="52"/>
      <c r="DF398" s="52"/>
      <c r="DG398" s="52"/>
      <c r="DH398" s="52"/>
      <c r="DI398" s="112"/>
    </row>
    <row r="399" spans="1:113" ht="12" hidden="1" customHeight="1" outlineLevel="1">
      <c r="A399" s="219" t="str">
        <f t="shared" si="1040"/>
        <v xml:space="preserve"> </v>
      </c>
      <c r="B399" s="491" t="s">
        <v>141</v>
      </c>
      <c r="C399" s="492"/>
      <c r="D399" s="522"/>
      <c r="E399" s="492"/>
      <c r="F399" s="522"/>
      <c r="G399" s="492"/>
      <c r="H399" s="522"/>
      <c r="I399" s="492"/>
      <c r="J399" s="522"/>
      <c r="K399" s="492"/>
      <c r="L399" s="522"/>
      <c r="M399" s="492"/>
      <c r="N399" s="522"/>
      <c r="O399" s="492"/>
      <c r="P399" s="522"/>
      <c r="Q399" s="492"/>
      <c r="R399" s="378" t="s">
        <v>126</v>
      </c>
      <c r="S399" s="522" t="s">
        <v>126</v>
      </c>
      <c r="T399" s="522" t="s">
        <v>126</v>
      </c>
      <c r="U399" s="522" t="s">
        <v>126</v>
      </c>
      <c r="V399" s="492" t="s">
        <v>126</v>
      </c>
      <c r="W399" s="376"/>
      <c r="X399" s="376"/>
      <c r="Y399" s="376"/>
      <c r="Z399" s="376"/>
      <c r="AA399" s="375"/>
      <c r="AB399" s="375"/>
      <c r="AC399" s="376"/>
      <c r="AD399" s="376"/>
      <c r="AE399" s="376"/>
      <c r="AF399" s="376"/>
      <c r="AG399" s="375"/>
      <c r="AH399" s="376"/>
      <c r="AI399" s="376"/>
      <c r="AJ399" s="376"/>
      <c r="AK399" s="376"/>
      <c r="AL399" s="375"/>
      <c r="AM399" s="376"/>
      <c r="AN399" s="376"/>
      <c r="AO399" s="376"/>
      <c r="AP399" s="376"/>
      <c r="AQ399" s="375"/>
      <c r="AR399" s="376"/>
      <c r="AS399" s="376"/>
      <c r="AT399" s="376"/>
      <c r="AU399" s="376"/>
      <c r="AV399" s="375"/>
      <c r="AW399" s="52">
        <f>(1+AW395)/(1+AW396)-1</f>
        <v>-7.0146626180039418E-2</v>
      </c>
      <c r="AX399" s="52">
        <f t="shared" ref="AX399:BG399" si="1255">(1+AX395)/(1+AX396)-1</f>
        <v>-3.5559328428598547E-2</v>
      </c>
      <c r="AY399" s="52">
        <f t="shared" si="1255"/>
        <v>-2.6437789750657692E-2</v>
      </c>
      <c r="AZ399" s="52">
        <f t="shared" si="1255"/>
        <v>1.2786002691790088E-2</v>
      </c>
      <c r="BA399" s="112">
        <f t="shared" si="1255"/>
        <v>-3.3482405554901784E-2</v>
      </c>
      <c r="BB399" s="52">
        <f t="shared" si="1255"/>
        <v>-8.6547913020547096E-3</v>
      </c>
      <c r="BC399" s="52">
        <f t="shared" si="1255"/>
        <v>-2.0883335950292792E-2</v>
      </c>
      <c r="BD399" s="52">
        <f t="shared" si="1255"/>
        <v>1.5811730097444299E-2</v>
      </c>
      <c r="BE399" s="52">
        <f t="shared" si="1255"/>
        <v>-1.1303662466453201E-2</v>
      </c>
      <c r="BF399" s="232">
        <f>(1+BF395)/(1+BF396)-1</f>
        <v>-6.50565110701673E-3</v>
      </c>
      <c r="BG399" s="114">
        <f t="shared" si="1255"/>
        <v>-6.5529603937292014E-2</v>
      </c>
      <c r="BH399" s="52">
        <f>+BH392</f>
        <v>-0.11335769664264483</v>
      </c>
      <c r="BI399" s="114">
        <f>+BI392</f>
        <v>-9.5827107200177175E-2</v>
      </c>
      <c r="BJ399" s="114">
        <f>(1+BJ395)/(1+BJ396)-1</f>
        <v>-0.11774780362713966</v>
      </c>
      <c r="BK399" s="232">
        <f>(1+BK395)/(1+BK396)-1</f>
        <v>-9.8356778878347928E-2</v>
      </c>
      <c r="BL399" s="114">
        <f t="shared" ref="BL399:BN399" si="1256">(1+BL395)/(1+BL396)-1</f>
        <v>-5.7483379276795921E-2</v>
      </c>
      <c r="BM399" s="114">
        <f t="shared" si="1256"/>
        <v>-4.6854236575176178E-2</v>
      </c>
      <c r="BN399" s="114">
        <f t="shared" si="1256"/>
        <v>-4.5580233699045625E-2</v>
      </c>
      <c r="BO399" s="114">
        <f>(1+BO395)/(1+BO396)-1</f>
        <v>-5.3921402701147536E-2</v>
      </c>
      <c r="BP399" s="232">
        <f>(1+BP395)/(1+BP396)-1</f>
        <v>-5.0537083835731078E-2</v>
      </c>
      <c r="BQ399" s="114">
        <f t="shared" ref="BQ399:BS399" si="1257">(1+BQ395)/(1+BQ396)-1</f>
        <v>-7.3802541544477074E-2</v>
      </c>
      <c r="BR399" s="114">
        <f t="shared" si="1257"/>
        <v>-5.3350527773797674E-2</v>
      </c>
      <c r="BS399" s="114">
        <f t="shared" si="1257"/>
        <v>8.2738753224131933E-3</v>
      </c>
      <c r="BT399" s="114">
        <f>(1+BT395)/(1+BT396)-1</f>
        <v>2.9389215435726923E-2</v>
      </c>
      <c r="BU399" s="232">
        <f>(1+BU395)/(1+BU396)-1</f>
        <v>-2.1419650235752541E-2</v>
      </c>
      <c r="BV399" s="114">
        <f t="shared" ref="BV399:BX399" si="1258">(1+BV395)/(1+BV396)-1</f>
        <v>1.3748090542980096E-2</v>
      </c>
      <c r="BW399" s="114">
        <f t="shared" si="1258"/>
        <v>-2.7113587504935754E-2</v>
      </c>
      <c r="BX399" s="114">
        <f t="shared" si="1258"/>
        <v>-7.2535991140642242E-2</v>
      </c>
      <c r="BY399" s="114">
        <f>(1+BY395)/(1+BY396)-1</f>
        <v>-7.1344339622641528E-2</v>
      </c>
      <c r="BZ399" s="232">
        <f>(1+BZ395)/(1+BZ396)-1</f>
        <v>-4.2265202380009526E-2</v>
      </c>
      <c r="CA399" s="114">
        <f t="shared" ref="CA399:CC399" si="1259">(1+CA395)/(1+CA396)-1</f>
        <v>-9.4699225729600989E-2</v>
      </c>
      <c r="CB399" s="114">
        <f t="shared" si="1259"/>
        <v>-0.1077468191335158</v>
      </c>
      <c r="CC399" s="114">
        <f t="shared" si="1259"/>
        <v>-5.3897180762852437E-2</v>
      </c>
      <c r="CD399" s="114">
        <f>(1+CD395)/(1+CD396)-1</f>
        <v>-3.9655212798351047E-2</v>
      </c>
      <c r="CE399" s="232">
        <f>(1+CE395)/(1+CE396)-1</f>
        <v>-7.3592596897565032E-2</v>
      </c>
      <c r="CF399" s="52">
        <f t="shared" ref="CF399:CH399" si="1260">(1+CF395)/(1+CF396)-1</f>
        <v>2.2134776192819228E-3</v>
      </c>
      <c r="CG399" s="114">
        <f t="shared" si="1260"/>
        <v>2.2602417202951086E-2</v>
      </c>
      <c r="CH399" s="114">
        <f t="shared" si="1260"/>
        <v>-2.5458035975125526E-3</v>
      </c>
      <c r="CI399" s="52">
        <f>(1+CI395)/(1+CI396)-1</f>
        <v>-3.2283526718762445E-2</v>
      </c>
      <c r="CJ399" s="232">
        <f>(1+CJ395)/(1+CJ396)-1</f>
        <v>-2.5893722976118028E-3</v>
      </c>
      <c r="CK399" s="52">
        <f t="shared" ref="CK399:CP399" si="1261">(1+CK395)/(1+CK396)-1</f>
        <v>-4.9486343142658318E-2</v>
      </c>
      <c r="CL399" s="114">
        <f t="shared" si="1261"/>
        <v>-1.349449987209006E-2</v>
      </c>
      <c r="CM399" s="114">
        <f t="shared" si="1261"/>
        <v>-7.3331865227923343E-2</v>
      </c>
      <c r="CN399" s="114">
        <f t="shared" si="1261"/>
        <v>-4.3530522881428557E-2</v>
      </c>
      <c r="CO399" s="232">
        <f>(1+CO395)/(1+CO396)-1</f>
        <v>-4.4142906217794486E-2</v>
      </c>
      <c r="CP399" s="52">
        <f t="shared" si="1261"/>
        <v>8.5551330798478986E-3</v>
      </c>
      <c r="CQ399" s="52">
        <f>+CQ392</f>
        <v>-4.3243501529051098E-3</v>
      </c>
      <c r="CR399" s="52">
        <f>+CR392</f>
        <v>3.4291267527419178E-2</v>
      </c>
      <c r="CS399" s="114">
        <f t="shared" ref="CS399" si="1262">(1+CS395)/(1+CS396)-1</f>
        <v>2.0408163265306145E-2</v>
      </c>
      <c r="CT399" s="232">
        <f>(1+CT395)/(1+CT396)-1</f>
        <v>1.5126003645826058E-2</v>
      </c>
      <c r="CU399" s="52">
        <f t="shared" ref="CU399" si="1263">(1+CU395)/(1+CU396)-1</f>
        <v>-2.1315892192423691E-2</v>
      </c>
      <c r="CV399" s="52">
        <f>+CV392</f>
        <v>6.0000000000000001E-3</v>
      </c>
      <c r="CW399" s="52">
        <f>+CW392</f>
        <v>1.0999999999999999E-2</v>
      </c>
      <c r="CX399" s="52">
        <f>+CX392</f>
        <v>4.0000000000000001E-3</v>
      </c>
      <c r="CY399" s="232">
        <f>(1+CY395)/(1+CY396)-1</f>
        <v>-9.5662304817945021E-5</v>
      </c>
      <c r="CZ399" s="52">
        <f>+CZ392</f>
        <v>1.2E-2</v>
      </c>
      <c r="DA399" s="52">
        <f>+DA392</f>
        <v>0</v>
      </c>
      <c r="DB399" s="52">
        <f>+DB392</f>
        <v>0</v>
      </c>
      <c r="DC399" s="52">
        <f>+DC392</f>
        <v>0</v>
      </c>
      <c r="DD399" s="232">
        <f>(1+DD395)/(1+DD396)-1</f>
        <v>2.8330543404322395E-3</v>
      </c>
      <c r="DE399" s="52">
        <f>+DE392</f>
        <v>0</v>
      </c>
      <c r="DF399" s="52">
        <f>+DF392</f>
        <v>0</v>
      </c>
      <c r="DG399" s="52">
        <f>+DG392</f>
        <v>0</v>
      </c>
      <c r="DH399" s="52">
        <f>+DH392</f>
        <v>0</v>
      </c>
      <c r="DI399" s="232">
        <f>(1+DI395)/(1+DI396)-1</f>
        <v>0</v>
      </c>
    </row>
    <row r="400" spans="1:113" ht="12" hidden="1" customHeight="1" outlineLevel="1">
      <c r="A400" s="219"/>
      <c r="B400" s="17"/>
      <c r="C400" s="79"/>
      <c r="D400" s="6"/>
      <c r="E400" s="79"/>
      <c r="F400" s="6"/>
      <c r="G400" s="79"/>
      <c r="H400" s="6"/>
      <c r="I400" s="79"/>
      <c r="J400" s="6"/>
      <c r="K400" s="79"/>
      <c r="L400" s="6"/>
      <c r="M400" s="79"/>
      <c r="N400" s="6"/>
      <c r="O400" s="79"/>
      <c r="P400" s="6"/>
      <c r="Q400" s="79"/>
      <c r="R400" s="6"/>
      <c r="S400" s="6"/>
      <c r="T400" s="6"/>
      <c r="U400" s="6"/>
      <c r="V400" s="79"/>
      <c r="W400" s="6"/>
      <c r="X400" s="6"/>
      <c r="Y400" s="6"/>
      <c r="Z400" s="6"/>
      <c r="AA400" s="79"/>
      <c r="AB400" s="79"/>
      <c r="AC400" s="6"/>
      <c r="AD400" s="6"/>
      <c r="AE400" s="6"/>
      <c r="AF400" s="6"/>
      <c r="AG400" s="79"/>
      <c r="AH400" s="6"/>
      <c r="AI400" s="6"/>
      <c r="AJ400" s="6"/>
      <c r="AK400" s="6"/>
      <c r="AL400" s="79"/>
      <c r="AM400" s="6"/>
      <c r="AN400" s="6"/>
      <c r="AO400" s="6"/>
      <c r="AP400" s="6"/>
      <c r="AQ400" s="79"/>
      <c r="AR400" s="6"/>
      <c r="AS400" s="6"/>
      <c r="AT400" s="6"/>
      <c r="AU400" s="6"/>
      <c r="AV400" s="79"/>
      <c r="AW400" s="6"/>
      <c r="AX400" s="6"/>
      <c r="AY400" s="6"/>
      <c r="AZ400" s="6"/>
      <c r="BA400" s="79"/>
      <c r="BB400" s="6"/>
      <c r="BC400" s="6"/>
      <c r="BD400" s="6"/>
      <c r="BE400" s="6"/>
      <c r="BF400" s="79"/>
      <c r="BG400" s="49"/>
      <c r="BH400" s="49"/>
      <c r="BI400" s="24"/>
      <c r="BJ400" s="24"/>
      <c r="BK400" s="42"/>
      <c r="BL400" s="49"/>
      <c r="BM400" s="49"/>
      <c r="BN400" s="231"/>
      <c r="BO400" s="231"/>
      <c r="BP400" s="246"/>
      <c r="BQ400" s="231"/>
      <c r="BR400" s="231"/>
      <c r="BS400" s="231"/>
      <c r="BT400" s="6"/>
      <c r="BU400" s="246"/>
      <c r="BV400" s="231"/>
      <c r="BW400" s="231"/>
      <c r="BX400" s="231"/>
      <c r="BY400" s="6"/>
      <c r="BZ400" s="246"/>
      <c r="CA400" s="231"/>
      <c r="CB400" s="6"/>
      <c r="CC400" s="6"/>
      <c r="CD400" s="6"/>
      <c r="CE400" s="79"/>
      <c r="CF400" s="6"/>
      <c r="CG400" s="6"/>
      <c r="CH400" s="6"/>
      <c r="CI400" s="6"/>
      <c r="CJ400" s="79"/>
      <c r="CK400" s="6"/>
      <c r="CL400" s="6"/>
      <c r="CM400" s="6"/>
      <c r="CN400" s="6"/>
      <c r="CO400" s="79"/>
      <c r="CP400" s="6"/>
      <c r="CQ400" s="6"/>
      <c r="CR400" s="6"/>
      <c r="CS400" s="6"/>
      <c r="CT400" s="79"/>
      <c r="CU400" s="6"/>
      <c r="CV400" s="6"/>
      <c r="CW400" s="6"/>
      <c r="CX400" s="6"/>
      <c r="CY400" s="79"/>
      <c r="CZ400" s="6"/>
      <c r="DA400" s="6"/>
      <c r="DB400" s="6"/>
      <c r="DC400" s="6"/>
      <c r="DD400" s="79"/>
      <c r="DE400" s="6"/>
      <c r="DF400" s="6"/>
      <c r="DG400" s="6"/>
      <c r="DH400" s="6"/>
      <c r="DI400" s="79"/>
    </row>
    <row r="401" spans="1:113" s="7" customFormat="1" ht="12" hidden="1" customHeight="1" outlineLevel="1">
      <c r="A401" s="239" t="str">
        <f t="shared" si="1040"/>
        <v xml:space="preserve"> </v>
      </c>
      <c r="B401" s="20" t="s">
        <v>96</v>
      </c>
      <c r="C401" s="36"/>
      <c r="D401" s="43"/>
      <c r="E401" s="36"/>
      <c r="F401" s="43"/>
      <c r="G401" s="36"/>
      <c r="H401" s="43"/>
      <c r="I401" s="36"/>
      <c r="J401" s="43"/>
      <c r="K401" s="36"/>
      <c r="L401" s="43"/>
      <c r="M401" s="36"/>
      <c r="N401" s="43"/>
      <c r="O401" s="36"/>
      <c r="P401" s="43"/>
      <c r="Q401" s="36"/>
      <c r="R401" s="43">
        <v>209</v>
      </c>
      <c r="S401" s="43">
        <v>268</v>
      </c>
      <c r="T401" s="43">
        <v>226</v>
      </c>
      <c r="U401" s="43">
        <v>256</v>
      </c>
      <c r="V401" s="36">
        <f>SUM(R401:U401)</f>
        <v>959</v>
      </c>
      <c r="W401" s="43">
        <v>252</v>
      </c>
      <c r="X401" s="43">
        <v>316</v>
      </c>
      <c r="Y401" s="43">
        <f>78+187</f>
        <v>265</v>
      </c>
      <c r="Z401" s="43">
        <v>304</v>
      </c>
      <c r="AA401" s="36">
        <f>SUM(W401:Z401)</f>
        <v>1137</v>
      </c>
      <c r="AB401" s="36"/>
      <c r="AC401" s="43">
        <v>290</v>
      </c>
      <c r="AD401" s="43">
        <v>394</v>
      </c>
      <c r="AE401" s="43">
        <v>276</v>
      </c>
      <c r="AF401" s="43">
        <v>339</v>
      </c>
      <c r="AG401" s="36">
        <f>SUM(AC401:AF401)</f>
        <v>1299</v>
      </c>
      <c r="AH401" s="43">
        <v>279</v>
      </c>
      <c r="AI401" s="43">
        <v>368</v>
      </c>
      <c r="AJ401" s="43">
        <v>302</v>
      </c>
      <c r="AK401" s="43">
        <v>388</v>
      </c>
      <c r="AL401" s="36">
        <f>SUM(AH401:AK401)</f>
        <v>1337</v>
      </c>
      <c r="AM401" s="43">
        <v>298</v>
      </c>
      <c r="AN401" s="43">
        <v>355</v>
      </c>
      <c r="AO401" s="43">
        <v>286</v>
      </c>
      <c r="AP401" s="43">
        <v>312</v>
      </c>
      <c r="AQ401" s="36">
        <f>SUM(AM401:AP401)</f>
        <v>1251</v>
      </c>
      <c r="AR401" s="43">
        <v>265</v>
      </c>
      <c r="AS401" s="43">
        <v>301</v>
      </c>
      <c r="AT401" s="43">
        <v>267</v>
      </c>
      <c r="AU401" s="43">
        <v>284</v>
      </c>
      <c r="AV401" s="36">
        <f>SUM(AR401:AU401)</f>
        <v>1117</v>
      </c>
      <c r="AW401" s="43">
        <v>279</v>
      </c>
      <c r="AX401" s="43">
        <v>319</v>
      </c>
      <c r="AY401" s="43">
        <v>278</v>
      </c>
      <c r="AZ401" s="43">
        <v>309</v>
      </c>
      <c r="BA401" s="36">
        <f>SUM(AW401:AZ401)</f>
        <v>1185</v>
      </c>
      <c r="BB401" s="43">
        <v>301</v>
      </c>
      <c r="BC401" s="43">
        <v>342</v>
      </c>
      <c r="BD401" s="43">
        <v>321</v>
      </c>
      <c r="BE401" s="43">
        <v>383</v>
      </c>
      <c r="BF401" s="36">
        <f>SUM(BB401:BE401)</f>
        <v>1347</v>
      </c>
      <c r="BG401" s="369">
        <v>332</v>
      </c>
      <c r="BH401" s="43">
        <v>360</v>
      </c>
      <c r="BI401" s="369">
        <v>340</v>
      </c>
      <c r="BJ401" s="369">
        <v>363</v>
      </c>
      <c r="BK401" s="36">
        <f>SUM(BG401:BJ401)</f>
        <v>1395</v>
      </c>
      <c r="BL401" s="43">
        <v>356</v>
      </c>
      <c r="BM401" s="43">
        <v>410</v>
      </c>
      <c r="BN401" s="43">
        <v>388</v>
      </c>
      <c r="BO401" s="43">
        <v>211</v>
      </c>
      <c r="BP401" s="36">
        <f>SUM(BL401:BO401)</f>
        <v>1365</v>
      </c>
      <c r="BQ401" s="43">
        <v>301</v>
      </c>
      <c r="BR401" s="43">
        <v>432</v>
      </c>
      <c r="BS401" s="43">
        <v>365</v>
      </c>
      <c r="BT401" s="43">
        <v>396</v>
      </c>
      <c r="BU401" s="36">
        <f>SUM(BQ401:BT401)</f>
        <v>1494</v>
      </c>
      <c r="BV401" s="43">
        <v>385</v>
      </c>
      <c r="BW401" s="43">
        <v>402</v>
      </c>
      <c r="BX401" s="43">
        <v>394</v>
      </c>
      <c r="BY401" s="43">
        <v>429</v>
      </c>
      <c r="BZ401" s="36">
        <f>SUM(BV401:BY401)</f>
        <v>1610</v>
      </c>
      <c r="CA401" s="43">
        <v>413</v>
      </c>
      <c r="CB401" s="43">
        <v>435</v>
      </c>
      <c r="CC401" s="43">
        <v>407</v>
      </c>
      <c r="CD401" s="43">
        <v>409</v>
      </c>
      <c r="CE401" s="36">
        <f>SUM(CA401:CD401)</f>
        <v>1664</v>
      </c>
      <c r="CF401" s="43">
        <v>371</v>
      </c>
      <c r="CG401" s="43">
        <v>437</v>
      </c>
      <c r="CH401" s="43">
        <v>390</v>
      </c>
      <c r="CI401" s="369">
        <v>416</v>
      </c>
      <c r="CJ401" s="36">
        <f>SUM(CF401:CI401)</f>
        <v>1614</v>
      </c>
      <c r="CK401" s="43">
        <v>348</v>
      </c>
      <c r="CL401" s="43">
        <v>437</v>
      </c>
      <c r="CM401" s="369">
        <v>358</v>
      </c>
      <c r="CN401" s="43">
        <v>398</v>
      </c>
      <c r="CO401" s="36">
        <f>SUM(CK401:CN401)</f>
        <v>1541</v>
      </c>
      <c r="CP401" s="43">
        <v>371</v>
      </c>
      <c r="CQ401" s="43">
        <v>457</v>
      </c>
      <c r="CR401" s="43">
        <v>381</v>
      </c>
      <c r="CS401" s="43">
        <v>420</v>
      </c>
      <c r="CT401" s="36">
        <f>SUM(CP401:CS401)</f>
        <v>1629</v>
      </c>
      <c r="CU401" s="43">
        <v>376</v>
      </c>
      <c r="CV401" s="43">
        <f>CQ401*(1+CV403)*(1+CV406)</f>
        <v>445.94973999999996</v>
      </c>
      <c r="CW401" s="43">
        <f>CR401*(1+CW403)*(1+CW406)</f>
        <v>373.63526999999993</v>
      </c>
      <c r="CX401" s="43">
        <f>CS401*(1+CX403)*(1+CX406)</f>
        <v>400.596</v>
      </c>
      <c r="CY401" s="36">
        <f>SUM(CU401:CX401)</f>
        <v>1596.18101</v>
      </c>
      <c r="CZ401" s="43">
        <f>CU401*(1+CZ403)*(1+CZ406)</f>
        <v>376.70688000000001</v>
      </c>
      <c r="DA401" s="43">
        <f>CV401*(1+DA403)*(1+DA406)</f>
        <v>450.40923739999994</v>
      </c>
      <c r="DB401" s="43">
        <f>CW401*(1+DB403)*(1+DB406)</f>
        <v>377.37162269999993</v>
      </c>
      <c r="DC401" s="43">
        <f>CX401*(1+DC403)*(1+DC406)</f>
        <v>404.60196000000002</v>
      </c>
      <c r="DD401" s="36">
        <f>SUM(CZ401:DC401)</f>
        <v>1609.0897000999998</v>
      </c>
      <c r="DE401" s="43">
        <f>CZ401*(1+DE403)*(1+DE406)</f>
        <v>388.00808640000002</v>
      </c>
      <c r="DF401" s="43">
        <f>DA401*(1+DF403)*(1+DF406)</f>
        <v>463.92151452199994</v>
      </c>
      <c r="DG401" s="43">
        <f>DB401*(1+DG403)*(1+DG406)</f>
        <v>388.69277138099994</v>
      </c>
      <c r="DH401" s="43">
        <f>DC401*(1+DH403)*(1+DH406)</f>
        <v>416.74001880000003</v>
      </c>
      <c r="DI401" s="36">
        <f>SUM(DE401:DH401)</f>
        <v>1657.3623911029999</v>
      </c>
    </row>
    <row r="402" spans="1:113" ht="12" hidden="1" customHeight="1" outlineLevel="1">
      <c r="A402" s="219" t="str">
        <f t="shared" si="1040"/>
        <v xml:space="preserve"> </v>
      </c>
      <c r="B402" s="491" t="s">
        <v>171</v>
      </c>
      <c r="C402" s="492"/>
      <c r="D402" s="522"/>
      <c r="E402" s="492"/>
      <c r="F402" s="522"/>
      <c r="G402" s="492"/>
      <c r="H402" s="522"/>
      <c r="I402" s="492"/>
      <c r="J402" s="522"/>
      <c r="K402" s="492"/>
      <c r="L402" s="522"/>
      <c r="M402" s="492"/>
      <c r="N402" s="522"/>
      <c r="O402" s="492"/>
      <c r="P402" s="522"/>
      <c r="Q402" s="492"/>
      <c r="R402" s="378" t="s">
        <v>126</v>
      </c>
      <c r="S402" s="522" t="s">
        <v>126</v>
      </c>
      <c r="T402" s="522" t="s">
        <v>126</v>
      </c>
      <c r="U402" s="522" t="s">
        <v>126</v>
      </c>
      <c r="V402" s="492" t="s">
        <v>126</v>
      </c>
      <c r="W402" s="52">
        <f>+W401/R401-1</f>
        <v>0.20574162679425845</v>
      </c>
      <c r="X402" s="52">
        <f>+X401/S401-1</f>
        <v>0.17910447761194037</v>
      </c>
      <c r="Y402" s="52">
        <f>+Y401/T401-1</f>
        <v>0.17256637168141586</v>
      </c>
      <c r="Z402" s="52">
        <f>+Z401/U401-1</f>
        <v>0.1875</v>
      </c>
      <c r="AA402" s="112">
        <f>+AA401/V401-1</f>
        <v>0.18561001042752867</v>
      </c>
      <c r="AB402" s="112"/>
      <c r="AC402" s="52">
        <f>+AC401/W401-1</f>
        <v>0.1507936507936507</v>
      </c>
      <c r="AD402" s="52">
        <f>+AD401/X401-1</f>
        <v>0.24683544303797467</v>
      </c>
      <c r="AE402" s="52">
        <f>+AE401/Y401-1</f>
        <v>4.1509433962264142E-2</v>
      </c>
      <c r="AF402" s="52">
        <f>+AF401/Z401-1</f>
        <v>0.11513157894736836</v>
      </c>
      <c r="AG402" s="112">
        <f>+AG401/AA401-1</f>
        <v>0.14248021108179421</v>
      </c>
      <c r="AH402" s="52">
        <f t="shared" ref="AH402:BP402" si="1264">+AH401/AC401-1</f>
        <v>-3.7931034482758585E-2</v>
      </c>
      <c r="AI402" s="52">
        <f t="shared" si="1264"/>
        <v>-6.5989847715736016E-2</v>
      </c>
      <c r="AJ402" s="52">
        <f t="shared" si="1264"/>
        <v>9.4202898550724612E-2</v>
      </c>
      <c r="AK402" s="52">
        <f t="shared" si="1264"/>
        <v>0.14454277286135686</v>
      </c>
      <c r="AL402" s="112">
        <f t="shared" si="1264"/>
        <v>2.9253271747498033E-2</v>
      </c>
      <c r="AM402" s="52">
        <f t="shared" si="1264"/>
        <v>6.8100358422939156E-2</v>
      </c>
      <c r="AN402" s="52">
        <f t="shared" si="1264"/>
        <v>-3.5326086956521729E-2</v>
      </c>
      <c r="AO402" s="52">
        <f t="shared" si="1264"/>
        <v>-5.2980132450331174E-2</v>
      </c>
      <c r="AP402" s="52">
        <f t="shared" si="1264"/>
        <v>-0.19587628865979378</v>
      </c>
      <c r="AQ402" s="112">
        <f t="shared" si="1264"/>
        <v>-6.4323111443530312E-2</v>
      </c>
      <c r="AR402" s="52">
        <f t="shared" si="1264"/>
        <v>-0.11073825503355705</v>
      </c>
      <c r="AS402" s="52">
        <f t="shared" si="1264"/>
        <v>-0.15211267605633805</v>
      </c>
      <c r="AT402" s="52">
        <f t="shared" si="1264"/>
        <v>-6.643356643356646E-2</v>
      </c>
      <c r="AU402" s="52">
        <f t="shared" si="1264"/>
        <v>-8.9743589743589758E-2</v>
      </c>
      <c r="AV402" s="112">
        <f t="shared" si="1264"/>
        <v>-0.10711430855315751</v>
      </c>
      <c r="AW402" s="52">
        <f t="shared" si="1264"/>
        <v>5.2830188679245271E-2</v>
      </c>
      <c r="AX402" s="52">
        <f t="shared" si="1264"/>
        <v>5.980066445182719E-2</v>
      </c>
      <c r="AY402" s="52">
        <f t="shared" si="1264"/>
        <v>4.1198501872659277E-2</v>
      </c>
      <c r="AZ402" s="52">
        <f t="shared" si="1264"/>
        <v>8.8028169014084501E-2</v>
      </c>
      <c r="BA402" s="112">
        <f t="shared" si="1264"/>
        <v>6.0877350044762801E-2</v>
      </c>
      <c r="BB402" s="52">
        <f t="shared" si="1264"/>
        <v>7.8853046594982157E-2</v>
      </c>
      <c r="BC402" s="52">
        <f t="shared" si="1264"/>
        <v>7.2100313479623868E-2</v>
      </c>
      <c r="BD402" s="52">
        <f t="shared" si="1264"/>
        <v>0.15467625899280568</v>
      </c>
      <c r="BE402" s="52">
        <f t="shared" si="1264"/>
        <v>0.23948220064724923</v>
      </c>
      <c r="BF402" s="112">
        <f t="shared" si="1264"/>
        <v>0.13670886075949373</v>
      </c>
      <c r="BG402" s="114">
        <f t="shared" si="1264"/>
        <v>0.10299003322259126</v>
      </c>
      <c r="BH402" s="52">
        <f t="shared" si="1264"/>
        <v>5.2631578947368363E-2</v>
      </c>
      <c r="BI402" s="114">
        <f t="shared" si="1264"/>
        <v>5.9190031152647871E-2</v>
      </c>
      <c r="BJ402" s="114">
        <f t="shared" si="1264"/>
        <v>-5.2219321148825104E-2</v>
      </c>
      <c r="BK402" s="112">
        <f t="shared" si="1264"/>
        <v>3.563474387527843E-2</v>
      </c>
      <c r="BL402" s="52">
        <f t="shared" si="1264"/>
        <v>7.2289156626506035E-2</v>
      </c>
      <c r="BM402" s="52">
        <f t="shared" si="1264"/>
        <v>0.13888888888888884</v>
      </c>
      <c r="BN402" s="52">
        <f t="shared" si="1264"/>
        <v>0.14117647058823524</v>
      </c>
      <c r="BO402" s="52">
        <f t="shared" si="1264"/>
        <v>-0.41873278236914602</v>
      </c>
      <c r="BP402" s="112">
        <f t="shared" si="1264"/>
        <v>-2.1505376344086002E-2</v>
      </c>
      <c r="BQ402" s="52">
        <f t="shared" ref="BQ402:BZ402" si="1265">+BQ401/BL401-1</f>
        <v>-0.1544943820224719</v>
      </c>
      <c r="BR402" s="52">
        <f t="shared" si="1265"/>
        <v>5.3658536585365901E-2</v>
      </c>
      <c r="BS402" s="52">
        <f t="shared" si="1265"/>
        <v>-5.9278350515463929E-2</v>
      </c>
      <c r="BT402" s="52">
        <f t="shared" si="1265"/>
        <v>0.87677725118483418</v>
      </c>
      <c r="BU402" s="112">
        <f t="shared" si="1265"/>
        <v>9.4505494505494614E-2</v>
      </c>
      <c r="BV402" s="52">
        <f t="shared" si="1265"/>
        <v>0.27906976744186052</v>
      </c>
      <c r="BW402" s="52">
        <f t="shared" si="1265"/>
        <v>-6.944444444444442E-2</v>
      </c>
      <c r="BX402" s="52">
        <f t="shared" si="1265"/>
        <v>7.9452054794520555E-2</v>
      </c>
      <c r="BY402" s="52">
        <f t="shared" si="1265"/>
        <v>8.3333333333333259E-2</v>
      </c>
      <c r="BZ402" s="112">
        <f t="shared" si="1265"/>
        <v>7.7643908969210251E-2</v>
      </c>
      <c r="CA402" s="52">
        <f t="shared" ref="CA402" si="1266">+CA401/BV401-1</f>
        <v>7.2727272727272751E-2</v>
      </c>
      <c r="CB402" s="52">
        <f t="shared" ref="CB402:CD402" si="1267">+CB401/BW401-1</f>
        <v>8.2089552238805874E-2</v>
      </c>
      <c r="CC402" s="52">
        <f t="shared" si="1267"/>
        <v>3.2994923857867953E-2</v>
      </c>
      <c r="CD402" s="52">
        <f t="shared" si="1267"/>
        <v>-4.6620046620046596E-2</v>
      </c>
      <c r="CE402" s="112">
        <f t="shared" ref="CE402" si="1268">+CE401/BZ401-1</f>
        <v>3.354037267080745E-2</v>
      </c>
      <c r="CF402" s="52">
        <f t="shared" ref="CF402" si="1269">+CF401/CA401-1</f>
        <v>-0.10169491525423724</v>
      </c>
      <c r="CG402" s="52">
        <f t="shared" ref="CG402:CH402" si="1270">+CG401/CB401-1</f>
        <v>4.5977011494253706E-3</v>
      </c>
      <c r="CH402" s="52">
        <f t="shared" si="1270"/>
        <v>-4.1769041769041726E-2</v>
      </c>
      <c r="CI402" s="114">
        <f t="shared" ref="CI402" si="1271">+CI401/CD401-1</f>
        <v>1.7114914425427896E-2</v>
      </c>
      <c r="CJ402" s="112">
        <f t="shared" ref="CJ402" si="1272">+CJ401/CE401-1</f>
        <v>-3.0048076923076872E-2</v>
      </c>
      <c r="CK402" s="52">
        <f t="shared" ref="CK402:CM402" si="1273">+CK401/CF401-1</f>
        <v>-6.1994609164420456E-2</v>
      </c>
      <c r="CL402" s="52">
        <f t="shared" si="1273"/>
        <v>0</v>
      </c>
      <c r="CM402" s="52">
        <f t="shared" si="1273"/>
        <v>-8.2051282051282093E-2</v>
      </c>
      <c r="CN402" s="52">
        <f t="shared" ref="CN402" si="1274">+CN401/CI401-1</f>
        <v>-4.3269230769230727E-2</v>
      </c>
      <c r="CO402" s="112">
        <f t="shared" ref="CO402:CP402" si="1275">+CO401/CJ401-1</f>
        <v>-4.5229244114002531E-2</v>
      </c>
      <c r="CP402" s="52">
        <f t="shared" si="1275"/>
        <v>6.6091954022988508E-2</v>
      </c>
      <c r="CQ402" s="52">
        <f t="shared" ref="CQ402:CR402" si="1276">+CQ401/CL401-1</f>
        <v>4.5766590389016093E-2</v>
      </c>
      <c r="CR402" s="52">
        <f t="shared" si="1276"/>
        <v>6.4245810055865826E-2</v>
      </c>
      <c r="CS402" s="52">
        <f t="shared" ref="CS402" si="1277">+CS401/CN401-1</f>
        <v>5.5276381909547645E-2</v>
      </c>
      <c r="CT402" s="112">
        <f t="shared" ref="CT402" si="1278">+CT401/CO401-1</f>
        <v>5.7105775470473796E-2</v>
      </c>
      <c r="CU402" s="52">
        <f t="shared" ref="CU402" si="1279">+CU401/CP401-1</f>
        <v>1.3477088948786964E-2</v>
      </c>
      <c r="CV402" s="52">
        <f t="shared" ref="CV402" si="1280">+CV401/CQ401-1</f>
        <v>-2.418000000000009E-2</v>
      </c>
      <c r="CW402" s="52">
        <f t="shared" ref="CW402" si="1281">+CW401/CR401-1</f>
        <v>-1.933000000000018E-2</v>
      </c>
      <c r="CX402" s="52">
        <f t="shared" ref="CX402" si="1282">+CX401/CS401-1</f>
        <v>-4.6200000000000019E-2</v>
      </c>
      <c r="CY402" s="112">
        <f t="shared" ref="CY402" si="1283">+CY401/CT401-1</f>
        <v>-2.0146709637814619E-2</v>
      </c>
      <c r="CZ402" s="52">
        <f t="shared" ref="CZ402" si="1284">+CZ401/CU401-1</f>
        <v>1.8800000000001038E-3</v>
      </c>
      <c r="DA402" s="52">
        <f t="shared" ref="DA402" si="1285">+DA401/CV401-1</f>
        <v>1.0000000000000009E-2</v>
      </c>
      <c r="DB402" s="52">
        <f t="shared" ref="DB402" si="1286">+DB401/CW401-1</f>
        <v>1.0000000000000009E-2</v>
      </c>
      <c r="DC402" s="52">
        <f t="shared" ref="DC402" si="1287">+DC401/CX401-1</f>
        <v>1.0000000000000009E-2</v>
      </c>
      <c r="DD402" s="112">
        <f t="shared" ref="DD402" si="1288">+DD401/CY401-1</f>
        <v>8.0872344797535689E-3</v>
      </c>
      <c r="DE402" s="52">
        <f t="shared" ref="DE402" si="1289">+DE401/CZ401-1</f>
        <v>3.0000000000000027E-2</v>
      </c>
      <c r="DF402" s="52">
        <f t="shared" ref="DF402" si="1290">+DF401/DA401-1</f>
        <v>3.0000000000000027E-2</v>
      </c>
      <c r="DG402" s="52">
        <f t="shared" ref="DG402" si="1291">+DG401/DB401-1</f>
        <v>3.0000000000000027E-2</v>
      </c>
      <c r="DH402" s="52">
        <f t="shared" ref="DH402" si="1292">+DH401/DC401-1</f>
        <v>3.0000000000000027E-2</v>
      </c>
      <c r="DI402" s="112">
        <f t="shared" ref="DI402" si="1293">+DI401/DD401-1</f>
        <v>3.0000000000000027E-2</v>
      </c>
    </row>
    <row r="403" spans="1:113" s="529" customFormat="1" ht="12" hidden="1" customHeight="1" outlineLevel="1">
      <c r="A403" s="219" t="str">
        <f t="shared" si="1040"/>
        <v xml:space="preserve"> </v>
      </c>
      <c r="B403" s="526" t="s">
        <v>173</v>
      </c>
      <c r="C403" s="112"/>
      <c r="D403" s="52"/>
      <c r="E403" s="112"/>
      <c r="F403" s="52"/>
      <c r="G403" s="112"/>
      <c r="H403" s="52"/>
      <c r="I403" s="112"/>
      <c r="J403" s="52"/>
      <c r="K403" s="112"/>
      <c r="L403" s="52"/>
      <c r="M403" s="112"/>
      <c r="N403" s="52"/>
      <c r="O403" s="112"/>
      <c r="P403" s="52"/>
      <c r="Q403" s="112"/>
      <c r="R403" s="378" t="s">
        <v>126</v>
      </c>
      <c r="S403" s="522" t="s">
        <v>126</v>
      </c>
      <c r="T403" s="522" t="s">
        <v>126</v>
      </c>
      <c r="U403" s="522" t="s">
        <v>126</v>
      </c>
      <c r="V403" s="492" t="s">
        <v>126</v>
      </c>
      <c r="W403" s="378" t="s">
        <v>126</v>
      </c>
      <c r="X403" s="522" t="s">
        <v>126</v>
      </c>
      <c r="Y403" s="522" t="s">
        <v>126</v>
      </c>
      <c r="Z403" s="522" t="s">
        <v>126</v>
      </c>
      <c r="AA403" s="492" t="s">
        <v>126</v>
      </c>
      <c r="AB403" s="492"/>
      <c r="AC403" s="378" t="s">
        <v>126</v>
      </c>
      <c r="AD403" s="522" t="s">
        <v>126</v>
      </c>
      <c r="AE403" s="522" t="s">
        <v>126</v>
      </c>
      <c r="AF403" s="522" t="s">
        <v>126</v>
      </c>
      <c r="AG403" s="492" t="s">
        <v>126</v>
      </c>
      <c r="AH403" s="378" t="s">
        <v>126</v>
      </c>
      <c r="AI403" s="522" t="s">
        <v>126</v>
      </c>
      <c r="AJ403" s="522" t="s">
        <v>126</v>
      </c>
      <c r="AK403" s="522" t="s">
        <v>126</v>
      </c>
      <c r="AL403" s="492" t="s">
        <v>126</v>
      </c>
      <c r="AM403" s="378" t="s">
        <v>126</v>
      </c>
      <c r="AN403" s="522" t="s">
        <v>126</v>
      </c>
      <c r="AO403" s="522" t="s">
        <v>126</v>
      </c>
      <c r="AP403" s="522" t="s">
        <v>126</v>
      </c>
      <c r="AQ403" s="492" t="s">
        <v>126</v>
      </c>
      <c r="AR403" s="378" t="s">
        <v>126</v>
      </c>
      <c r="AS403" s="522" t="s">
        <v>126</v>
      </c>
      <c r="AT403" s="522" t="s">
        <v>126</v>
      </c>
      <c r="AU403" s="522" t="s">
        <v>126</v>
      </c>
      <c r="AV403" s="492" t="s">
        <v>126</v>
      </c>
      <c r="AW403" s="52">
        <v>0.15</v>
      </c>
      <c r="AX403" s="52">
        <v>7.0000000000000007E-2</v>
      </c>
      <c r="AY403" s="52">
        <v>0.08</v>
      </c>
      <c r="AZ403" s="52">
        <v>0.08</v>
      </c>
      <c r="BA403" s="112">
        <v>0.09</v>
      </c>
      <c r="BB403" s="52">
        <v>0.09</v>
      </c>
      <c r="BC403" s="52">
        <v>0.1</v>
      </c>
      <c r="BD403" s="52">
        <v>0.13</v>
      </c>
      <c r="BE403" s="114">
        <v>0.25</v>
      </c>
      <c r="BF403" s="112">
        <f>SUMPRODUCT(BB403:BE403,AW401:AZ401)/BA401</f>
        <v>0.14379746835443039</v>
      </c>
      <c r="BG403" s="114">
        <v>0.18</v>
      </c>
      <c r="BH403" s="114">
        <v>0.17</v>
      </c>
      <c r="BI403" s="114">
        <v>0.17</v>
      </c>
      <c r="BJ403" s="114">
        <v>0.08</v>
      </c>
      <c r="BK403" s="112">
        <f>SUMPRODUCT(BG403:BJ403,BB401:BE401)/BF401</f>
        <v>0.14664439495174464</v>
      </c>
      <c r="BL403" s="114">
        <v>0.15</v>
      </c>
      <c r="BM403" s="114">
        <v>0.18</v>
      </c>
      <c r="BN403" s="114">
        <v>0.2</v>
      </c>
      <c r="BO403" s="114">
        <v>-0.38</v>
      </c>
      <c r="BP403" s="112">
        <f>SUMPRODUCT(BL403:BO403,BG401:BJ401)/BK401</f>
        <v>3.2014336917562725E-2</v>
      </c>
      <c r="BQ403" s="114">
        <v>-0.1</v>
      </c>
      <c r="BR403" s="114">
        <v>0.09</v>
      </c>
      <c r="BS403" s="114">
        <v>-0.08</v>
      </c>
      <c r="BT403" s="114">
        <v>0.8</v>
      </c>
      <c r="BU403" s="112">
        <f>SUMPRODUCT(BQ403:BT403,BL401:BO401)/BP401</f>
        <v>0.10187545787545788</v>
      </c>
      <c r="BV403" s="114">
        <v>0.26</v>
      </c>
      <c r="BW403" s="114">
        <v>-0.05</v>
      </c>
      <c r="BX403" s="114">
        <v>0.16</v>
      </c>
      <c r="BY403" s="114">
        <v>0.16</v>
      </c>
      <c r="BZ403" s="112">
        <f>SUMPRODUCT(BV403:BY403,BQ401:BT401)/BU401</f>
        <v>0.11942436412315932</v>
      </c>
      <c r="CA403" s="114">
        <v>0.19</v>
      </c>
      <c r="CB403" s="114">
        <v>0.24</v>
      </c>
      <c r="CC403" s="114">
        <v>0.09</v>
      </c>
      <c r="CD403" s="114">
        <v>0.01</v>
      </c>
      <c r="CE403" s="112">
        <f>SUMPRODUCT(CA403:CD403,BV401:BY401)/BZ401</f>
        <v>0.13004968944099379</v>
      </c>
      <c r="CF403" s="114">
        <v>-0.09</v>
      </c>
      <c r="CG403" s="114">
        <v>-0.02</v>
      </c>
      <c r="CH403" s="114">
        <v>-0.03</v>
      </c>
      <c r="CI403" s="114">
        <v>0.05</v>
      </c>
      <c r="CJ403" s="112">
        <f>SUMPRODUCT(CF403:CI403,CA401:CD401)/CE401</f>
        <v>-2.2614182692307694E-2</v>
      </c>
      <c r="CK403" s="114">
        <v>-0.02</v>
      </c>
      <c r="CL403" s="114">
        <v>0</v>
      </c>
      <c r="CM403" s="114">
        <v>-0.01</v>
      </c>
      <c r="CN403" s="114">
        <v>-0.01</v>
      </c>
      <c r="CO403" s="112">
        <f>SUMPRODUCT(CK403:CN403,CF401:CI401)/CJ401</f>
        <v>-9.5910780669144977E-3</v>
      </c>
      <c r="CP403" s="114">
        <v>0.05</v>
      </c>
      <c r="CQ403" s="114">
        <v>0.06</v>
      </c>
      <c r="CR403" s="114">
        <v>0.04</v>
      </c>
      <c r="CS403" s="114">
        <v>0.04</v>
      </c>
      <c r="CT403" s="112">
        <f>SUMPRODUCT(CP403:CS403,CK401:CN401)/CO401</f>
        <v>4.7929915639195325E-2</v>
      </c>
      <c r="CU403" s="114">
        <v>0.04</v>
      </c>
      <c r="CV403" s="53">
        <v>-0.03</v>
      </c>
      <c r="CW403" s="53">
        <v>-0.03</v>
      </c>
      <c r="CX403" s="53">
        <v>-0.05</v>
      </c>
      <c r="CY403" s="112">
        <f>SUMPRODUCT(CU403:CX403,CP401:CS401)/CT401</f>
        <v>-1.9214241866175565E-2</v>
      </c>
      <c r="CZ403" s="53">
        <v>-0.01</v>
      </c>
      <c r="DA403" s="53">
        <v>0.01</v>
      </c>
      <c r="DB403" s="53">
        <v>0.01</v>
      </c>
      <c r="DC403" s="53">
        <v>0.01</v>
      </c>
      <c r="DD403" s="112">
        <f>SUMPRODUCT(CZ403:DC403,CU401:CX401)/CY401</f>
        <v>5.2887548762405086E-3</v>
      </c>
      <c r="DE403" s="53">
        <v>0.03</v>
      </c>
      <c r="DF403" s="53">
        <v>0.03</v>
      </c>
      <c r="DG403" s="53">
        <v>0.03</v>
      </c>
      <c r="DH403" s="53">
        <v>0.03</v>
      </c>
      <c r="DI403" s="112">
        <f>SUMPRODUCT(DE403:DH403,CZ401:DC401)/DD401</f>
        <v>0.03</v>
      </c>
    </row>
    <row r="404" spans="1:113" ht="12" hidden="1" customHeight="1" outlineLevel="1">
      <c r="A404" s="219" t="str">
        <f t="shared" si="1040"/>
        <v xml:space="preserve"> </v>
      </c>
      <c r="B404" s="611" t="s">
        <v>142</v>
      </c>
      <c r="C404" s="492"/>
      <c r="D404" s="522"/>
      <c r="E404" s="492"/>
      <c r="F404" s="522"/>
      <c r="G404" s="492"/>
      <c r="H404" s="522"/>
      <c r="I404" s="492"/>
      <c r="J404" s="522"/>
      <c r="K404" s="492"/>
      <c r="L404" s="522"/>
      <c r="M404" s="492"/>
      <c r="N404" s="522"/>
      <c r="O404" s="492"/>
      <c r="P404" s="522"/>
      <c r="Q404" s="492"/>
      <c r="R404" s="378" t="s">
        <v>126</v>
      </c>
      <c r="S404" s="522" t="s">
        <v>126</v>
      </c>
      <c r="T404" s="522" t="s">
        <v>126</v>
      </c>
      <c r="U404" s="522" t="s">
        <v>126</v>
      </c>
      <c r="V404" s="492" t="s">
        <v>126</v>
      </c>
      <c r="W404" s="378" t="s">
        <v>126</v>
      </c>
      <c r="X404" s="522" t="s">
        <v>126</v>
      </c>
      <c r="Y404" s="522" t="s">
        <v>126</v>
      </c>
      <c r="Z404" s="522" t="s">
        <v>126</v>
      </c>
      <c r="AA404" s="492" t="s">
        <v>126</v>
      </c>
      <c r="AB404" s="492"/>
      <c r="AC404" s="378" t="s">
        <v>126</v>
      </c>
      <c r="AD404" s="522" t="s">
        <v>126</v>
      </c>
      <c r="AE404" s="522" t="s">
        <v>126</v>
      </c>
      <c r="AF404" s="522" t="s">
        <v>126</v>
      </c>
      <c r="AG404" s="492" t="s">
        <v>126</v>
      </c>
      <c r="AH404" s="378" t="s">
        <v>126</v>
      </c>
      <c r="AI404" s="522" t="s">
        <v>126</v>
      </c>
      <c r="AJ404" s="522" t="s">
        <v>126</v>
      </c>
      <c r="AK404" s="522" t="s">
        <v>126</v>
      </c>
      <c r="AL404" s="492" t="s">
        <v>126</v>
      </c>
      <c r="AM404" s="378" t="s">
        <v>126</v>
      </c>
      <c r="AN404" s="522" t="s">
        <v>126</v>
      </c>
      <c r="AO404" s="522" t="s">
        <v>126</v>
      </c>
      <c r="AP404" s="522" t="s">
        <v>126</v>
      </c>
      <c r="AQ404" s="492" t="s">
        <v>126</v>
      </c>
      <c r="AR404" s="378" t="s">
        <v>126</v>
      </c>
      <c r="AS404" s="522" t="s">
        <v>126</v>
      </c>
      <c r="AT404" s="522" t="s">
        <v>126</v>
      </c>
      <c r="AU404" s="522" t="s">
        <v>126</v>
      </c>
      <c r="AV404" s="492" t="s">
        <v>126</v>
      </c>
      <c r="AW404" s="378" t="s">
        <v>126</v>
      </c>
      <c r="AX404" s="522" t="s">
        <v>126</v>
      </c>
      <c r="AY404" s="522" t="s">
        <v>126</v>
      </c>
      <c r="AZ404" s="522" t="s">
        <v>126</v>
      </c>
      <c r="BA404" s="492" t="s">
        <v>126</v>
      </c>
      <c r="BB404" s="52">
        <v>0.1</v>
      </c>
      <c r="BC404" s="52">
        <v>7.0000000000000007E-2</v>
      </c>
      <c r="BD404" s="376">
        <v>0.09</v>
      </c>
      <c r="BE404" s="114">
        <f>((BF404*SUM(AW401:AZ401))-BB404*AW401-BC404*AX401-BD404*AY401)/AZ401</f>
        <v>0.17831715210355986</v>
      </c>
      <c r="BF404" s="112">
        <v>0.11</v>
      </c>
      <c r="BG404" s="114">
        <v>0.09</v>
      </c>
      <c r="BH404" s="52">
        <v>0.11</v>
      </c>
      <c r="BI404" s="114">
        <v>0.04</v>
      </c>
      <c r="BJ404" s="114">
        <f>((BK404*SUM(BB401:BE401))-BG404*BB401-BH404*BC401-BI404*BD401)/BE401</f>
        <v>4.3707571801566591E-2</v>
      </c>
      <c r="BK404" s="112">
        <v>7.0000000000000007E-2</v>
      </c>
      <c r="BL404" s="52">
        <v>0.06</v>
      </c>
      <c r="BM404" s="52">
        <v>7.0000000000000007E-2</v>
      </c>
      <c r="BN404" s="52">
        <v>0.18</v>
      </c>
      <c r="BO404" s="114">
        <f>((BP404*SUM(BG401:BJ401))-BL404*BG401-BM404*BH401-BN404*BI401)/BJ401</f>
        <v>-0.48504132231404956</v>
      </c>
      <c r="BP404" s="112">
        <v>-0.05</v>
      </c>
      <c r="BQ404" s="52">
        <v>-0.14000000000000001</v>
      </c>
      <c r="BR404" s="114">
        <v>0.08</v>
      </c>
      <c r="BS404" s="114">
        <v>-0.22</v>
      </c>
      <c r="BT404" s="114">
        <f>((BU404*SUM(BL401:BO401))-BQ404*BL401-BR404*BM401-BS404*BN401)/BO401</f>
        <v>0.80876777251184839</v>
      </c>
      <c r="BU404" s="112">
        <v>0.05</v>
      </c>
      <c r="BV404" s="52">
        <v>0.12</v>
      </c>
      <c r="BW404" s="114">
        <v>-0.06</v>
      </c>
      <c r="BX404" s="114">
        <v>0.15</v>
      </c>
      <c r="BY404" s="114">
        <f>((BZ404*SUM(BQ401:BT401))-BV404*BQ401-BW404*BR401-BX404*BS401)/BT401</f>
        <v>-5.0833333333333321E-2</v>
      </c>
      <c r="BZ404" s="112">
        <v>0.03</v>
      </c>
      <c r="CA404" s="52">
        <v>0.18</v>
      </c>
      <c r="CB404" s="114">
        <v>0.22</v>
      </c>
      <c r="CC404" s="114">
        <v>-0.01</v>
      </c>
      <c r="CD404" s="114">
        <f>((CE404*SUM(BV401:BY401))-CA404*BV401-CB404*BW401-CC404*BX401)/BY401</f>
        <v>-2.0745920745920722E-2</v>
      </c>
      <c r="CE404" s="112">
        <v>0.09</v>
      </c>
      <c r="CF404" s="114">
        <v>-0.17</v>
      </c>
      <c r="CG404" s="114">
        <v>-0.09</v>
      </c>
      <c r="CH404" s="114">
        <v>-0.06</v>
      </c>
      <c r="CI404" s="114">
        <f>((CJ404*SUM(CA401:CD401))-CF404*CA401-CG404*CB401-CH404*CC401)/CD401</f>
        <v>-3.9070904645476738E-2</v>
      </c>
      <c r="CJ404" s="112">
        <v>-0.09</v>
      </c>
      <c r="CK404" s="114">
        <v>-0.06</v>
      </c>
      <c r="CL404" s="114">
        <v>-0.03</v>
      </c>
      <c r="CM404" s="114">
        <v>-0.01</v>
      </c>
      <c r="CN404" s="114">
        <f>((CO404*SUM(CF401:CI401))-CK404*CF401-CL404*CG401-CM404*CH401)/CI401</f>
        <v>-2.1995192307692316E-2</v>
      </c>
      <c r="CO404" s="112">
        <v>-0.03</v>
      </c>
      <c r="CP404" s="114">
        <v>0.1</v>
      </c>
      <c r="CQ404" s="114">
        <v>7.0000000000000007E-2</v>
      </c>
      <c r="CR404" s="114">
        <v>0.04</v>
      </c>
      <c r="CS404" s="114">
        <f>((CT404*SUM(CK401:CN401))-CP404*CK401-CQ404*CL401-CR404*CM401)/CN401</f>
        <v>-6.6834170854271268E-3</v>
      </c>
      <c r="CT404" s="112">
        <v>0.05</v>
      </c>
      <c r="CU404" s="114"/>
      <c r="CV404" s="52"/>
      <c r="CW404" s="52"/>
      <c r="CX404" s="52"/>
      <c r="CY404" s="112"/>
      <c r="CZ404" s="52"/>
      <c r="DA404" s="52"/>
      <c r="DB404" s="52"/>
      <c r="DC404" s="52"/>
      <c r="DD404" s="112"/>
      <c r="DE404" s="52"/>
      <c r="DF404" s="52"/>
      <c r="DG404" s="52"/>
      <c r="DH404" s="52"/>
      <c r="DI404" s="112"/>
    </row>
    <row r="405" spans="1:113" ht="12" hidden="1" customHeight="1" outlineLevel="1">
      <c r="A405" s="219" t="str">
        <f t="shared" si="1040"/>
        <v xml:space="preserve"> </v>
      </c>
      <c r="B405" s="611" t="s">
        <v>143</v>
      </c>
      <c r="C405" s="492"/>
      <c r="D405" s="522"/>
      <c r="E405" s="492"/>
      <c r="F405" s="522"/>
      <c r="G405" s="492"/>
      <c r="H405" s="522"/>
      <c r="I405" s="492"/>
      <c r="J405" s="522"/>
      <c r="K405" s="492"/>
      <c r="L405" s="522"/>
      <c r="M405" s="492"/>
      <c r="N405" s="522"/>
      <c r="O405" s="492"/>
      <c r="P405" s="522"/>
      <c r="Q405" s="492"/>
      <c r="R405" s="378" t="s">
        <v>126</v>
      </c>
      <c r="S405" s="522" t="s">
        <v>126</v>
      </c>
      <c r="T405" s="522" t="s">
        <v>126</v>
      </c>
      <c r="U405" s="522" t="s">
        <v>126</v>
      </c>
      <c r="V405" s="492" t="s">
        <v>126</v>
      </c>
      <c r="W405" s="378" t="s">
        <v>126</v>
      </c>
      <c r="X405" s="522" t="s">
        <v>126</v>
      </c>
      <c r="Y405" s="522" t="s">
        <v>126</v>
      </c>
      <c r="Z405" s="522" t="s">
        <v>126</v>
      </c>
      <c r="AA405" s="492" t="s">
        <v>126</v>
      </c>
      <c r="AB405" s="492"/>
      <c r="AC405" s="378" t="s">
        <v>126</v>
      </c>
      <c r="AD405" s="522" t="s">
        <v>126</v>
      </c>
      <c r="AE405" s="522" t="s">
        <v>126</v>
      </c>
      <c r="AF405" s="522" t="s">
        <v>126</v>
      </c>
      <c r="AG405" s="492" t="s">
        <v>126</v>
      </c>
      <c r="AH405" s="378" t="s">
        <v>126</v>
      </c>
      <c r="AI405" s="522" t="s">
        <v>126</v>
      </c>
      <c r="AJ405" s="522" t="s">
        <v>126</v>
      </c>
      <c r="AK405" s="522" t="s">
        <v>126</v>
      </c>
      <c r="AL405" s="492" t="s">
        <v>126</v>
      </c>
      <c r="AM405" s="378" t="s">
        <v>126</v>
      </c>
      <c r="AN405" s="522" t="s">
        <v>126</v>
      </c>
      <c r="AO405" s="522" t="s">
        <v>126</v>
      </c>
      <c r="AP405" s="522" t="s">
        <v>126</v>
      </c>
      <c r="AQ405" s="492" t="s">
        <v>126</v>
      </c>
      <c r="AR405" s="378" t="s">
        <v>126</v>
      </c>
      <c r="AS405" s="522" t="s">
        <v>126</v>
      </c>
      <c r="AT405" s="522" t="s">
        <v>126</v>
      </c>
      <c r="AU405" s="522" t="s">
        <v>126</v>
      </c>
      <c r="AV405" s="492" t="s">
        <v>126</v>
      </c>
      <c r="AW405" s="378" t="s">
        <v>126</v>
      </c>
      <c r="AX405" s="522" t="s">
        <v>126</v>
      </c>
      <c r="AY405" s="522" t="s">
        <v>126</v>
      </c>
      <c r="AZ405" s="522" t="s">
        <v>126</v>
      </c>
      <c r="BA405" s="492" t="s">
        <v>126</v>
      </c>
      <c r="BB405" s="52">
        <v>-0.01</v>
      </c>
      <c r="BC405" s="52">
        <v>0.03</v>
      </c>
      <c r="BD405" s="376">
        <v>0.04</v>
      </c>
      <c r="BE405" s="114">
        <f>((BF405*SUM(AW401:AZ401))-BB405*AW401-BC405*AX401-BD405*AY401)/AZ401</f>
        <v>9.5469255663430411E-2</v>
      </c>
      <c r="BF405" s="112">
        <v>0.04</v>
      </c>
      <c r="BG405" s="114">
        <v>0.09</v>
      </c>
      <c r="BH405" s="52">
        <v>0.06</v>
      </c>
      <c r="BI405" s="114">
        <v>0.13</v>
      </c>
      <c r="BJ405" s="114">
        <f>((BK405*SUM(BB401:BE401))-BG405*BB401-BH405*BC401-BI405*BD401)/BE401</f>
        <v>4.8093994778067889E-2</v>
      </c>
      <c r="BK405" s="112">
        <v>0.08</v>
      </c>
      <c r="BL405" s="52">
        <v>0.09</v>
      </c>
      <c r="BM405" s="52">
        <v>0.11</v>
      </c>
      <c r="BN405" s="52">
        <v>0.02</v>
      </c>
      <c r="BO405" s="114">
        <f>((BP405*SUM(BG401:BJ401))-BL405*BG401-BM405*BH401-BN405*BI401)/BJ401</f>
        <v>9.7300275482093704E-2</v>
      </c>
      <c r="BP405" s="112">
        <v>0.08</v>
      </c>
      <c r="BQ405" s="52">
        <v>0.04</v>
      </c>
      <c r="BR405" s="114">
        <v>0.01</v>
      </c>
      <c r="BS405" s="114">
        <v>0.14000000000000001</v>
      </c>
      <c r="BT405" s="114">
        <f>((BU405*SUM(BL401:BO401))-BQ405*BL401-BR405*BM401-BS405*BN401)/BO401</f>
        <v>-2.0900473933649341E-2</v>
      </c>
      <c r="BU405" s="112">
        <v>0.05</v>
      </c>
      <c r="BV405" s="52">
        <v>0.14000000000000001</v>
      </c>
      <c r="BW405" s="114">
        <v>0.14000000000000001</v>
      </c>
      <c r="BX405" s="114">
        <v>0.11</v>
      </c>
      <c r="BY405" s="114">
        <f>((BZ405*SUM(BQ401:BT401))-BV405*BQ401-BW405*BR401-BX405*BS401)/BT401</f>
        <v>-2.0984848484848474E-2</v>
      </c>
      <c r="BZ405" s="112">
        <v>0.09</v>
      </c>
      <c r="CA405" s="52">
        <v>0.01</v>
      </c>
      <c r="CB405" s="114">
        <v>0.02</v>
      </c>
      <c r="CC405" s="114">
        <v>0.1</v>
      </c>
      <c r="CD405" s="114">
        <f>((CE405*SUM(BV401:BY401))-CA405*BV401-CB405*BW401-CC405*BX401)/BY401</f>
        <v>3.0559440559440557E-2</v>
      </c>
      <c r="CE405" s="112">
        <v>0.04</v>
      </c>
      <c r="CF405" s="114">
        <v>0.08</v>
      </c>
      <c r="CG405" s="114">
        <v>7.0000000000000007E-2</v>
      </c>
      <c r="CH405" s="114">
        <v>0.03</v>
      </c>
      <c r="CI405" s="114">
        <f>((CJ405*SUM(CA401:CD401))-CF405*CA401-CG405*CB401-CH405*CC401)/CD401</f>
        <v>9.9706601466992714E-2</v>
      </c>
      <c r="CJ405" s="112">
        <v>7.0000000000000007E-2</v>
      </c>
      <c r="CK405" s="114">
        <v>0.04</v>
      </c>
      <c r="CL405" s="114">
        <v>0.03</v>
      </c>
      <c r="CM405" s="114">
        <v>0</v>
      </c>
      <c r="CN405" s="114">
        <f>((CO405*SUM(CF401:CI401))-CK405*CF401-CL405*CG401-CM405*CH401)/CI401</f>
        <v>1.040865384615385E-2</v>
      </c>
      <c r="CO405" s="112">
        <v>0.02</v>
      </c>
      <c r="CP405" s="114">
        <v>-0.05</v>
      </c>
      <c r="CQ405" s="114">
        <v>-0.01</v>
      </c>
      <c r="CR405" s="114">
        <v>0</v>
      </c>
      <c r="CS405" s="114">
        <f>((CT405*SUM(CK401:CN401))-CP405*CK401-CQ405*CL401-CR405*CM401)/CN401</f>
        <v>5.4698492462311565E-2</v>
      </c>
      <c r="CT405" s="112">
        <v>0</v>
      </c>
      <c r="CU405" s="114"/>
      <c r="CV405" s="52"/>
      <c r="CW405" s="52"/>
      <c r="CX405" s="52"/>
      <c r="CY405" s="112"/>
      <c r="CZ405" s="52"/>
      <c r="DA405" s="52"/>
      <c r="DB405" s="52"/>
      <c r="DC405" s="52"/>
      <c r="DD405" s="112"/>
      <c r="DE405" s="52"/>
      <c r="DF405" s="52"/>
      <c r="DG405" s="52"/>
      <c r="DH405" s="52"/>
      <c r="DI405" s="112"/>
    </row>
    <row r="406" spans="1:113" ht="12" hidden="1" customHeight="1" outlineLevel="1">
      <c r="A406" s="219" t="str">
        <f t="shared" si="1040"/>
        <v xml:space="preserve"> </v>
      </c>
      <c r="B406" s="491" t="s">
        <v>141</v>
      </c>
      <c r="C406" s="492"/>
      <c r="D406" s="522"/>
      <c r="E406" s="492"/>
      <c r="F406" s="522"/>
      <c r="G406" s="492"/>
      <c r="H406" s="522"/>
      <c r="I406" s="492"/>
      <c r="J406" s="522"/>
      <c r="K406" s="492"/>
      <c r="L406" s="522"/>
      <c r="M406" s="492"/>
      <c r="N406" s="522"/>
      <c r="O406" s="492"/>
      <c r="P406" s="522"/>
      <c r="Q406" s="492"/>
      <c r="R406" s="378" t="s">
        <v>126</v>
      </c>
      <c r="S406" s="522" t="s">
        <v>126</v>
      </c>
      <c r="T406" s="522" t="s">
        <v>126</v>
      </c>
      <c r="U406" s="522" t="s">
        <v>126</v>
      </c>
      <c r="V406" s="492" t="s">
        <v>126</v>
      </c>
      <c r="W406" s="378" t="s">
        <v>126</v>
      </c>
      <c r="X406" s="522" t="s">
        <v>126</v>
      </c>
      <c r="Y406" s="522" t="s">
        <v>126</v>
      </c>
      <c r="Z406" s="522" t="s">
        <v>126</v>
      </c>
      <c r="AA406" s="492" t="s">
        <v>126</v>
      </c>
      <c r="AB406" s="492"/>
      <c r="AC406" s="378" t="s">
        <v>126</v>
      </c>
      <c r="AD406" s="522" t="s">
        <v>126</v>
      </c>
      <c r="AE406" s="522" t="s">
        <v>126</v>
      </c>
      <c r="AF406" s="522" t="s">
        <v>126</v>
      </c>
      <c r="AG406" s="492" t="s">
        <v>126</v>
      </c>
      <c r="AH406" s="378" t="s">
        <v>126</v>
      </c>
      <c r="AI406" s="522" t="s">
        <v>126</v>
      </c>
      <c r="AJ406" s="522" t="s">
        <v>126</v>
      </c>
      <c r="AK406" s="522" t="s">
        <v>126</v>
      </c>
      <c r="AL406" s="492" t="s">
        <v>126</v>
      </c>
      <c r="AM406" s="378" t="s">
        <v>126</v>
      </c>
      <c r="AN406" s="522" t="s">
        <v>126</v>
      </c>
      <c r="AO406" s="522" t="s">
        <v>126</v>
      </c>
      <c r="AP406" s="522" t="s">
        <v>126</v>
      </c>
      <c r="AQ406" s="492" t="s">
        <v>126</v>
      </c>
      <c r="AR406" s="378" t="s">
        <v>126</v>
      </c>
      <c r="AS406" s="522" t="s">
        <v>126</v>
      </c>
      <c r="AT406" s="522" t="s">
        <v>126</v>
      </c>
      <c r="AU406" s="522" t="s">
        <v>126</v>
      </c>
      <c r="AV406" s="492" t="s">
        <v>126</v>
      </c>
      <c r="AW406" s="52">
        <f>(1+AW402)/(1+AW403)-1</f>
        <v>-8.4495488105004068E-2</v>
      </c>
      <c r="AX406" s="52">
        <f t="shared" ref="AX406:BG406" si="1294">(1+AX402)/(1+AX403)-1</f>
        <v>-9.5320892973578264E-3</v>
      </c>
      <c r="AY406" s="52">
        <f t="shared" si="1294"/>
        <v>-3.5927313080871048E-2</v>
      </c>
      <c r="AZ406" s="52">
        <f t="shared" si="1294"/>
        <v>7.4334898278558548E-3</v>
      </c>
      <c r="BA406" s="112">
        <f t="shared" si="1294"/>
        <v>-2.6718027481869022E-2</v>
      </c>
      <c r="BB406" s="52">
        <f t="shared" si="1294"/>
        <v>-1.0226562756897151E-2</v>
      </c>
      <c r="BC406" s="52">
        <f t="shared" si="1294"/>
        <v>-2.5363351382160171E-2</v>
      </c>
      <c r="BD406" s="52">
        <f t="shared" si="1294"/>
        <v>2.1837397338766218E-2</v>
      </c>
      <c r="BE406" s="114">
        <f t="shared" si="1294"/>
        <v>-8.4142394822006583E-3</v>
      </c>
      <c r="BF406" s="112">
        <f>(1+BF402)/(1+BF403)-1</f>
        <v>-6.1974324922531299E-3</v>
      </c>
      <c r="BG406" s="114">
        <f t="shared" si="1294"/>
        <v>-6.5262683709668368E-2</v>
      </c>
      <c r="BH406" s="52">
        <f>+BH392</f>
        <v>-0.11335769664264483</v>
      </c>
      <c r="BI406" s="114">
        <f>+BI392</f>
        <v>-9.5827107200177175E-2</v>
      </c>
      <c r="BJ406" s="114">
        <f>(1+BJ402)/(1+BJ403)-1</f>
        <v>-0.12242529736002328</v>
      </c>
      <c r="BK406" s="112">
        <f>(1+BK402)/(1+BK403)-1</f>
        <v>-9.6812622610114363E-2</v>
      </c>
      <c r="BL406" s="114">
        <f t="shared" ref="BL406:BN406" si="1295">(1+BL402)/(1+BL403)-1</f>
        <v>-6.757464641173383E-2</v>
      </c>
      <c r="BM406" s="114">
        <f t="shared" si="1295"/>
        <v>-3.4839924670433176E-2</v>
      </c>
      <c r="BN406" s="114">
        <f t="shared" si="1295"/>
        <v>-4.9019607843137303E-2</v>
      </c>
      <c r="BO406" s="114">
        <f>(1+BO402)/(1+BO403)-1</f>
        <v>-6.2472229627654863E-2</v>
      </c>
      <c r="BP406" s="112">
        <f>(1+BP402)/(1+BP403)-1</f>
        <v>-5.1859466818554356E-2</v>
      </c>
      <c r="BQ406" s="114">
        <f t="shared" ref="BQ406:BS406" si="1296">(1+BQ402)/(1+BQ403)-1</f>
        <v>-6.0549313358302159E-2</v>
      </c>
      <c r="BR406" s="114">
        <f t="shared" si="1296"/>
        <v>-3.3340792123517593E-2</v>
      </c>
      <c r="BS406" s="114">
        <f t="shared" si="1296"/>
        <v>2.2523532048408734E-2</v>
      </c>
      <c r="BT406" s="114">
        <f>(1+BT402)/(1+BT403)-1</f>
        <v>4.2654028436019065E-2</v>
      </c>
      <c r="BU406" s="112">
        <f>(1+BU402)/(1+BU403)-1</f>
        <v>-6.6885629562649651E-3</v>
      </c>
      <c r="BV406" s="114">
        <f t="shared" ref="BV406:BX406" si="1297">(1+BV402)/(1+BV403)-1</f>
        <v>1.5134736064968735E-2</v>
      </c>
      <c r="BW406" s="114">
        <f t="shared" si="1297"/>
        <v>-2.0467836257309857E-2</v>
      </c>
      <c r="BX406" s="114">
        <f t="shared" si="1297"/>
        <v>-6.9437883797827005E-2</v>
      </c>
      <c r="BY406" s="114">
        <f>(1+BY402)/(1+BY403)-1</f>
        <v>-6.6091954022988508E-2</v>
      </c>
      <c r="BZ406" s="112">
        <f>(1+BZ402)/(1+BZ403)-1</f>
        <v>-3.732316045012618E-2</v>
      </c>
      <c r="CA406" s="114">
        <f t="shared" ref="CA406:CC406" si="1298">(1+CA402)/(1+CA403)-1</f>
        <v>-9.8548510313216098E-2</v>
      </c>
      <c r="CB406" s="114">
        <f t="shared" si="1298"/>
        <v>-0.12734713529128561</v>
      </c>
      <c r="CC406" s="114">
        <f t="shared" si="1298"/>
        <v>-5.2298234992781745E-2</v>
      </c>
      <c r="CD406" s="114">
        <f>(1+CD402)/(1+CD403)-1</f>
        <v>-5.6059452099056051E-2</v>
      </c>
      <c r="CE406" s="112">
        <f>(1+CE402)/(1+CE403)-1</f>
        <v>-8.5402719607778455E-2</v>
      </c>
      <c r="CF406" s="114">
        <f t="shared" ref="CF406:CH406" si="1299">(1+CF402)/(1+CF403)-1</f>
        <v>-1.2851555224436595E-2</v>
      </c>
      <c r="CG406" s="114">
        <f t="shared" si="1299"/>
        <v>2.5099695050434079E-2</v>
      </c>
      <c r="CH406" s="114">
        <f t="shared" si="1299"/>
        <v>-1.213303275158939E-2</v>
      </c>
      <c r="CI406" s="114">
        <f>(1+CI402)/(1+CI403)-1</f>
        <v>-3.1319129118640099E-2</v>
      </c>
      <c r="CJ406" s="112">
        <f>(1+CJ402)/(1+CJ403)-1</f>
        <v>-7.6058953374693594E-3</v>
      </c>
      <c r="CK406" s="114">
        <f t="shared" ref="CK406:CP406" si="1300">(1+CK402)/(1+CK403)-1</f>
        <v>-4.2851642004510637E-2</v>
      </c>
      <c r="CL406" s="114">
        <f t="shared" si="1300"/>
        <v>0</v>
      </c>
      <c r="CM406" s="114">
        <f t="shared" si="1300"/>
        <v>-7.2779072779072806E-2</v>
      </c>
      <c r="CN406" s="114">
        <f t="shared" si="1300"/>
        <v>-3.3605283605283587E-2</v>
      </c>
      <c r="CO406" s="112">
        <f>(1+CO402)/(1+CO403)-1</f>
        <v>-3.5983284538197879E-2</v>
      </c>
      <c r="CP406" s="114">
        <f t="shared" si="1300"/>
        <v>1.5325670498084198E-2</v>
      </c>
      <c r="CQ406" s="52">
        <f>+CQ392</f>
        <v>-4.3243501529051098E-3</v>
      </c>
      <c r="CR406" s="52">
        <f>+CR392</f>
        <v>3.4291267527419178E-2</v>
      </c>
      <c r="CS406" s="114">
        <f t="shared" ref="CS406" si="1301">(1+CS402)/(1+CS403)-1</f>
        <v>1.4688828759180428E-2</v>
      </c>
      <c r="CT406" s="112">
        <f>(1+CT402)/(1+CT403)-1</f>
        <v>8.7561770060564648E-3</v>
      </c>
      <c r="CU406" s="114">
        <f t="shared" ref="CU406" si="1302">(1+CU402)/(1+CU403)-1</f>
        <v>-2.5502799087704919E-2</v>
      </c>
      <c r="CV406" s="52">
        <f>+CV392</f>
        <v>6.0000000000000001E-3</v>
      </c>
      <c r="CW406" s="52">
        <f>+CW392</f>
        <v>1.0999999999999999E-2</v>
      </c>
      <c r="CX406" s="52">
        <f>+CX392</f>
        <v>4.0000000000000001E-3</v>
      </c>
      <c r="CY406" s="112">
        <f>(1+CY402)/(1+CY403)-1</f>
        <v>-9.5073543218371359E-4</v>
      </c>
      <c r="CZ406" s="52">
        <f>+CZ392</f>
        <v>1.2E-2</v>
      </c>
      <c r="DA406" s="52">
        <f>+DA392</f>
        <v>0</v>
      </c>
      <c r="DB406" s="52">
        <f>+DB392</f>
        <v>0</v>
      </c>
      <c r="DC406" s="52">
        <f>+DC392</f>
        <v>0</v>
      </c>
      <c r="DD406" s="112">
        <f>(1+DD402)/(1+DD403)-1</f>
        <v>2.7837569951307817E-3</v>
      </c>
      <c r="DE406" s="52">
        <f>+DE392</f>
        <v>0</v>
      </c>
      <c r="DF406" s="52">
        <f>+DF392</f>
        <v>0</v>
      </c>
      <c r="DG406" s="52">
        <f>+DG392</f>
        <v>0</v>
      </c>
      <c r="DH406" s="52">
        <f>+DH392</f>
        <v>0</v>
      </c>
      <c r="DI406" s="112">
        <f>(1+DI402)/(1+DI403)-1</f>
        <v>0</v>
      </c>
    </row>
    <row r="407" spans="1:113" ht="12" hidden="1" customHeight="1" outlineLevel="1">
      <c r="A407" s="219"/>
      <c r="B407" s="17"/>
      <c r="C407" s="79"/>
      <c r="D407" s="6"/>
      <c r="E407" s="79"/>
      <c r="F407" s="6"/>
      <c r="G407" s="79"/>
      <c r="H407" s="6"/>
      <c r="I407" s="79"/>
      <c r="J407" s="6"/>
      <c r="K407" s="79"/>
      <c r="L407" s="6"/>
      <c r="M407" s="79"/>
      <c r="N407" s="6"/>
      <c r="O407" s="79"/>
      <c r="P407" s="6"/>
      <c r="Q407" s="79"/>
      <c r="R407" s="6"/>
      <c r="S407" s="6"/>
      <c r="T407" s="6"/>
      <c r="U407" s="6"/>
      <c r="V407" s="79"/>
      <c r="W407" s="6"/>
      <c r="X407" s="6"/>
      <c r="Y407" s="6"/>
      <c r="Z407" s="6"/>
      <c r="AA407" s="79"/>
      <c r="AB407" s="79"/>
      <c r="AC407" s="6"/>
      <c r="AD407" s="6"/>
      <c r="AE407" s="6"/>
      <c r="AF407" s="6"/>
      <c r="AG407" s="79"/>
      <c r="AH407" s="6"/>
      <c r="AI407" s="6"/>
      <c r="AJ407" s="6"/>
      <c r="AK407" s="6"/>
      <c r="AL407" s="79"/>
      <c r="AM407" s="6"/>
      <c r="AN407" s="6"/>
      <c r="AO407" s="6"/>
      <c r="AP407" s="6"/>
      <c r="AQ407" s="79"/>
      <c r="AR407" s="6"/>
      <c r="AS407" s="6"/>
      <c r="AT407" s="6"/>
      <c r="AU407" s="6"/>
      <c r="AV407" s="79"/>
      <c r="AW407" s="6"/>
      <c r="AX407" s="6"/>
      <c r="AY407" s="6"/>
      <c r="AZ407" s="6"/>
      <c r="BA407" s="79"/>
      <c r="BB407" s="6"/>
      <c r="BC407" s="6"/>
      <c r="BD407" s="6"/>
      <c r="BE407" s="582"/>
      <c r="BF407" s="79"/>
      <c r="BG407" s="582"/>
      <c r="BH407" s="6"/>
      <c r="BI407" s="582"/>
      <c r="BJ407" s="582"/>
      <c r="BK407" s="79"/>
      <c r="BL407" s="6"/>
      <c r="BM407" s="6"/>
      <c r="BN407" s="231"/>
      <c r="BO407" s="231"/>
      <c r="BP407" s="246"/>
      <c r="BQ407" s="231"/>
      <c r="BR407" s="231"/>
      <c r="BS407" s="231"/>
      <c r="BT407" s="6"/>
      <c r="BU407" s="246"/>
      <c r="BV407" s="6"/>
      <c r="BW407" s="231"/>
      <c r="BX407" s="231"/>
      <c r="BY407" s="6"/>
      <c r="BZ407" s="79"/>
      <c r="CA407" s="6"/>
      <c r="CB407" s="6"/>
      <c r="CC407" s="6"/>
      <c r="CD407" s="6"/>
      <c r="CE407" s="79"/>
      <c r="CF407" s="6"/>
      <c r="CG407" s="6"/>
      <c r="CH407" s="6"/>
      <c r="CI407" s="582"/>
      <c r="CJ407" s="79"/>
      <c r="CK407" s="6"/>
      <c r="CL407" s="6"/>
      <c r="CM407" s="6"/>
      <c r="CN407" s="6"/>
      <c r="CO407" s="79"/>
      <c r="CP407" s="6"/>
      <c r="CQ407" s="6"/>
      <c r="CR407" s="6"/>
      <c r="CS407" s="6"/>
      <c r="CT407" s="79"/>
      <c r="CU407" s="6"/>
      <c r="CV407" s="6"/>
      <c r="CW407" s="6"/>
      <c r="CX407" s="6"/>
      <c r="CY407" s="79"/>
      <c r="CZ407" s="6"/>
      <c r="DA407" s="6"/>
      <c r="DB407" s="6"/>
      <c r="DC407" s="6"/>
      <c r="DD407" s="79"/>
      <c r="DE407" s="6"/>
      <c r="DF407" s="6"/>
      <c r="DG407" s="6"/>
      <c r="DH407" s="6"/>
      <c r="DI407" s="79"/>
    </row>
    <row r="408" spans="1:113" s="7" customFormat="1" ht="12" hidden="1" customHeight="1" outlineLevel="1">
      <c r="A408" s="239" t="str">
        <f t="shared" si="1040"/>
        <v xml:space="preserve"> </v>
      </c>
      <c r="B408" s="20" t="s">
        <v>97</v>
      </c>
      <c r="C408" s="36"/>
      <c r="D408" s="43"/>
      <c r="E408" s="36"/>
      <c r="F408" s="43"/>
      <c r="G408" s="36"/>
      <c r="H408" s="43"/>
      <c r="I408" s="36"/>
      <c r="J408" s="43"/>
      <c r="K408" s="36"/>
      <c r="L408" s="43"/>
      <c r="M408" s="36"/>
      <c r="N408" s="43"/>
      <c r="O408" s="36"/>
      <c r="P408" s="43"/>
      <c r="Q408" s="36"/>
      <c r="R408" s="43">
        <v>55</v>
      </c>
      <c r="S408" s="43">
        <v>65</v>
      </c>
      <c r="T408" s="43">
        <v>64</v>
      </c>
      <c r="U408" s="43">
        <v>66</v>
      </c>
      <c r="V408" s="36">
        <f>SUM(R408:U408)</f>
        <v>250</v>
      </c>
      <c r="W408" s="43">
        <v>68</v>
      </c>
      <c r="X408" s="43">
        <v>70</v>
      </c>
      <c r="Y408" s="43">
        <f>15+53</f>
        <v>68</v>
      </c>
      <c r="Z408" s="43">
        <f>209+69-Y408-X408-W408</f>
        <v>72</v>
      </c>
      <c r="AA408" s="36">
        <f>SUM(W408:Z408)</f>
        <v>278</v>
      </c>
      <c r="AB408" s="36"/>
      <c r="AC408" s="43">
        <v>79</v>
      </c>
      <c r="AD408" s="43">
        <v>83</v>
      </c>
      <c r="AE408" s="43">
        <v>85</v>
      </c>
      <c r="AF408" s="43">
        <v>102</v>
      </c>
      <c r="AG408" s="36">
        <f>SUM(AC408:AF408)</f>
        <v>349</v>
      </c>
      <c r="AH408" s="43">
        <v>69</v>
      </c>
      <c r="AI408" s="43">
        <v>85</v>
      </c>
      <c r="AJ408" s="43">
        <v>89</v>
      </c>
      <c r="AK408" s="43">
        <v>89</v>
      </c>
      <c r="AL408" s="36">
        <f>SUM(AH408:AK408)</f>
        <v>332</v>
      </c>
      <c r="AM408" s="43">
        <v>68</v>
      </c>
      <c r="AN408" s="43">
        <v>84</v>
      </c>
      <c r="AO408" s="43">
        <v>81</v>
      </c>
      <c r="AP408" s="43">
        <v>76</v>
      </c>
      <c r="AQ408" s="36">
        <f>SUM(AM408:AP408)</f>
        <v>309</v>
      </c>
      <c r="AR408" s="43">
        <v>69</v>
      </c>
      <c r="AS408" s="43">
        <v>62</v>
      </c>
      <c r="AT408" s="43">
        <v>71</v>
      </c>
      <c r="AU408" s="43">
        <v>68</v>
      </c>
      <c r="AV408" s="36">
        <f>SUM(AR408:AU408)</f>
        <v>270</v>
      </c>
      <c r="AW408" s="43">
        <v>65</v>
      </c>
      <c r="AX408" s="43">
        <v>69</v>
      </c>
      <c r="AY408" s="43">
        <v>67</v>
      </c>
      <c r="AZ408" s="43">
        <v>66</v>
      </c>
      <c r="BA408" s="36">
        <f>SUM(AW408:AZ408)</f>
        <v>267</v>
      </c>
      <c r="BB408" s="43">
        <v>61</v>
      </c>
      <c r="BC408" s="43">
        <v>58</v>
      </c>
      <c r="BD408" s="43">
        <v>63</v>
      </c>
      <c r="BE408" s="369">
        <v>62</v>
      </c>
      <c r="BF408" s="36">
        <f>SUM(BB408:BE408)</f>
        <v>244</v>
      </c>
      <c r="BG408" s="369">
        <v>57</v>
      </c>
      <c r="BH408" s="43">
        <v>59</v>
      </c>
      <c r="BI408" s="369">
        <v>58</v>
      </c>
      <c r="BJ408" s="369">
        <v>63</v>
      </c>
      <c r="BK408" s="36">
        <f>SUM(BG408:BJ408)</f>
        <v>237</v>
      </c>
      <c r="BL408" s="43">
        <v>59</v>
      </c>
      <c r="BM408" s="43">
        <v>61</v>
      </c>
      <c r="BN408" s="43">
        <v>63</v>
      </c>
      <c r="BO408" s="43">
        <v>31</v>
      </c>
      <c r="BP408" s="36">
        <f>SUM(BL408:BO408)</f>
        <v>214</v>
      </c>
      <c r="BQ408" s="43">
        <v>40</v>
      </c>
      <c r="BR408" s="43">
        <v>48</v>
      </c>
      <c r="BS408" s="43">
        <v>47</v>
      </c>
      <c r="BT408" s="43">
        <v>55</v>
      </c>
      <c r="BU408" s="36">
        <f>SUM(BQ408:BT408)</f>
        <v>190</v>
      </c>
      <c r="BV408" s="43">
        <v>58</v>
      </c>
      <c r="BW408" s="43">
        <v>58</v>
      </c>
      <c r="BX408" s="43">
        <v>62</v>
      </c>
      <c r="BY408" s="43">
        <v>56</v>
      </c>
      <c r="BZ408" s="36">
        <f>SUM(BV408:BY408)</f>
        <v>234</v>
      </c>
      <c r="CA408" s="43">
        <v>58</v>
      </c>
      <c r="CB408" s="43">
        <v>56</v>
      </c>
      <c r="CC408" s="43">
        <v>53</v>
      </c>
      <c r="CD408" s="43">
        <v>57</v>
      </c>
      <c r="CE408" s="36">
        <f>SUM(CA408:CD408)</f>
        <v>224</v>
      </c>
      <c r="CF408" s="43">
        <v>60</v>
      </c>
      <c r="CG408" s="369">
        <v>65</v>
      </c>
      <c r="CH408" s="43">
        <v>62</v>
      </c>
      <c r="CI408" s="369">
        <v>63</v>
      </c>
      <c r="CJ408" s="36">
        <f>SUM(CF408:CI408)</f>
        <v>250</v>
      </c>
      <c r="CK408" s="43">
        <v>62</v>
      </c>
      <c r="CL408" s="43">
        <v>73</v>
      </c>
      <c r="CM408" s="43">
        <v>60</v>
      </c>
      <c r="CN408" s="43">
        <v>63</v>
      </c>
      <c r="CO408" s="36">
        <f>SUM(CK408:CN408)</f>
        <v>258</v>
      </c>
      <c r="CP408" s="43">
        <v>58</v>
      </c>
      <c r="CQ408" s="43">
        <v>59</v>
      </c>
      <c r="CR408" s="43">
        <v>58</v>
      </c>
      <c r="CS408" s="43">
        <v>62</v>
      </c>
      <c r="CT408" s="36">
        <f>SUM(CP408:CS408)</f>
        <v>237</v>
      </c>
      <c r="CU408" s="369">
        <v>59</v>
      </c>
      <c r="CV408" s="43">
        <f>CQ408*(1+CV410)*(1+CV411)</f>
        <v>57.57338</v>
      </c>
      <c r="CW408" s="43">
        <f>CR408*(1+CW410)*(1+CW411)</f>
        <v>56.878859999999989</v>
      </c>
      <c r="CX408" s="43">
        <f>CS408*(1+CX410)*(1+CX411)</f>
        <v>60.380560000000003</v>
      </c>
      <c r="CY408" s="36">
        <f>SUM(CU408:CX408)</f>
        <v>233.83279999999999</v>
      </c>
      <c r="CZ408" s="43">
        <f>CU408*(1+CZ410)*(1+CZ411)</f>
        <v>59.707999999999998</v>
      </c>
      <c r="DA408" s="43">
        <f>CV408*(1+DA410)*(1+DA411)</f>
        <v>57.57338</v>
      </c>
      <c r="DB408" s="43">
        <f>CW408*(1+DB410)*(1+DB411)</f>
        <v>56.878859999999989</v>
      </c>
      <c r="DC408" s="43">
        <f>CX408*(1+DC410)*(1+DC411)</f>
        <v>60.380560000000003</v>
      </c>
      <c r="DD408" s="36">
        <f>SUM(CZ408:DC408)</f>
        <v>234.54079999999999</v>
      </c>
      <c r="DE408" s="43">
        <f>CZ408*(1+DE410)*(1+DE411)</f>
        <v>60.305079999999997</v>
      </c>
      <c r="DF408" s="43">
        <f>DA408*(1+DF410)*(1+DF411)</f>
        <v>58.149113800000002</v>
      </c>
      <c r="DG408" s="43">
        <f>DB408*(1+DG410)*(1+DG411)</f>
        <v>57.447648599999987</v>
      </c>
      <c r="DH408" s="43">
        <f>DC408*(1+DH410)*(1+DH411)</f>
        <v>60.984365600000004</v>
      </c>
      <c r="DI408" s="36">
        <f>SUM(DE408:DH408)</f>
        <v>236.88620800000001</v>
      </c>
    </row>
    <row r="409" spans="1:113" ht="12" hidden="1" customHeight="1" outlineLevel="1">
      <c r="A409" s="219" t="str">
        <f t="shared" si="1040"/>
        <v xml:space="preserve"> </v>
      </c>
      <c r="B409" s="491" t="s">
        <v>171</v>
      </c>
      <c r="C409" s="492"/>
      <c r="D409" s="522"/>
      <c r="E409" s="492"/>
      <c r="F409" s="522"/>
      <c r="G409" s="492"/>
      <c r="H409" s="522"/>
      <c r="I409" s="492"/>
      <c r="J409" s="522"/>
      <c r="K409" s="492"/>
      <c r="L409" s="522"/>
      <c r="M409" s="492"/>
      <c r="N409" s="522"/>
      <c r="O409" s="492"/>
      <c r="P409" s="522"/>
      <c r="Q409" s="492"/>
      <c r="R409" s="378" t="s">
        <v>126</v>
      </c>
      <c r="S409" s="522" t="s">
        <v>126</v>
      </c>
      <c r="T409" s="522" t="s">
        <v>126</v>
      </c>
      <c r="U409" s="522" t="s">
        <v>126</v>
      </c>
      <c r="V409" s="492" t="s">
        <v>126</v>
      </c>
      <c r="W409" s="52">
        <f>+W408/R408-1</f>
        <v>0.23636363636363633</v>
      </c>
      <c r="X409" s="52">
        <f>+X408/S408-1</f>
        <v>7.6923076923076872E-2</v>
      </c>
      <c r="Y409" s="52">
        <f>+Y408/T408-1</f>
        <v>6.25E-2</v>
      </c>
      <c r="Z409" s="52">
        <f>+Z408/U408-1</f>
        <v>9.0909090909090828E-2</v>
      </c>
      <c r="AA409" s="112">
        <f>+AA408/V408-1</f>
        <v>0.1120000000000001</v>
      </c>
      <c r="AB409" s="112"/>
      <c r="AC409" s="52">
        <f>+AC408/W408-1</f>
        <v>0.16176470588235303</v>
      </c>
      <c r="AD409" s="52">
        <f>+AD408/X408-1</f>
        <v>0.18571428571428572</v>
      </c>
      <c r="AE409" s="52">
        <f>+AE408/Y408-1</f>
        <v>0.25</v>
      </c>
      <c r="AF409" s="52">
        <f>+AF408/Z408-1</f>
        <v>0.41666666666666674</v>
      </c>
      <c r="AG409" s="112">
        <f>+AG408/AA408-1</f>
        <v>0.25539568345323738</v>
      </c>
      <c r="AH409" s="52">
        <f t="shared" ref="AH409:BP409" si="1303">+AH408/AC408-1</f>
        <v>-0.12658227848101267</v>
      </c>
      <c r="AI409" s="52">
        <f t="shared" si="1303"/>
        <v>2.4096385542168752E-2</v>
      </c>
      <c r="AJ409" s="52">
        <f t="shared" si="1303"/>
        <v>4.705882352941182E-2</v>
      </c>
      <c r="AK409" s="52">
        <f t="shared" si="1303"/>
        <v>-0.12745098039215685</v>
      </c>
      <c r="AL409" s="112">
        <f t="shared" si="1303"/>
        <v>-4.8710601719197721E-2</v>
      </c>
      <c r="AM409" s="52">
        <f t="shared" si="1303"/>
        <v>-1.4492753623188359E-2</v>
      </c>
      <c r="AN409" s="52">
        <f t="shared" si="1303"/>
        <v>-1.1764705882352899E-2</v>
      </c>
      <c r="AO409" s="52">
        <f t="shared" si="1303"/>
        <v>-8.98876404494382E-2</v>
      </c>
      <c r="AP409" s="52">
        <f t="shared" si="1303"/>
        <v>-0.1460674157303371</v>
      </c>
      <c r="AQ409" s="112">
        <f t="shared" si="1303"/>
        <v>-6.9277108433734913E-2</v>
      </c>
      <c r="AR409" s="52">
        <f t="shared" si="1303"/>
        <v>1.4705882352941124E-2</v>
      </c>
      <c r="AS409" s="52">
        <f t="shared" si="1303"/>
        <v>-0.26190476190476186</v>
      </c>
      <c r="AT409" s="52">
        <f t="shared" si="1303"/>
        <v>-0.12345679012345678</v>
      </c>
      <c r="AU409" s="52">
        <f t="shared" si="1303"/>
        <v>-0.10526315789473684</v>
      </c>
      <c r="AV409" s="112">
        <f t="shared" si="1303"/>
        <v>-0.12621359223300976</v>
      </c>
      <c r="AW409" s="52">
        <f t="shared" si="1303"/>
        <v>-5.7971014492753659E-2</v>
      </c>
      <c r="AX409" s="52">
        <f t="shared" si="1303"/>
        <v>0.11290322580645151</v>
      </c>
      <c r="AY409" s="52">
        <f t="shared" si="1303"/>
        <v>-5.633802816901412E-2</v>
      </c>
      <c r="AZ409" s="52">
        <f t="shared" si="1303"/>
        <v>-2.9411764705882359E-2</v>
      </c>
      <c r="BA409" s="112">
        <f t="shared" si="1303"/>
        <v>-1.1111111111111072E-2</v>
      </c>
      <c r="BB409" s="52">
        <f t="shared" si="1303"/>
        <v>-6.1538461538461542E-2</v>
      </c>
      <c r="BC409" s="52">
        <f t="shared" si="1303"/>
        <v>-0.15942028985507251</v>
      </c>
      <c r="BD409" s="52">
        <f t="shared" si="1303"/>
        <v>-5.9701492537313383E-2</v>
      </c>
      <c r="BE409" s="114">
        <f t="shared" si="1303"/>
        <v>-6.0606060606060552E-2</v>
      </c>
      <c r="BF409" s="112">
        <f t="shared" si="1303"/>
        <v>-8.6142322097378266E-2</v>
      </c>
      <c r="BG409" s="114">
        <f t="shared" si="1303"/>
        <v>-6.557377049180324E-2</v>
      </c>
      <c r="BH409" s="52">
        <f t="shared" si="1303"/>
        <v>1.7241379310344751E-2</v>
      </c>
      <c r="BI409" s="114">
        <f t="shared" si="1303"/>
        <v>-7.9365079365079416E-2</v>
      </c>
      <c r="BJ409" s="114">
        <f t="shared" si="1303"/>
        <v>1.6129032258064502E-2</v>
      </c>
      <c r="BK409" s="112">
        <f t="shared" si="1303"/>
        <v>-2.8688524590163911E-2</v>
      </c>
      <c r="BL409" s="52">
        <f t="shared" si="1303"/>
        <v>3.5087719298245723E-2</v>
      </c>
      <c r="BM409" s="52">
        <f t="shared" si="1303"/>
        <v>3.3898305084745672E-2</v>
      </c>
      <c r="BN409" s="52">
        <f t="shared" si="1303"/>
        <v>8.6206896551724199E-2</v>
      </c>
      <c r="BO409" s="52">
        <f t="shared" si="1303"/>
        <v>-0.50793650793650791</v>
      </c>
      <c r="BP409" s="112">
        <f t="shared" si="1303"/>
        <v>-9.7046413502109741E-2</v>
      </c>
      <c r="BQ409" s="52">
        <f t="shared" ref="BQ409:BZ409" si="1304">+BQ408/BL408-1</f>
        <v>-0.32203389830508478</v>
      </c>
      <c r="BR409" s="52">
        <f t="shared" si="1304"/>
        <v>-0.21311475409836067</v>
      </c>
      <c r="BS409" s="52">
        <f t="shared" si="1304"/>
        <v>-0.25396825396825395</v>
      </c>
      <c r="BT409" s="52">
        <f t="shared" si="1304"/>
        <v>0.77419354838709675</v>
      </c>
      <c r="BU409" s="112">
        <f t="shared" si="1304"/>
        <v>-0.11214953271028039</v>
      </c>
      <c r="BV409" s="52">
        <f t="shared" si="1304"/>
        <v>0.44999999999999996</v>
      </c>
      <c r="BW409" s="52">
        <f t="shared" si="1304"/>
        <v>0.20833333333333326</v>
      </c>
      <c r="BX409" s="52">
        <f t="shared" si="1304"/>
        <v>0.31914893617021267</v>
      </c>
      <c r="BY409" s="52">
        <f t="shared" si="1304"/>
        <v>1.8181818181818077E-2</v>
      </c>
      <c r="BZ409" s="112">
        <f t="shared" si="1304"/>
        <v>0.23157894736842111</v>
      </c>
      <c r="CA409" s="52">
        <f t="shared" ref="CA409" si="1305">+CA408/BV408-1</f>
        <v>0</v>
      </c>
      <c r="CB409" s="52">
        <f t="shared" ref="CB409:CD409" si="1306">+CB408/BW408-1</f>
        <v>-3.4482758620689613E-2</v>
      </c>
      <c r="CC409" s="52">
        <f t="shared" si="1306"/>
        <v>-0.14516129032258063</v>
      </c>
      <c r="CD409" s="52">
        <f t="shared" si="1306"/>
        <v>1.7857142857142794E-2</v>
      </c>
      <c r="CE409" s="112">
        <f t="shared" ref="CE409" si="1307">+CE408/BZ408-1</f>
        <v>-4.2735042735042694E-2</v>
      </c>
      <c r="CF409" s="52">
        <f t="shared" ref="CF409" si="1308">+CF408/CA408-1</f>
        <v>3.4482758620689724E-2</v>
      </c>
      <c r="CG409" s="52">
        <f t="shared" ref="CG409:CH409" si="1309">+CG408/CB408-1</f>
        <v>0.16071428571428581</v>
      </c>
      <c r="CH409" s="52">
        <f t="shared" si="1309"/>
        <v>0.16981132075471694</v>
      </c>
      <c r="CI409" s="114">
        <f t="shared" ref="CI409:CJ409" si="1310">+CI408/CD408-1</f>
        <v>0.10526315789473695</v>
      </c>
      <c r="CJ409" s="112">
        <f t="shared" si="1310"/>
        <v>0.1160714285714286</v>
      </c>
      <c r="CK409" s="52">
        <f t="shared" ref="CK409:CM409" si="1311">+CK408/CF408-1</f>
        <v>3.3333333333333437E-2</v>
      </c>
      <c r="CL409" s="52">
        <f t="shared" si="1311"/>
        <v>0.12307692307692308</v>
      </c>
      <c r="CM409" s="52">
        <f t="shared" si="1311"/>
        <v>-3.2258064516129004E-2</v>
      </c>
      <c r="CN409" s="52">
        <f t="shared" ref="CN409" si="1312">+CN408/CI408-1</f>
        <v>0</v>
      </c>
      <c r="CO409" s="112">
        <f t="shared" ref="CO409:CP409" si="1313">+CO408/CJ408-1</f>
        <v>3.2000000000000028E-2</v>
      </c>
      <c r="CP409" s="52">
        <f t="shared" si="1313"/>
        <v>-6.4516129032258118E-2</v>
      </c>
      <c r="CQ409" s="52">
        <f t="shared" ref="CQ409:CR409" si="1314">+CQ408/CL408-1</f>
        <v>-0.19178082191780821</v>
      </c>
      <c r="CR409" s="52">
        <f t="shared" si="1314"/>
        <v>-3.3333333333333326E-2</v>
      </c>
      <c r="CS409" s="52">
        <f t="shared" ref="CS409" si="1315">+CS408/CN408-1</f>
        <v>-1.5873015873015928E-2</v>
      </c>
      <c r="CT409" s="112">
        <f t="shared" ref="CT409" si="1316">+CT408/CO408-1</f>
        <v>-8.1395348837209336E-2</v>
      </c>
      <c r="CU409" s="52">
        <f t="shared" ref="CU409" si="1317">+CU408/CP408-1</f>
        <v>1.7241379310344751E-2</v>
      </c>
      <c r="CV409" s="52">
        <f t="shared" ref="CV409" si="1318">+CV408/CQ408-1</f>
        <v>-2.4179999999999979E-2</v>
      </c>
      <c r="CW409" s="52">
        <f t="shared" ref="CW409" si="1319">+CW408/CR408-1</f>
        <v>-1.933000000000018E-2</v>
      </c>
      <c r="CX409" s="52">
        <f t="shared" ref="CX409" si="1320">+CX408/CS408-1</f>
        <v>-2.6119999999999921E-2</v>
      </c>
      <c r="CY409" s="112">
        <f t="shared" ref="CY409" si="1321">+CY408/CT408-1</f>
        <v>-1.3363713080168815E-2</v>
      </c>
      <c r="CZ409" s="52">
        <f t="shared" ref="CZ409" si="1322">+CZ408/CU408-1</f>
        <v>1.2000000000000011E-2</v>
      </c>
      <c r="DA409" s="52">
        <f t="shared" ref="DA409" si="1323">+DA408/CV408-1</f>
        <v>0</v>
      </c>
      <c r="DB409" s="52">
        <f t="shared" ref="DB409" si="1324">+DB408/CW408-1</f>
        <v>0</v>
      </c>
      <c r="DC409" s="52">
        <f t="shared" ref="DC409" si="1325">+DC408/CX408-1</f>
        <v>0</v>
      </c>
      <c r="DD409" s="112">
        <f t="shared" ref="DD409" si="1326">+DD408/CY408-1</f>
        <v>3.0278044825191586E-3</v>
      </c>
      <c r="DE409" s="52">
        <f t="shared" ref="DE409" si="1327">+DE408/CZ408-1</f>
        <v>1.0000000000000009E-2</v>
      </c>
      <c r="DF409" s="52">
        <f t="shared" ref="DF409" si="1328">+DF408/DA408-1</f>
        <v>1.0000000000000009E-2</v>
      </c>
      <c r="DG409" s="52">
        <f t="shared" ref="DG409" si="1329">+DG408/DB408-1</f>
        <v>1.0000000000000009E-2</v>
      </c>
      <c r="DH409" s="52">
        <f t="shared" ref="DH409" si="1330">+DH408/DC408-1</f>
        <v>1.0000000000000009E-2</v>
      </c>
      <c r="DI409" s="112">
        <f t="shared" ref="DI409" si="1331">+DI408/DD408-1</f>
        <v>1.0000000000000009E-2</v>
      </c>
    </row>
    <row r="410" spans="1:113" ht="12" hidden="1" customHeight="1" outlineLevel="1">
      <c r="A410" s="219" t="str">
        <f t="shared" si="1040"/>
        <v xml:space="preserve"> </v>
      </c>
      <c r="B410" s="491" t="s">
        <v>173</v>
      </c>
      <c r="C410" s="492"/>
      <c r="D410" s="522"/>
      <c r="E410" s="492"/>
      <c r="F410" s="522"/>
      <c r="G410" s="492"/>
      <c r="H410" s="522"/>
      <c r="I410" s="492"/>
      <c r="J410" s="522"/>
      <c r="K410" s="492"/>
      <c r="L410" s="522"/>
      <c r="M410" s="492"/>
      <c r="N410" s="522"/>
      <c r="O410" s="492"/>
      <c r="P410" s="522"/>
      <c r="Q410" s="492"/>
      <c r="R410" s="378" t="s">
        <v>126</v>
      </c>
      <c r="S410" s="522" t="s">
        <v>126</v>
      </c>
      <c r="T410" s="522" t="s">
        <v>126</v>
      </c>
      <c r="U410" s="522" t="s">
        <v>126</v>
      </c>
      <c r="V410" s="492" t="s">
        <v>126</v>
      </c>
      <c r="W410" s="378" t="s">
        <v>126</v>
      </c>
      <c r="X410" s="522" t="s">
        <v>126</v>
      </c>
      <c r="Y410" s="522" t="s">
        <v>126</v>
      </c>
      <c r="Z410" s="522" t="s">
        <v>126</v>
      </c>
      <c r="AA410" s="492" t="s">
        <v>126</v>
      </c>
      <c r="AB410" s="492"/>
      <c r="AC410" s="378" t="s">
        <v>126</v>
      </c>
      <c r="AD410" s="522" t="s">
        <v>126</v>
      </c>
      <c r="AE410" s="522" t="s">
        <v>126</v>
      </c>
      <c r="AF410" s="522" t="s">
        <v>126</v>
      </c>
      <c r="AG410" s="492" t="s">
        <v>126</v>
      </c>
      <c r="AH410" s="378" t="s">
        <v>126</v>
      </c>
      <c r="AI410" s="522" t="s">
        <v>126</v>
      </c>
      <c r="AJ410" s="522" t="s">
        <v>126</v>
      </c>
      <c r="AK410" s="522" t="s">
        <v>126</v>
      </c>
      <c r="AL410" s="492" t="s">
        <v>126</v>
      </c>
      <c r="AM410" s="378" t="s">
        <v>126</v>
      </c>
      <c r="AN410" s="522" t="s">
        <v>126</v>
      </c>
      <c r="AO410" s="522" t="s">
        <v>126</v>
      </c>
      <c r="AP410" s="522" t="s">
        <v>126</v>
      </c>
      <c r="AQ410" s="492" t="s">
        <v>126</v>
      </c>
      <c r="AR410" s="378" t="s">
        <v>126</v>
      </c>
      <c r="AS410" s="522" t="s">
        <v>126</v>
      </c>
      <c r="AT410" s="522" t="s">
        <v>126</v>
      </c>
      <c r="AU410" s="522" t="s">
        <v>126</v>
      </c>
      <c r="AV410" s="492" t="s">
        <v>126</v>
      </c>
      <c r="AW410" s="52">
        <v>-0.04</v>
      </c>
      <c r="AX410" s="52">
        <v>0.11</v>
      </c>
      <c r="AY410" s="52">
        <v>-0.06</v>
      </c>
      <c r="AZ410" s="52">
        <v>-0.03</v>
      </c>
      <c r="BA410" s="112">
        <v>-0.01</v>
      </c>
      <c r="BB410" s="52">
        <v>-0.05</v>
      </c>
      <c r="BC410" s="52">
        <v>-0.15</v>
      </c>
      <c r="BD410" s="376">
        <v>-7.0000000000000007E-2</v>
      </c>
      <c r="BE410" s="114">
        <v>-0.05</v>
      </c>
      <c r="BF410" s="112">
        <f>SUMPRODUCT(BB410:BE410,AW408:AZ408)/BA408</f>
        <v>-8.0861423220973783E-2</v>
      </c>
      <c r="BG410" s="114">
        <v>-0.01</v>
      </c>
      <c r="BH410" s="114">
        <v>0.17</v>
      </c>
      <c r="BI410" s="114">
        <v>0.03</v>
      </c>
      <c r="BJ410" s="114">
        <v>0.15</v>
      </c>
      <c r="BK410" s="112">
        <f>SUMPRODUCT(BG410:BJ410,BB408:BE408)/BF408</f>
        <v>8.3770491803278696E-2</v>
      </c>
      <c r="BL410" s="114">
        <v>0.1</v>
      </c>
      <c r="BM410" s="114">
        <v>0.09</v>
      </c>
      <c r="BN410" s="114">
        <v>0.15</v>
      </c>
      <c r="BO410" s="114">
        <v>-0.47</v>
      </c>
      <c r="BP410" s="112">
        <f>SUMPRODUCT(BL410:BO410,BG408:BJ408)/BK408</f>
        <v>-4.1772151898734171E-2</v>
      </c>
      <c r="BQ410" s="114">
        <v>-0.28000000000000003</v>
      </c>
      <c r="BR410" s="114">
        <v>-0.17</v>
      </c>
      <c r="BS410" s="114">
        <v>-0.26</v>
      </c>
      <c r="BT410" s="114">
        <v>0.74</v>
      </c>
      <c r="BU410" s="112">
        <f>SUMPRODUCT(BQ410:BT410,BL408:BO408)/BP408</f>
        <v>-9.5000000000000015E-2</v>
      </c>
      <c r="BV410" s="247">
        <v>0.44</v>
      </c>
      <c r="BW410" s="114">
        <v>0.22</v>
      </c>
      <c r="BX410" s="114">
        <v>0.44</v>
      </c>
      <c r="BY410" s="114">
        <v>0.09</v>
      </c>
      <c r="BZ410" s="112">
        <f>SUMPRODUCT(BV410:BY410,BQ408:BT408)/BU408</f>
        <v>0.28310526315789475</v>
      </c>
      <c r="CA410" s="247">
        <v>0.12</v>
      </c>
      <c r="CB410" s="114">
        <v>0.08</v>
      </c>
      <c r="CC410" s="114">
        <v>-0.12</v>
      </c>
      <c r="CD410" s="114">
        <v>0.08</v>
      </c>
      <c r="CE410" s="112">
        <f>SUMPRODUCT(CA410:CD410,BV408:BY408)/BZ408</f>
        <v>3.6923076923076927E-2</v>
      </c>
      <c r="CF410" s="114">
        <v>0.03</v>
      </c>
      <c r="CG410" s="114">
        <v>0.15</v>
      </c>
      <c r="CH410" s="114">
        <v>0.19</v>
      </c>
      <c r="CI410" s="114">
        <v>0.13</v>
      </c>
      <c r="CJ410" s="112">
        <f>SUMPRODUCT(CF410:CI410,CA408:CD408)/CE408</f>
        <v>0.12330357142857143</v>
      </c>
      <c r="CK410" s="114">
        <v>0.09</v>
      </c>
      <c r="CL410" s="114">
        <v>0.1</v>
      </c>
      <c r="CM410" s="114">
        <v>0.05</v>
      </c>
      <c r="CN410" s="114">
        <v>0.03</v>
      </c>
      <c r="CO410" s="112">
        <f>SUMPRODUCT(CK410:CN410,CF408:CI408)/CJ408</f>
        <v>6.7559999999999981E-2</v>
      </c>
      <c r="CP410" s="114">
        <v>-7.0000000000000007E-2</v>
      </c>
      <c r="CQ410" s="114">
        <v>-0.18</v>
      </c>
      <c r="CR410" s="114">
        <v>-7.0000000000000007E-2</v>
      </c>
      <c r="CS410" s="114">
        <v>-0.03</v>
      </c>
      <c r="CT410" s="112">
        <f>SUMPRODUCT(CP410:CS410,CK408:CN408)/CO408</f>
        <v>-9.1356589147286824E-2</v>
      </c>
      <c r="CU410" s="114">
        <v>0.02</v>
      </c>
      <c r="CV410" s="53">
        <v>-0.03</v>
      </c>
      <c r="CW410" s="53">
        <v>-0.03</v>
      </c>
      <c r="CX410" s="53">
        <v>-0.03</v>
      </c>
      <c r="CY410" s="112">
        <f>SUMPRODUCT(CU410:CX410,CP408:CS408)/CT408</f>
        <v>-1.7763713080168775E-2</v>
      </c>
      <c r="CZ410" s="53">
        <v>0</v>
      </c>
      <c r="DA410" s="53">
        <v>0</v>
      </c>
      <c r="DB410" s="53">
        <v>0</v>
      </c>
      <c r="DC410" s="53">
        <v>0</v>
      </c>
      <c r="DD410" s="112">
        <f>SUMPRODUCT(CZ410:DC410,CU408:CX408)/CY408</f>
        <v>0</v>
      </c>
      <c r="DE410" s="53">
        <v>0.01</v>
      </c>
      <c r="DF410" s="53">
        <v>0.01</v>
      </c>
      <c r="DG410" s="53">
        <v>0.01</v>
      </c>
      <c r="DH410" s="53">
        <v>0.01</v>
      </c>
      <c r="DI410" s="112">
        <f>SUMPRODUCT(DE410:DH410,CZ408:DC408)/DD408</f>
        <v>0.01</v>
      </c>
    </row>
    <row r="411" spans="1:113" ht="12" hidden="1" customHeight="1" outlineLevel="1">
      <c r="A411" s="219" t="str">
        <f t="shared" si="1040"/>
        <v xml:space="preserve"> </v>
      </c>
      <c r="B411" s="491" t="s">
        <v>141</v>
      </c>
      <c r="C411" s="492"/>
      <c r="D411" s="522"/>
      <c r="E411" s="492"/>
      <c r="F411" s="522"/>
      <c r="G411" s="492"/>
      <c r="H411" s="522"/>
      <c r="I411" s="492"/>
      <c r="J411" s="522"/>
      <c r="K411" s="492"/>
      <c r="L411" s="522"/>
      <c r="M411" s="492"/>
      <c r="N411" s="522"/>
      <c r="O411" s="492"/>
      <c r="P411" s="522"/>
      <c r="Q411" s="492"/>
      <c r="R411" s="378" t="s">
        <v>126</v>
      </c>
      <c r="S411" s="522" t="s">
        <v>126</v>
      </c>
      <c r="T411" s="522" t="s">
        <v>126</v>
      </c>
      <c r="U411" s="522" t="s">
        <v>126</v>
      </c>
      <c r="V411" s="492" t="s">
        <v>126</v>
      </c>
      <c r="W411" s="378" t="s">
        <v>126</v>
      </c>
      <c r="X411" s="522" t="s">
        <v>126</v>
      </c>
      <c r="Y411" s="522" t="s">
        <v>126</v>
      </c>
      <c r="Z411" s="522" t="s">
        <v>126</v>
      </c>
      <c r="AA411" s="492" t="s">
        <v>126</v>
      </c>
      <c r="AB411" s="492"/>
      <c r="AC411" s="378" t="s">
        <v>126</v>
      </c>
      <c r="AD411" s="522" t="s">
        <v>126</v>
      </c>
      <c r="AE411" s="522" t="s">
        <v>126</v>
      </c>
      <c r="AF411" s="522" t="s">
        <v>126</v>
      </c>
      <c r="AG411" s="492" t="s">
        <v>126</v>
      </c>
      <c r="AH411" s="378" t="s">
        <v>126</v>
      </c>
      <c r="AI411" s="522" t="s">
        <v>126</v>
      </c>
      <c r="AJ411" s="522" t="s">
        <v>126</v>
      </c>
      <c r="AK411" s="522" t="s">
        <v>126</v>
      </c>
      <c r="AL411" s="492" t="s">
        <v>126</v>
      </c>
      <c r="AM411" s="378" t="s">
        <v>126</v>
      </c>
      <c r="AN411" s="522" t="s">
        <v>126</v>
      </c>
      <c r="AO411" s="522" t="s">
        <v>126</v>
      </c>
      <c r="AP411" s="522" t="s">
        <v>126</v>
      </c>
      <c r="AQ411" s="492" t="s">
        <v>126</v>
      </c>
      <c r="AR411" s="378" t="s">
        <v>126</v>
      </c>
      <c r="AS411" s="522" t="s">
        <v>126</v>
      </c>
      <c r="AT411" s="522" t="s">
        <v>126</v>
      </c>
      <c r="AU411" s="522" t="s">
        <v>126</v>
      </c>
      <c r="AV411" s="492" t="s">
        <v>126</v>
      </c>
      <c r="AW411" s="52">
        <f t="shared" ref="AW411:BG411" si="1332">(1+AW409)/(1+AW410)-1</f>
        <v>-1.8719806763284996E-2</v>
      </c>
      <c r="AX411" s="52">
        <f t="shared" si="1332"/>
        <v>2.6155187445509043E-3</v>
      </c>
      <c r="AY411" s="52">
        <f t="shared" si="1332"/>
        <v>3.8957147138147796E-3</v>
      </c>
      <c r="AZ411" s="52">
        <f t="shared" si="1332"/>
        <v>6.0642813826561337E-4</v>
      </c>
      <c r="BA411" s="112">
        <f t="shared" si="1332"/>
        <v>-1.1223344556677839E-3</v>
      </c>
      <c r="BB411" s="52">
        <f t="shared" si="1332"/>
        <v>-1.2145748987854255E-2</v>
      </c>
      <c r="BC411" s="52">
        <f t="shared" si="1332"/>
        <v>-1.1082693947144118E-2</v>
      </c>
      <c r="BD411" s="52">
        <f t="shared" si="1332"/>
        <v>1.1073663938372835E-2</v>
      </c>
      <c r="BE411" s="52">
        <f t="shared" si="1332"/>
        <v>-1.1164274322168932E-2</v>
      </c>
      <c r="BF411" s="232">
        <f>(1+BF409)/(1+BF410)-1</f>
        <v>-5.7454871439631683E-3</v>
      </c>
      <c r="BG411" s="114">
        <f t="shared" si="1332"/>
        <v>-5.6135121708892122E-2</v>
      </c>
      <c r="BH411" s="52">
        <f>+BH392</f>
        <v>-0.11335769664264483</v>
      </c>
      <c r="BI411" s="114">
        <f>+BI392</f>
        <v>-9.5827107200177175E-2</v>
      </c>
      <c r="BJ411" s="114">
        <f>(1+BJ409)/(1+BJ410)-1</f>
        <v>-0.11640953716690039</v>
      </c>
      <c r="BK411" s="232">
        <f>(1+BK409)/(1+BK410)-1</f>
        <v>-0.10376644985630001</v>
      </c>
      <c r="BL411" s="114">
        <f t="shared" ref="BL411:CP411" si="1333">(1+BL409)/(1+BL410)-1</f>
        <v>-5.9011164274322181E-2</v>
      </c>
      <c r="BM411" s="114">
        <f t="shared" si="1333"/>
        <v>-5.1469444876380166E-2</v>
      </c>
      <c r="BN411" s="114">
        <f t="shared" si="1333"/>
        <v>-5.5472263868065808E-2</v>
      </c>
      <c r="BO411" s="114">
        <f t="shared" si="1333"/>
        <v>-7.1578316861335756E-2</v>
      </c>
      <c r="BP411" s="232">
        <f>(1+BP409)/(1+BP410)-1</f>
        <v>-5.7683839718185803E-2</v>
      </c>
      <c r="BQ411" s="114">
        <f t="shared" si="1333"/>
        <v>-5.8380414312617757E-2</v>
      </c>
      <c r="BR411" s="114">
        <f t="shared" si="1333"/>
        <v>-5.1945486865494717E-2</v>
      </c>
      <c r="BS411" s="114">
        <f t="shared" si="1333"/>
        <v>8.15100815100811E-3</v>
      </c>
      <c r="BT411" s="114">
        <f t="shared" si="1333"/>
        <v>1.9651464590285439E-2</v>
      </c>
      <c r="BU411" s="232">
        <f>(1+BU409)/(1+BU410)-1</f>
        <v>-1.894975990086234E-2</v>
      </c>
      <c r="BV411" s="114">
        <f t="shared" si="1333"/>
        <v>6.9444444444444198E-3</v>
      </c>
      <c r="BW411" s="114">
        <f t="shared" si="1333"/>
        <v>-9.5628415300547109E-3</v>
      </c>
      <c r="BX411" s="114">
        <f t="shared" si="1333"/>
        <v>-8.3924349881796756E-2</v>
      </c>
      <c r="BY411" s="114">
        <f t="shared" si="1333"/>
        <v>-6.5888240200166925E-2</v>
      </c>
      <c r="BZ411" s="232">
        <f>(1+BZ409)/(1+BZ410)-1</f>
        <v>-4.0157512613314683E-2</v>
      </c>
      <c r="CA411" s="114">
        <f t="shared" si="1333"/>
        <v>-0.10714285714285721</v>
      </c>
      <c r="CB411" s="114">
        <f t="shared" si="1333"/>
        <v>-0.10600255427841632</v>
      </c>
      <c r="CC411" s="114">
        <f t="shared" si="1333"/>
        <v>-2.859237536656889E-2</v>
      </c>
      <c r="CD411" s="114">
        <f t="shared" si="1333"/>
        <v>-5.7539682539682668E-2</v>
      </c>
      <c r="CE411" s="232">
        <f>(1+CE409)/(1+CE410)-1</f>
        <v>-7.6821628750411985E-2</v>
      </c>
      <c r="CF411" s="52">
        <f t="shared" si="1333"/>
        <v>4.3521928356211603E-3</v>
      </c>
      <c r="CG411" s="114">
        <f t="shared" si="1333"/>
        <v>9.3167701863354768E-3</v>
      </c>
      <c r="CH411" s="114">
        <f t="shared" si="1333"/>
        <v>-1.6965276676708441E-2</v>
      </c>
      <c r="CI411" s="114">
        <f t="shared" si="1333"/>
        <v>-2.1891010712622117E-2</v>
      </c>
      <c r="CJ411" s="232">
        <f>(1+CJ409)/(1+CJ410)-1</f>
        <v>-6.4382799459502538E-3</v>
      </c>
      <c r="CK411" s="114">
        <f t="shared" si="1333"/>
        <v>-5.1987767584097844E-2</v>
      </c>
      <c r="CL411" s="114">
        <f t="shared" si="1333"/>
        <v>2.0979020979020824E-2</v>
      </c>
      <c r="CM411" s="114">
        <f t="shared" si="1333"/>
        <v>-7.8341013824884786E-2</v>
      </c>
      <c r="CN411" s="114">
        <f t="shared" si="1333"/>
        <v>-2.9126213592232997E-2</v>
      </c>
      <c r="CO411" s="232">
        <f>(1+CO409)/(1+CO410)-1</f>
        <v>-3.3309603207313909E-2</v>
      </c>
      <c r="CP411" s="114">
        <f t="shared" si="1333"/>
        <v>5.8966354491849504E-3</v>
      </c>
      <c r="CQ411" s="52">
        <f>+CQ392</f>
        <v>-4.3243501529051098E-3</v>
      </c>
      <c r="CR411" s="52">
        <f>+CR392</f>
        <v>3.4291267527419178E-2</v>
      </c>
      <c r="CS411" s="114">
        <f t="shared" ref="CS411" si="1334">(1+CS409)/(1+CS410)-1</f>
        <v>1.4563901161839254E-2</v>
      </c>
      <c r="CT411" s="232">
        <f>(1+CT409)/(1+CT410)-1</f>
        <v>1.0962760738813193E-2</v>
      </c>
      <c r="CU411" s="114">
        <f t="shared" ref="CU411" si="1335">(1+CU409)/(1+CU410)-1</f>
        <v>-2.7045300878972833E-3</v>
      </c>
      <c r="CV411" s="52">
        <f>+CV392</f>
        <v>6.0000000000000001E-3</v>
      </c>
      <c r="CW411" s="52">
        <f>+CW392</f>
        <v>1.0999999999999999E-2</v>
      </c>
      <c r="CX411" s="52">
        <f>+CX392</f>
        <v>4.0000000000000001E-3</v>
      </c>
      <c r="CY411" s="232">
        <f>(1+CY409)/(1+CY410)-1</f>
        <v>4.4795738648566452E-3</v>
      </c>
      <c r="CZ411" s="52">
        <f>+CZ392</f>
        <v>1.2E-2</v>
      </c>
      <c r="DA411" s="52">
        <f>+DA392</f>
        <v>0</v>
      </c>
      <c r="DB411" s="52">
        <f>+DB392</f>
        <v>0</v>
      </c>
      <c r="DC411" s="52">
        <f>+DC392</f>
        <v>0</v>
      </c>
      <c r="DD411" s="232">
        <f>(1+DD409)/(1+DD410)-1</f>
        <v>3.0278044825191586E-3</v>
      </c>
      <c r="DE411" s="52">
        <f>+DE392</f>
        <v>0</v>
      </c>
      <c r="DF411" s="52">
        <f>+DF392</f>
        <v>0</v>
      </c>
      <c r="DG411" s="52">
        <f>+DG392</f>
        <v>0</v>
      </c>
      <c r="DH411" s="52">
        <f>+DH392</f>
        <v>0</v>
      </c>
      <c r="DI411" s="232">
        <f>(1+DI409)/(1+DI410)-1</f>
        <v>0</v>
      </c>
    </row>
    <row r="412" spans="1:113" ht="12" hidden="1" customHeight="1" outlineLevel="1">
      <c r="A412" s="219"/>
      <c r="B412" s="17"/>
      <c r="C412" s="79"/>
      <c r="D412" s="6"/>
      <c r="E412" s="79"/>
      <c r="F412" s="6"/>
      <c r="G412" s="79"/>
      <c r="H412" s="6"/>
      <c r="I412" s="79"/>
      <c r="J412" s="6"/>
      <c r="K412" s="79"/>
      <c r="L412" s="6"/>
      <c r="M412" s="79"/>
      <c r="N412" s="6"/>
      <c r="O412" s="79"/>
      <c r="P412" s="6"/>
      <c r="Q412" s="79"/>
      <c r="R412" s="6"/>
      <c r="S412" s="6"/>
      <c r="T412" s="6"/>
      <c r="U412" s="6"/>
      <c r="V412" s="79"/>
      <c r="W412" s="6"/>
      <c r="X412" s="6"/>
      <c r="Y412" s="6"/>
      <c r="Z412" s="6"/>
      <c r="AA412" s="79"/>
      <c r="AB412" s="79"/>
      <c r="AC412" s="6"/>
      <c r="AD412" s="6"/>
      <c r="AE412" s="6"/>
      <c r="AF412" s="6"/>
      <c r="AG412" s="79"/>
      <c r="AH412" s="6"/>
      <c r="AI412" s="6"/>
      <c r="AJ412" s="6"/>
      <c r="AK412" s="6"/>
      <c r="AL412" s="79"/>
      <c r="AM412" s="6"/>
      <c r="AN412" s="6"/>
      <c r="AO412" s="6"/>
      <c r="AP412" s="6"/>
      <c r="AQ412" s="79"/>
      <c r="AR412" s="6"/>
      <c r="AS412" s="6"/>
      <c r="AT412" s="6"/>
      <c r="AU412" s="6"/>
      <c r="AV412" s="79"/>
      <c r="AW412" s="6"/>
      <c r="AX412" s="6"/>
      <c r="AY412" s="6"/>
      <c r="AZ412" s="6"/>
      <c r="BA412" s="79"/>
      <c r="BB412" s="6"/>
      <c r="BC412" s="6"/>
      <c r="BD412" s="6"/>
      <c r="BE412" s="6"/>
      <c r="BF412" s="79"/>
      <c r="BG412" s="582"/>
      <c r="BH412" s="6"/>
      <c r="BI412" s="582"/>
      <c r="BJ412" s="582"/>
      <c r="BK412" s="79"/>
      <c r="BL412" s="6"/>
      <c r="BM412" s="6"/>
      <c r="BN412" s="6"/>
      <c r="BO412" s="6"/>
      <c r="BP412" s="79"/>
      <c r="BQ412" s="6"/>
      <c r="BR412" s="6"/>
      <c r="BS412" s="6"/>
      <c r="BT412" s="6"/>
      <c r="BU412" s="79"/>
      <c r="BV412" s="6"/>
      <c r="BW412" s="6"/>
      <c r="BX412" s="6"/>
      <c r="BY412" s="6"/>
      <c r="BZ412" s="79"/>
      <c r="CA412" s="6"/>
      <c r="CB412" s="6"/>
      <c r="CC412" s="6"/>
      <c r="CD412" s="6"/>
      <c r="CE412" s="79"/>
      <c r="CF412" s="6"/>
      <c r="CG412" s="6"/>
      <c r="CH412" s="6"/>
      <c r="CI412" s="6"/>
      <c r="CJ412" s="79"/>
      <c r="CK412" s="6"/>
      <c r="CL412" s="6"/>
      <c r="CM412" s="6"/>
      <c r="CN412" s="6"/>
      <c r="CO412" s="79"/>
      <c r="CP412" s="6"/>
      <c r="CQ412" s="6"/>
      <c r="CR412" s="6"/>
      <c r="CS412" s="6"/>
      <c r="CT412" s="79"/>
      <c r="CU412" s="6"/>
      <c r="CV412" s="6"/>
      <c r="CW412" s="6"/>
      <c r="CX412" s="6"/>
      <c r="CY412" s="79"/>
      <c r="CZ412" s="6"/>
      <c r="DA412" s="6"/>
      <c r="DB412" s="6"/>
      <c r="DC412" s="6"/>
      <c r="DD412" s="79"/>
      <c r="DE412" s="6"/>
      <c r="DF412" s="6"/>
      <c r="DG412" s="6"/>
      <c r="DH412" s="6"/>
      <c r="DI412" s="79"/>
    </row>
    <row r="413" spans="1:113" s="7" customFormat="1" ht="12" hidden="1" customHeight="1" outlineLevel="1">
      <c r="A413" s="239" t="str">
        <f t="shared" ref="A413:A513" si="1336">IF(ISBLANK(B413),"Scrap", " ")</f>
        <v xml:space="preserve"> </v>
      </c>
      <c r="B413" s="551" t="s">
        <v>177</v>
      </c>
      <c r="C413" s="36"/>
      <c r="D413" s="43"/>
      <c r="E413" s="36"/>
      <c r="F413" s="43"/>
      <c r="G413" s="36"/>
      <c r="H413" s="43"/>
      <c r="I413" s="36"/>
      <c r="J413" s="43"/>
      <c r="K413" s="36"/>
      <c r="L413" s="43"/>
      <c r="M413" s="36"/>
      <c r="N413" s="43"/>
      <c r="O413" s="36"/>
      <c r="P413" s="43"/>
      <c r="Q413" s="36"/>
      <c r="R413" s="542" t="s">
        <v>126</v>
      </c>
      <c r="S413" s="543" t="s">
        <v>126</v>
      </c>
      <c r="T413" s="543" t="s">
        <v>126</v>
      </c>
      <c r="U413" s="543" t="s">
        <v>126</v>
      </c>
      <c r="V413" s="544" t="s">
        <v>126</v>
      </c>
      <c r="W413" s="542" t="s">
        <v>126</v>
      </c>
      <c r="X413" s="543" t="s">
        <v>126</v>
      </c>
      <c r="Y413" s="543" t="s">
        <v>126</v>
      </c>
      <c r="Z413" s="543" t="s">
        <v>126</v>
      </c>
      <c r="AA413" s="544" t="s">
        <v>126</v>
      </c>
      <c r="AB413" s="544"/>
      <c r="AC413" s="542" t="s">
        <v>126</v>
      </c>
      <c r="AD413" s="543" t="s">
        <v>126</v>
      </c>
      <c r="AE413" s="543" t="s">
        <v>126</v>
      </c>
      <c r="AF413" s="543" t="s">
        <v>126</v>
      </c>
      <c r="AG413" s="544" t="s">
        <v>126</v>
      </c>
      <c r="AH413" s="542" t="s">
        <v>126</v>
      </c>
      <c r="AI413" s="543" t="s">
        <v>126</v>
      </c>
      <c r="AJ413" s="543" t="s">
        <v>126</v>
      </c>
      <c r="AK413" s="543" t="s">
        <v>126</v>
      </c>
      <c r="AL413" s="544" t="s">
        <v>126</v>
      </c>
      <c r="AM413" s="542" t="s">
        <v>126</v>
      </c>
      <c r="AN413" s="543" t="s">
        <v>126</v>
      </c>
      <c r="AO413" s="543" t="s">
        <v>126</v>
      </c>
      <c r="AP413" s="543" t="s">
        <v>126</v>
      </c>
      <c r="AQ413" s="544" t="s">
        <v>126</v>
      </c>
      <c r="AR413" s="43">
        <v>212</v>
      </c>
      <c r="AS413" s="43">
        <v>213</v>
      </c>
      <c r="AT413" s="43">
        <v>242</v>
      </c>
      <c r="AU413" s="43">
        <v>239</v>
      </c>
      <c r="AV413" s="36">
        <f>SUM(AR413:AU413)</f>
        <v>906</v>
      </c>
      <c r="AW413" s="43">
        <v>244</v>
      </c>
      <c r="AX413" s="43">
        <v>270</v>
      </c>
      <c r="AY413" s="43">
        <v>285</v>
      </c>
      <c r="AZ413" s="43">
        <v>307</v>
      </c>
      <c r="BA413" s="36">
        <f>SUM(AW413:AZ413)</f>
        <v>1106</v>
      </c>
      <c r="BB413" s="43">
        <v>300</v>
      </c>
      <c r="BC413" s="43">
        <v>313</v>
      </c>
      <c r="BD413" s="43">
        <v>340</v>
      </c>
      <c r="BE413" s="43">
        <f>BF413-SUM(BB413:BD413)</f>
        <v>384</v>
      </c>
      <c r="BF413" s="36">
        <v>1337</v>
      </c>
      <c r="BG413" s="369">
        <v>336</v>
      </c>
      <c r="BH413" s="43">
        <v>361</v>
      </c>
      <c r="BI413" s="43">
        <v>401</v>
      </c>
      <c r="BJ413" s="43">
        <f>BK413-SUM(BG413:BI413)</f>
        <v>410</v>
      </c>
      <c r="BK413" s="36">
        <v>1508</v>
      </c>
      <c r="BL413" s="43">
        <v>395</v>
      </c>
      <c r="BM413" s="43">
        <v>446</v>
      </c>
      <c r="BN413" s="43">
        <v>461</v>
      </c>
      <c r="BO413" s="43">
        <f>BP413-SUM(BL413:BN413)</f>
        <v>318</v>
      </c>
      <c r="BP413" s="36">
        <v>1620</v>
      </c>
      <c r="BQ413" s="43">
        <v>391</v>
      </c>
      <c r="BR413" s="43">
        <v>546</v>
      </c>
      <c r="BS413" s="43">
        <v>469</v>
      </c>
      <c r="BT413" s="43">
        <f>BU413-SUM(BQ413:BS413)</f>
        <v>550</v>
      </c>
      <c r="BU413" s="36">
        <v>1956</v>
      </c>
      <c r="BV413" s="43">
        <v>538</v>
      </c>
      <c r="BW413" s="43">
        <v>563</v>
      </c>
      <c r="BX413" s="43">
        <v>601</v>
      </c>
      <c r="BY413" s="43">
        <f>BZ413-SUM(BV413:BX413)</f>
        <v>724</v>
      </c>
      <c r="BZ413" s="36">
        <v>2426</v>
      </c>
      <c r="CA413" s="43">
        <v>621</v>
      </c>
      <c r="CB413" s="369">
        <v>634</v>
      </c>
      <c r="CC413" s="369">
        <v>688</v>
      </c>
      <c r="CD413" s="43">
        <f>CE413-SUM(CA413:CC413)</f>
        <v>752</v>
      </c>
      <c r="CE413" s="15">
        <v>2695</v>
      </c>
      <c r="CF413" s="369">
        <v>635</v>
      </c>
      <c r="CG413" s="369">
        <v>754</v>
      </c>
      <c r="CH413" s="369">
        <v>708</v>
      </c>
      <c r="CI413" s="43">
        <f>CJ413-SUM(CF413:CH413)</f>
        <v>702</v>
      </c>
      <c r="CJ413" s="15">
        <v>2799</v>
      </c>
      <c r="CK413" s="369">
        <v>572</v>
      </c>
      <c r="CL413" s="369">
        <v>714</v>
      </c>
      <c r="CM413" s="369">
        <v>626</v>
      </c>
      <c r="CN413" s="43">
        <f>CO413-SUM(CK413:CM413)</f>
        <v>661</v>
      </c>
      <c r="CO413" s="15">
        <v>2573</v>
      </c>
      <c r="CP413" s="369">
        <v>541</v>
      </c>
      <c r="CQ413" s="369">
        <v>673</v>
      </c>
      <c r="CR413" s="369">
        <v>599</v>
      </c>
      <c r="CS413" s="43">
        <f>CT413-SUM(CP413:CR413)</f>
        <v>651</v>
      </c>
      <c r="CT413" s="15">
        <v>2464</v>
      </c>
      <c r="CU413" s="43">
        <v>517</v>
      </c>
      <c r="CV413" s="43"/>
      <c r="CW413" s="43"/>
      <c r="CX413" s="43"/>
      <c r="CY413" s="36"/>
      <c r="CZ413" s="43"/>
      <c r="DA413" s="43"/>
      <c r="DB413" s="43"/>
      <c r="DC413" s="43"/>
      <c r="DD413" s="36"/>
      <c r="DE413" s="43"/>
      <c r="DF413" s="43"/>
      <c r="DG413" s="43"/>
      <c r="DH413" s="43"/>
      <c r="DI413" s="36"/>
    </row>
    <row r="414" spans="1:113" ht="12" hidden="1" customHeight="1" outlineLevel="1">
      <c r="A414" s="219" t="str">
        <f t="shared" si="1336"/>
        <v xml:space="preserve"> </v>
      </c>
      <c r="B414" s="491" t="s">
        <v>171</v>
      </c>
      <c r="C414" s="492"/>
      <c r="D414" s="522"/>
      <c r="E414" s="492"/>
      <c r="F414" s="522"/>
      <c r="G414" s="492"/>
      <c r="H414" s="522"/>
      <c r="I414" s="492"/>
      <c r="J414" s="522"/>
      <c r="K414" s="492"/>
      <c r="L414" s="522"/>
      <c r="M414" s="492"/>
      <c r="N414" s="522"/>
      <c r="O414" s="492"/>
      <c r="P414" s="522"/>
      <c r="Q414" s="492"/>
      <c r="R414" s="378" t="s">
        <v>126</v>
      </c>
      <c r="S414" s="522" t="s">
        <v>126</v>
      </c>
      <c r="T414" s="522" t="s">
        <v>126</v>
      </c>
      <c r="U414" s="522" t="s">
        <v>126</v>
      </c>
      <c r="V414" s="492" t="s">
        <v>126</v>
      </c>
      <c r="W414" s="378" t="s">
        <v>126</v>
      </c>
      <c r="X414" s="522" t="s">
        <v>126</v>
      </c>
      <c r="Y414" s="522" t="s">
        <v>126</v>
      </c>
      <c r="Z414" s="522" t="s">
        <v>126</v>
      </c>
      <c r="AA414" s="492" t="s">
        <v>126</v>
      </c>
      <c r="AB414" s="492"/>
      <c r="AC414" s="378" t="s">
        <v>126</v>
      </c>
      <c r="AD414" s="522" t="s">
        <v>126</v>
      </c>
      <c r="AE414" s="522" t="s">
        <v>126</v>
      </c>
      <c r="AF414" s="522" t="s">
        <v>126</v>
      </c>
      <c r="AG414" s="492" t="s">
        <v>126</v>
      </c>
      <c r="AH414" s="378" t="s">
        <v>126</v>
      </c>
      <c r="AI414" s="522" t="s">
        <v>126</v>
      </c>
      <c r="AJ414" s="522" t="s">
        <v>126</v>
      </c>
      <c r="AK414" s="522" t="s">
        <v>126</v>
      </c>
      <c r="AL414" s="492" t="s">
        <v>126</v>
      </c>
      <c r="AM414" s="378" t="s">
        <v>126</v>
      </c>
      <c r="AN414" s="522" t="s">
        <v>126</v>
      </c>
      <c r="AO414" s="522" t="s">
        <v>126</v>
      </c>
      <c r="AP414" s="522" t="s">
        <v>126</v>
      </c>
      <c r="AQ414" s="492" t="s">
        <v>126</v>
      </c>
      <c r="AR414" s="378" t="s">
        <v>126</v>
      </c>
      <c r="AS414" s="522" t="s">
        <v>126</v>
      </c>
      <c r="AT414" s="522" t="s">
        <v>126</v>
      </c>
      <c r="AU414" s="522" t="s">
        <v>126</v>
      </c>
      <c r="AV414" s="492" t="s">
        <v>126</v>
      </c>
      <c r="AW414" s="52">
        <f t="shared" ref="AW414:BD414" si="1337">+AW413/AR413-1</f>
        <v>0.15094339622641506</v>
      </c>
      <c r="AX414" s="52">
        <f t="shared" si="1337"/>
        <v>0.26760563380281699</v>
      </c>
      <c r="AY414" s="52">
        <f t="shared" si="1337"/>
        <v>0.1776859504132231</v>
      </c>
      <c r="AZ414" s="52">
        <f t="shared" si="1337"/>
        <v>0.28451882845188292</v>
      </c>
      <c r="BA414" s="112">
        <f t="shared" si="1337"/>
        <v>0.22075055187637971</v>
      </c>
      <c r="BB414" s="52">
        <f t="shared" si="1337"/>
        <v>0.22950819672131151</v>
      </c>
      <c r="BC414" s="52">
        <f t="shared" si="1337"/>
        <v>0.15925925925925921</v>
      </c>
      <c r="BD414" s="52">
        <f t="shared" si="1337"/>
        <v>0.19298245614035081</v>
      </c>
      <c r="BE414" s="52">
        <f t="shared" ref="BE414:BI414" si="1338">+BE413/AZ413-1</f>
        <v>0.25081433224755689</v>
      </c>
      <c r="BF414" s="112">
        <f t="shared" si="1338"/>
        <v>0.20886075949367089</v>
      </c>
      <c r="BG414" s="114">
        <f t="shared" si="1338"/>
        <v>0.12000000000000011</v>
      </c>
      <c r="BH414" s="114">
        <f t="shared" si="1338"/>
        <v>0.15335463258785942</v>
      </c>
      <c r="BI414" s="114">
        <f t="shared" si="1338"/>
        <v>0.17941176470588238</v>
      </c>
      <c r="BJ414" s="52">
        <f t="shared" ref="BJ414" si="1339">+BJ413/BE413-1</f>
        <v>6.7708333333333259E-2</v>
      </c>
      <c r="BK414" s="112">
        <f t="shared" ref="BK414:BN414" si="1340">+BK413/BF413-1</f>
        <v>0.12789827973074042</v>
      </c>
      <c r="BL414" s="114">
        <f t="shared" si="1340"/>
        <v>0.17559523809523814</v>
      </c>
      <c r="BM414" s="114">
        <f t="shared" si="1340"/>
        <v>0.23545706371191133</v>
      </c>
      <c r="BN414" s="114">
        <f t="shared" si="1340"/>
        <v>0.14962593516209477</v>
      </c>
      <c r="BO414" s="52">
        <f t="shared" ref="BO414" si="1341">+BO413/BJ413-1</f>
        <v>-0.224390243902439</v>
      </c>
      <c r="BP414" s="112">
        <f t="shared" ref="BP414:CH414" si="1342">+BP413/BK413-1</f>
        <v>7.4270557029177731E-2</v>
      </c>
      <c r="BQ414" s="114">
        <f t="shared" si="1342"/>
        <v>-1.0126582278481067E-2</v>
      </c>
      <c r="BR414" s="114">
        <f t="shared" si="1342"/>
        <v>0.22421524663677128</v>
      </c>
      <c r="BS414" s="114">
        <f t="shared" si="1342"/>
        <v>1.7353579175704903E-2</v>
      </c>
      <c r="BT414" s="52">
        <f t="shared" si="1342"/>
        <v>0.72955974842767302</v>
      </c>
      <c r="BU414" s="112">
        <f t="shared" si="1342"/>
        <v>0.20740740740740748</v>
      </c>
      <c r="BV414" s="114">
        <f t="shared" si="1342"/>
        <v>0.37595907928388739</v>
      </c>
      <c r="BW414" s="114">
        <f t="shared" ref="BW414" si="1343">+BW413/BR413-1</f>
        <v>3.1135531135531025E-2</v>
      </c>
      <c r="BX414" s="114">
        <f t="shared" si="1342"/>
        <v>0.28144989339019189</v>
      </c>
      <c r="BY414" s="52">
        <f t="shared" si="1342"/>
        <v>0.3163636363636364</v>
      </c>
      <c r="BZ414" s="112">
        <f t="shared" si="1342"/>
        <v>0.24028629856850725</v>
      </c>
      <c r="CA414" s="114">
        <f t="shared" si="1342"/>
        <v>0.15427509293680308</v>
      </c>
      <c r="CB414" s="114">
        <f t="shared" si="1342"/>
        <v>0.12611012433392532</v>
      </c>
      <c r="CC414" s="114">
        <f t="shared" si="1342"/>
        <v>0.14475873544093187</v>
      </c>
      <c r="CD414" s="52">
        <f t="shared" si="1342"/>
        <v>3.8674033149171283E-2</v>
      </c>
      <c r="CE414" s="112">
        <f t="shared" si="1342"/>
        <v>0.11088211046990937</v>
      </c>
      <c r="CF414" s="114">
        <f t="shared" si="1342"/>
        <v>2.2544283413848731E-2</v>
      </c>
      <c r="CG414" s="114">
        <f t="shared" si="1342"/>
        <v>0.18927444794952675</v>
      </c>
      <c r="CH414" s="114">
        <f t="shared" si="1342"/>
        <v>2.9069767441860517E-2</v>
      </c>
      <c r="CI414" s="52">
        <f t="shared" ref="CI414" si="1344">+CI413/CD413-1</f>
        <v>-6.6489361702127714E-2</v>
      </c>
      <c r="CJ414" s="112">
        <f t="shared" ref="CJ414:CU414" si="1345">+CJ413/CE413-1</f>
        <v>3.8589981447124222E-2</v>
      </c>
      <c r="CK414" s="114">
        <f t="shared" si="1345"/>
        <v>-9.9212598425196807E-2</v>
      </c>
      <c r="CL414" s="114">
        <f t="shared" si="1345"/>
        <v>-5.3050397877984046E-2</v>
      </c>
      <c r="CM414" s="114">
        <f t="shared" si="1345"/>
        <v>-0.11581920903954801</v>
      </c>
      <c r="CN414" s="52">
        <f t="shared" si="1345"/>
        <v>-5.8404558404558382E-2</v>
      </c>
      <c r="CO414" s="112">
        <f t="shared" si="1345"/>
        <v>-8.0743122543765589E-2</v>
      </c>
      <c r="CP414" s="114">
        <f t="shared" si="1345"/>
        <v>-5.4195804195804165E-2</v>
      </c>
      <c r="CQ414" s="114">
        <f t="shared" si="1345"/>
        <v>-5.7422969187675088E-2</v>
      </c>
      <c r="CR414" s="114">
        <f t="shared" si="1345"/>
        <v>-4.3130990415335413E-2</v>
      </c>
      <c r="CS414" s="52">
        <f t="shared" si="1345"/>
        <v>-1.5128593040847238E-2</v>
      </c>
      <c r="CT414" s="112">
        <f t="shared" si="1345"/>
        <v>-4.2363000388651373E-2</v>
      </c>
      <c r="CU414" s="114">
        <f t="shared" si="1345"/>
        <v>-4.4362292051756014E-2</v>
      </c>
      <c r="CV414" s="52"/>
      <c r="CW414" s="52"/>
      <c r="CX414" s="52"/>
      <c r="CY414" s="112"/>
      <c r="CZ414" s="52"/>
      <c r="DA414" s="52"/>
      <c r="DB414" s="52"/>
      <c r="DC414" s="52"/>
      <c r="DD414" s="112"/>
      <c r="DE414" s="52"/>
      <c r="DF414" s="52"/>
      <c r="DG414" s="52"/>
      <c r="DH414" s="52"/>
      <c r="DI414" s="112"/>
    </row>
    <row r="415" spans="1:113" s="3" customFormat="1" ht="12" hidden="1" customHeight="1" outlineLevel="1">
      <c r="A415" s="490" t="str">
        <f t="shared" si="1336"/>
        <v xml:space="preserve"> </v>
      </c>
      <c r="B415" s="491" t="s">
        <v>173</v>
      </c>
      <c r="C415" s="492"/>
      <c r="D415" s="522"/>
      <c r="E415" s="492"/>
      <c r="F415" s="522"/>
      <c r="G415" s="492"/>
      <c r="H415" s="522"/>
      <c r="I415" s="492"/>
      <c r="J415" s="522"/>
      <c r="K415" s="492"/>
      <c r="L415" s="522"/>
      <c r="M415" s="492"/>
      <c r="N415" s="522"/>
      <c r="O415" s="492"/>
      <c r="P415" s="522"/>
      <c r="Q415" s="492"/>
      <c r="R415" s="378" t="s">
        <v>126</v>
      </c>
      <c r="S415" s="522" t="s">
        <v>126</v>
      </c>
      <c r="T415" s="522" t="s">
        <v>126</v>
      </c>
      <c r="U415" s="522" t="s">
        <v>126</v>
      </c>
      <c r="V415" s="492" t="s">
        <v>126</v>
      </c>
      <c r="W415" s="378" t="s">
        <v>126</v>
      </c>
      <c r="X415" s="522" t="s">
        <v>126</v>
      </c>
      <c r="Y415" s="522" t="s">
        <v>126</v>
      </c>
      <c r="Z415" s="522" t="s">
        <v>126</v>
      </c>
      <c r="AA415" s="492" t="s">
        <v>126</v>
      </c>
      <c r="AB415" s="492"/>
      <c r="AC415" s="378" t="s">
        <v>126</v>
      </c>
      <c r="AD415" s="522" t="s">
        <v>126</v>
      </c>
      <c r="AE415" s="522" t="s">
        <v>126</v>
      </c>
      <c r="AF415" s="522" t="s">
        <v>126</v>
      </c>
      <c r="AG415" s="492" t="s">
        <v>126</v>
      </c>
      <c r="AH415" s="378" t="s">
        <v>126</v>
      </c>
      <c r="AI415" s="522" t="s">
        <v>126</v>
      </c>
      <c r="AJ415" s="522" t="s">
        <v>126</v>
      </c>
      <c r="AK415" s="522" t="s">
        <v>126</v>
      </c>
      <c r="AL415" s="492" t="s">
        <v>126</v>
      </c>
      <c r="AM415" s="378" t="s">
        <v>126</v>
      </c>
      <c r="AN415" s="522" t="s">
        <v>126</v>
      </c>
      <c r="AO415" s="522" t="s">
        <v>126</v>
      </c>
      <c r="AP415" s="522" t="s">
        <v>126</v>
      </c>
      <c r="AQ415" s="492" t="s">
        <v>126</v>
      </c>
      <c r="AR415" s="378" t="s">
        <v>126</v>
      </c>
      <c r="AS415" s="522" t="s">
        <v>126</v>
      </c>
      <c r="AT415" s="522" t="s">
        <v>126</v>
      </c>
      <c r="AU415" s="522" t="s">
        <v>126</v>
      </c>
      <c r="AV415" s="492" t="s">
        <v>126</v>
      </c>
      <c r="AW415" s="52">
        <v>0.2</v>
      </c>
      <c r="AX415" s="52">
        <v>0.23</v>
      </c>
      <c r="AY415" s="52">
        <v>0.18</v>
      </c>
      <c r="AZ415" s="52">
        <v>0.25</v>
      </c>
      <c r="BA415" s="112">
        <v>0.21</v>
      </c>
      <c r="BB415" s="52">
        <v>0.24</v>
      </c>
      <c r="BC415" s="52">
        <v>0.19</v>
      </c>
      <c r="BD415" s="522">
        <v>0.16</v>
      </c>
      <c r="BE415" s="52">
        <f>((BF415*SUM(AW413:AZ413))-BB415*AW413-BC415*AX413-BD415*AY413)/AZ413</f>
        <v>0.25016286644951136</v>
      </c>
      <c r="BF415" s="112">
        <v>0.21</v>
      </c>
      <c r="BG415" s="114">
        <v>0.18</v>
      </c>
      <c r="BH415" s="52">
        <v>0.26</v>
      </c>
      <c r="BI415" s="52">
        <v>0.28999999999999998</v>
      </c>
      <c r="BJ415" s="52">
        <f>((BK415*SUM(BB413:BE413))-BG415*BB413-BH415*BC413-BI415*BD413)/BE413</f>
        <v>0.19148437500000001</v>
      </c>
      <c r="BK415" s="112">
        <v>0.23</v>
      </c>
      <c r="BL415" s="114">
        <v>0.24</v>
      </c>
      <c r="BM415" s="52">
        <v>0.28000000000000003</v>
      </c>
      <c r="BN415" s="52">
        <v>0.2</v>
      </c>
      <c r="BO415" s="52">
        <f>((BP415*SUM(BG413:BJ413))-BL415*BG413-BM415*BH413-BN415*BI413)/BJ413</f>
        <v>-0.19746341463414643</v>
      </c>
      <c r="BP415" s="112">
        <v>0.12</v>
      </c>
      <c r="BQ415" s="114">
        <v>0.04</v>
      </c>
      <c r="BR415" s="554">
        <v>0.27</v>
      </c>
      <c r="BS415" s="554">
        <v>0</v>
      </c>
      <c r="BT415" s="52">
        <f>((BU415*SUM(BL413:BO413))-BQ415*BL413-BR415*BM413-BS415*BN413)/BO413</f>
        <v>0.6923899371069181</v>
      </c>
      <c r="BU415" s="112">
        <v>0.22</v>
      </c>
      <c r="BV415" s="114">
        <v>0.36</v>
      </c>
      <c r="BW415" s="554">
        <v>0.06</v>
      </c>
      <c r="BX415" s="554">
        <v>0.39</v>
      </c>
      <c r="BY415" s="52">
        <f>((BZ415*SUM(BQ413:BT413))-BV415*BQ413-BW415*BR413-BX415*BS413)/BT413</f>
        <v>0.41885454545454542</v>
      </c>
      <c r="BZ415" s="112">
        <v>0.3</v>
      </c>
      <c r="CA415" s="114">
        <v>0.3</v>
      </c>
      <c r="CB415" s="522">
        <v>0.3</v>
      </c>
      <c r="CC415" s="522">
        <v>0.22</v>
      </c>
      <c r="CD415" s="52">
        <f>((CE415*SUM(BV413:BY413))-CA415*BV413-CB415*BW413-CC415*BX413)/BY413</f>
        <v>9.8342541436464148E-2</v>
      </c>
      <c r="CE415" s="583">
        <v>0.22</v>
      </c>
      <c r="CF415" s="554">
        <v>0.03</v>
      </c>
      <c r="CG415" s="554">
        <v>0.15</v>
      </c>
      <c r="CH415" s="554">
        <v>0.04</v>
      </c>
      <c r="CI415" s="52">
        <f>((CJ415*SUM(CA413:CD413))-CF415*CA413-CG415*CB413-CH415*CC413)/CD413</f>
        <v>-4.4481382978723387E-2</v>
      </c>
      <c r="CJ415" s="583">
        <v>0.04</v>
      </c>
      <c r="CK415" s="554">
        <v>-0.04</v>
      </c>
      <c r="CL415" s="554">
        <v>-0.04</v>
      </c>
      <c r="CM415" s="554">
        <v>-0.04</v>
      </c>
      <c r="CN415" s="554">
        <v>-0.01</v>
      </c>
      <c r="CO415" s="583">
        <v>-0.08</v>
      </c>
      <c r="CP415" s="554">
        <v>-0.06</v>
      </c>
      <c r="CQ415" s="554">
        <v>-0.05</v>
      </c>
      <c r="CR415" s="554">
        <v>-0.08</v>
      </c>
      <c r="CS415" s="52">
        <f>((CT415*SUM(CK413:CN413))-CP415*CK413-CQ415*CL413-CR415*CM413)/CN413</f>
        <v>-5.186081694402421E-2</v>
      </c>
      <c r="CT415" s="583">
        <v>-0.06</v>
      </c>
      <c r="CU415" s="522">
        <v>-0.03</v>
      </c>
      <c r="CV415" s="522"/>
      <c r="CW415" s="522"/>
      <c r="CX415" s="522"/>
      <c r="CY415" s="584"/>
      <c r="CZ415" s="522"/>
      <c r="DA415" s="522"/>
      <c r="DB415" s="522"/>
      <c r="DC415" s="522"/>
      <c r="DD415" s="584"/>
      <c r="DE415" s="522"/>
      <c r="DF415" s="522"/>
      <c r="DG415" s="522"/>
      <c r="DH415" s="522"/>
      <c r="DI415" s="584"/>
    </row>
    <row r="416" spans="1:113" ht="12" hidden="1" customHeight="1" outlineLevel="1">
      <c r="A416" s="219" t="str">
        <f t="shared" si="1336"/>
        <v xml:space="preserve"> </v>
      </c>
      <c r="B416" s="491" t="s">
        <v>141</v>
      </c>
      <c r="C416" s="492"/>
      <c r="D416" s="522"/>
      <c r="E416" s="492"/>
      <c r="F416" s="522"/>
      <c r="G416" s="492"/>
      <c r="H416" s="522"/>
      <c r="I416" s="492"/>
      <c r="J416" s="522"/>
      <c r="K416" s="492"/>
      <c r="L416" s="522"/>
      <c r="M416" s="492"/>
      <c r="N416" s="522"/>
      <c r="O416" s="492"/>
      <c r="P416" s="522"/>
      <c r="Q416" s="492"/>
      <c r="R416" s="378" t="s">
        <v>126</v>
      </c>
      <c r="S416" s="522" t="s">
        <v>126</v>
      </c>
      <c r="T416" s="522" t="s">
        <v>126</v>
      </c>
      <c r="U416" s="522" t="s">
        <v>126</v>
      </c>
      <c r="V416" s="492" t="s">
        <v>126</v>
      </c>
      <c r="W416" s="378" t="s">
        <v>126</v>
      </c>
      <c r="X416" s="522" t="s">
        <v>126</v>
      </c>
      <c r="Y416" s="522" t="s">
        <v>126</v>
      </c>
      <c r="Z416" s="522" t="s">
        <v>126</v>
      </c>
      <c r="AA416" s="492" t="s">
        <v>126</v>
      </c>
      <c r="AB416" s="492"/>
      <c r="AC416" s="378" t="s">
        <v>126</v>
      </c>
      <c r="AD416" s="522" t="s">
        <v>126</v>
      </c>
      <c r="AE416" s="522" t="s">
        <v>126</v>
      </c>
      <c r="AF416" s="522" t="s">
        <v>126</v>
      </c>
      <c r="AG416" s="492" t="s">
        <v>126</v>
      </c>
      <c r="AH416" s="378" t="s">
        <v>126</v>
      </c>
      <c r="AI416" s="522" t="s">
        <v>126</v>
      </c>
      <c r="AJ416" s="522" t="s">
        <v>126</v>
      </c>
      <c r="AK416" s="522" t="s">
        <v>126</v>
      </c>
      <c r="AL416" s="492" t="s">
        <v>126</v>
      </c>
      <c r="AM416" s="378" t="s">
        <v>126</v>
      </c>
      <c r="AN416" s="522" t="s">
        <v>126</v>
      </c>
      <c r="AO416" s="522" t="s">
        <v>126</v>
      </c>
      <c r="AP416" s="522" t="s">
        <v>126</v>
      </c>
      <c r="AQ416" s="492" t="s">
        <v>126</v>
      </c>
      <c r="AR416" s="378" t="s">
        <v>126</v>
      </c>
      <c r="AS416" s="522" t="s">
        <v>126</v>
      </c>
      <c r="AT416" s="522" t="s">
        <v>126</v>
      </c>
      <c r="AU416" s="522" t="s">
        <v>126</v>
      </c>
      <c r="AV416" s="492" t="s">
        <v>126</v>
      </c>
      <c r="AW416" s="52">
        <f t="shared" ref="AW416:BI416" si="1346">(1+AW414)/(1+AW415)-1</f>
        <v>-4.0880503144654079E-2</v>
      </c>
      <c r="AX416" s="52">
        <f t="shared" si="1346"/>
        <v>3.0573686018550372E-2</v>
      </c>
      <c r="AY416" s="52">
        <f t="shared" si="1346"/>
        <v>-1.9610589718447313E-3</v>
      </c>
      <c r="AZ416" s="52">
        <f t="shared" si="1346"/>
        <v>2.7615062761506382E-2</v>
      </c>
      <c r="BA416" s="112">
        <f t="shared" si="1346"/>
        <v>8.8847536168428221E-3</v>
      </c>
      <c r="BB416" s="52">
        <f t="shared" si="1346"/>
        <v>-8.461131676361644E-3</v>
      </c>
      <c r="BC416" s="52">
        <f t="shared" si="1346"/>
        <v>-2.5832555244319932E-2</v>
      </c>
      <c r="BD416" s="52">
        <f t="shared" si="1346"/>
        <v>2.8433151845130178E-2</v>
      </c>
      <c r="BE416" s="52">
        <f t="shared" si="1346"/>
        <v>5.2110474205324664E-4</v>
      </c>
      <c r="BF416" s="112">
        <f t="shared" si="1346"/>
        <v>-9.4152107961076315E-4</v>
      </c>
      <c r="BG416" s="114">
        <f t="shared" si="1346"/>
        <v>-5.0847457627118509E-2</v>
      </c>
      <c r="BH416" s="114">
        <f t="shared" si="1346"/>
        <v>-8.463918048582586E-2</v>
      </c>
      <c r="BI416" s="52">
        <f t="shared" si="1346"/>
        <v>-8.5727314181486602E-2</v>
      </c>
      <c r="BJ416" s="52">
        <f t="shared" ref="BJ416:BP416" si="1347">(1+BJ414)/(1+BJ415)-1</f>
        <v>-0.10388389832360723</v>
      </c>
      <c r="BK416" s="112">
        <f t="shared" si="1347"/>
        <v>-8.3009528674194755E-2</v>
      </c>
      <c r="BL416" s="114">
        <f t="shared" si="1347"/>
        <v>-5.1939324116743402E-2</v>
      </c>
      <c r="BM416" s="114">
        <f t="shared" si="1347"/>
        <v>-3.4799168975069295E-2</v>
      </c>
      <c r="BN416" s="114">
        <f t="shared" si="1347"/>
        <v>-4.1978387364920988E-2</v>
      </c>
      <c r="BO416" s="52">
        <f t="shared" si="1347"/>
        <v>-3.3552151714077216E-2</v>
      </c>
      <c r="BP416" s="112">
        <f t="shared" si="1347"/>
        <v>-4.0829859795377121E-2</v>
      </c>
      <c r="BQ416" s="114">
        <f t="shared" ref="BQ416:CH416" si="1348">(1+BQ414)/(1+BQ415)-1</f>
        <v>-4.819863680623182E-2</v>
      </c>
      <c r="BR416" s="114">
        <f t="shared" si="1348"/>
        <v>-3.605098690018016E-2</v>
      </c>
      <c r="BS416" s="114">
        <f t="shared" si="1348"/>
        <v>1.7353579175704903E-2</v>
      </c>
      <c r="BT416" s="52">
        <f t="shared" si="1348"/>
        <v>2.1962912036864957E-2</v>
      </c>
      <c r="BU416" s="112">
        <f t="shared" si="1348"/>
        <v>-1.0321797207043071E-2</v>
      </c>
      <c r="BV416" s="114">
        <f t="shared" si="1348"/>
        <v>1.1734617120505497E-2</v>
      </c>
      <c r="BW416" s="114">
        <f t="shared" si="1348"/>
        <v>-2.7230631004216077E-2</v>
      </c>
      <c r="BX416" s="114">
        <f t="shared" si="1348"/>
        <v>-7.8093601877559871E-2</v>
      </c>
      <c r="BY416" s="52">
        <f t="shared" ref="BY416" si="1349">(1+BY414)/(1+BY415)-1</f>
        <v>-7.2234965465099776E-2</v>
      </c>
      <c r="BZ416" s="112">
        <f t="shared" si="1348"/>
        <v>-4.5933616485763662E-2</v>
      </c>
      <c r="CA416" s="114">
        <f t="shared" si="1348"/>
        <v>-0.1120960823563053</v>
      </c>
      <c r="CB416" s="114">
        <f t="shared" si="1348"/>
        <v>-0.13376144282005742</v>
      </c>
      <c r="CC416" s="114">
        <f t="shared" si="1348"/>
        <v>-6.1673167671367324E-2</v>
      </c>
      <c r="CD416" s="52">
        <f t="shared" si="1348"/>
        <v>-5.4325955734406572E-2</v>
      </c>
      <c r="CE416" s="112">
        <f t="shared" si="1348"/>
        <v>-8.9440893057451287E-2</v>
      </c>
      <c r="CF416" s="114">
        <f t="shared" si="1348"/>
        <v>-7.2385597923798617E-3</v>
      </c>
      <c r="CG416" s="114">
        <f t="shared" si="1348"/>
        <v>3.4151693869153732E-2</v>
      </c>
      <c r="CH416" s="114">
        <f t="shared" si="1348"/>
        <v>-1.0509838998211118E-2</v>
      </c>
      <c r="CI416" s="52">
        <f t="shared" ref="CI416:CU416" si="1350">(1+CI414)/(1+CI415)-1</f>
        <v>-2.3032495998886682E-2</v>
      </c>
      <c r="CJ416" s="112">
        <f t="shared" si="1350"/>
        <v>-1.3557870700728891E-3</v>
      </c>
      <c r="CK416" s="114">
        <f t="shared" si="1350"/>
        <v>-6.1679790026246684E-2</v>
      </c>
      <c r="CL416" s="114">
        <f t="shared" si="1350"/>
        <v>-1.3594164456233293E-2</v>
      </c>
      <c r="CM416" s="114">
        <f t="shared" si="1350"/>
        <v>-7.8978342749529196E-2</v>
      </c>
      <c r="CN416" s="52">
        <f t="shared" ref="CN416" si="1351">(1+CN414)/(1+CN415)-1</f>
        <v>-4.8893493337937799E-2</v>
      </c>
      <c r="CO416" s="112">
        <f t="shared" si="1350"/>
        <v>-8.0774189539745134E-4</v>
      </c>
      <c r="CP416" s="114">
        <f t="shared" si="1350"/>
        <v>6.1746763874424015E-3</v>
      </c>
      <c r="CQ416" s="114">
        <f t="shared" si="1350"/>
        <v>-7.8136517765000635E-3</v>
      </c>
      <c r="CR416" s="114">
        <f t="shared" si="1350"/>
        <v>4.0075010418113566E-2</v>
      </c>
      <c r="CS416" s="52">
        <f t="shared" si="1350"/>
        <v>3.8741383712024513E-2</v>
      </c>
      <c r="CT416" s="112">
        <f t="shared" si="1350"/>
        <v>1.8762765543987925E-2</v>
      </c>
      <c r="CU416" s="114">
        <f t="shared" si="1350"/>
        <v>-1.4806486651294803E-2</v>
      </c>
      <c r="CV416" s="376"/>
      <c r="CW416" s="376"/>
      <c r="CX416" s="376"/>
      <c r="CY416" s="375"/>
      <c r="CZ416" s="376"/>
      <c r="DA416" s="376"/>
      <c r="DB416" s="376"/>
      <c r="DC416" s="376"/>
      <c r="DD416" s="375"/>
      <c r="DE416" s="376"/>
      <c r="DF416" s="376"/>
      <c r="DG416" s="376"/>
      <c r="DH416" s="376"/>
      <c r="DI416" s="375"/>
    </row>
    <row r="417" spans="1:113" s="3" customFormat="1" ht="12" hidden="1" customHeight="1" outlineLevel="1">
      <c r="A417" s="490" t="str">
        <f t="shared" si="1336"/>
        <v xml:space="preserve"> </v>
      </c>
      <c r="B417" s="491" t="s">
        <v>308</v>
      </c>
      <c r="C417" s="492"/>
      <c r="D417" s="522"/>
      <c r="E417" s="492"/>
      <c r="F417" s="522"/>
      <c r="G417" s="492"/>
      <c r="H417" s="522"/>
      <c r="I417" s="492"/>
      <c r="J417" s="522"/>
      <c r="K417" s="492"/>
      <c r="L417" s="522"/>
      <c r="M417" s="492"/>
      <c r="N417" s="522"/>
      <c r="O417" s="492"/>
      <c r="P417" s="522"/>
      <c r="Q417" s="492"/>
      <c r="R417" s="522"/>
      <c r="S417" s="522"/>
      <c r="T417" s="522"/>
      <c r="U417" s="522"/>
      <c r="V417" s="492"/>
      <c r="W417" s="522"/>
      <c r="X417" s="522"/>
      <c r="Y417" s="522"/>
      <c r="Z417" s="522"/>
      <c r="AA417" s="492"/>
      <c r="AB417" s="492"/>
      <c r="AC417" s="522"/>
      <c r="AD417" s="522"/>
      <c r="AE417" s="522"/>
      <c r="AF417" s="522"/>
      <c r="AG417" s="492"/>
      <c r="AH417" s="522"/>
      <c r="AI417" s="522"/>
      <c r="AJ417" s="522"/>
      <c r="AK417" s="522"/>
      <c r="AL417" s="492"/>
      <c r="AM417" s="522"/>
      <c r="AN417" s="522"/>
      <c r="AO417" s="522"/>
      <c r="AP417" s="522"/>
      <c r="AQ417" s="492"/>
      <c r="AR417" s="522"/>
      <c r="AS417" s="522"/>
      <c r="AT417" s="522"/>
      <c r="AU417" s="522"/>
      <c r="AV417" s="492"/>
      <c r="AW417" s="522"/>
      <c r="AX417" s="522"/>
      <c r="AY417" s="522"/>
      <c r="AZ417" s="522"/>
      <c r="BA417" s="492"/>
      <c r="BB417" s="522"/>
      <c r="BC417" s="522"/>
      <c r="BD417" s="522"/>
      <c r="BE417" s="52"/>
      <c r="BF417" s="112">
        <v>0.11</v>
      </c>
      <c r="BG417" s="52">
        <v>7.0000000000000007E-2</v>
      </c>
      <c r="BH417" s="52">
        <v>0.16</v>
      </c>
      <c r="BI417" s="52">
        <v>0.23</v>
      </c>
      <c r="BJ417" s="52">
        <f>((BK417*SUM(BB413:BE413))-BG417*BB413-BH417*BC413-BI417*BD413)/BE413</f>
        <v>9.8697916666666677E-2</v>
      </c>
      <c r="BK417" s="112">
        <v>0.14000000000000001</v>
      </c>
      <c r="BL417" s="52">
        <v>0.12</v>
      </c>
      <c r="BM417" s="52">
        <v>0.14000000000000001</v>
      </c>
      <c r="BN417" s="52">
        <v>0.1</v>
      </c>
      <c r="BO417" s="52">
        <f>((BP417*SUM(BG413:BJ413))-BL417*BG413-BM417*BH413-BN417*BI413)/BJ413</f>
        <v>-0.46653658536585368</v>
      </c>
      <c r="BP417" s="492">
        <v>-0.04</v>
      </c>
      <c r="BQ417" s="52">
        <v>-0.28000000000000003</v>
      </c>
      <c r="BR417" s="554">
        <v>-0.03</v>
      </c>
      <c r="BS417" s="554">
        <v>-0.23</v>
      </c>
      <c r="BT417" s="52">
        <f>((BU417*SUM(BL413:BO413))-BQ417*BL413-BR417*BM413-BS417*BN413)/BO413</f>
        <v>0.51952830188679244</v>
      </c>
      <c r="BU417" s="492">
        <v>-0.04</v>
      </c>
      <c r="BV417" s="52">
        <v>0.18</v>
      </c>
      <c r="BW417" s="554">
        <v>7.0000000000000007E-2</v>
      </c>
      <c r="BX417" s="554">
        <v>0.17</v>
      </c>
      <c r="BY417" s="52">
        <f>((BZ417*SUM(BQ413:BT413))-BV417*BQ413-BW417*BR413-BX417*BS413)/BT413</f>
        <v>0.11990909090909091</v>
      </c>
      <c r="BZ417" s="492">
        <v>0.13</v>
      </c>
      <c r="CA417" s="52">
        <v>0.24</v>
      </c>
      <c r="CB417" s="554">
        <v>0.33</v>
      </c>
      <c r="CC417" s="522">
        <v>0.36</v>
      </c>
      <c r="CD417" s="52">
        <f>((CE417*SUM(BV413:BY413))-CA417*BV413-CB417*BW413-CC417*BX413)/BY413</f>
        <v>0.20443370165745867</v>
      </c>
      <c r="CE417" s="583">
        <v>0.28000000000000003</v>
      </c>
      <c r="CF417" s="522">
        <v>0.12</v>
      </c>
      <c r="CG417" s="522">
        <v>0.11</v>
      </c>
      <c r="CH417" s="522">
        <v>0.18</v>
      </c>
      <c r="CI417" s="52">
        <f>((CJ417*SUM(CA413:CD413))-CF417*CA413-CG417*CB413-CH417*CC413)/CD413</f>
        <v>1.8617021276596199E-3</v>
      </c>
      <c r="CJ417" s="583">
        <v>0.1</v>
      </c>
      <c r="CK417" s="522">
        <v>0.08</v>
      </c>
      <c r="CL417" s="522">
        <v>0</v>
      </c>
      <c r="CM417" s="522">
        <v>-0.08</v>
      </c>
      <c r="CN417" s="52">
        <f>((CO417*SUM(CF413:CI413))-CK417*CF413-CL417*CG413-CM417*CH413)/CI413</f>
        <v>4.8190883190883188E-2</v>
      </c>
      <c r="CO417" s="583">
        <v>0.01</v>
      </c>
      <c r="CP417" s="522">
        <v>-0.08</v>
      </c>
      <c r="CQ417" s="522">
        <v>-0.03</v>
      </c>
      <c r="CR417" s="522">
        <v>-0.05</v>
      </c>
      <c r="CS417" s="52">
        <f>((CT417*SUM(CK413:CN413))-CP417*CK413-CQ417*CL413-CR417*CM413)/CN413</f>
        <v>-6.7170953101361704E-3</v>
      </c>
      <c r="CT417" s="583">
        <v>-0.04</v>
      </c>
      <c r="CU417" s="522"/>
      <c r="CV417" s="522"/>
      <c r="CW417" s="522"/>
      <c r="CX417" s="522"/>
      <c r="CY417" s="492"/>
      <c r="CZ417" s="522"/>
      <c r="DA417" s="522"/>
      <c r="DB417" s="522"/>
      <c r="DC417" s="522"/>
      <c r="DD417" s="492"/>
      <c r="DE417" s="522"/>
      <c r="DF417" s="522"/>
      <c r="DG417" s="522"/>
      <c r="DH417" s="522"/>
      <c r="DI417" s="492"/>
    </row>
    <row r="418" spans="1:113" ht="12" hidden="1" customHeight="1" outlineLevel="1">
      <c r="A418" s="219" t="str">
        <f t="shared" si="1336"/>
        <v xml:space="preserve"> </v>
      </c>
      <c r="B418" s="491" t="s">
        <v>324</v>
      </c>
      <c r="C418" s="492"/>
      <c r="D418" s="522"/>
      <c r="E418" s="492"/>
      <c r="F418" s="522"/>
      <c r="G418" s="492"/>
      <c r="H418" s="522"/>
      <c r="I418" s="492"/>
      <c r="J418" s="522"/>
      <c r="K418" s="492"/>
      <c r="L418" s="522"/>
      <c r="M418" s="492"/>
      <c r="N418" s="522"/>
      <c r="O418" s="492"/>
      <c r="P418" s="522"/>
      <c r="Q418" s="492"/>
      <c r="R418" s="376"/>
      <c r="S418" s="376"/>
      <c r="T418" s="376"/>
      <c r="U418" s="376"/>
      <c r="V418" s="375"/>
      <c r="W418" s="376"/>
      <c r="X418" s="376"/>
      <c r="Y418" s="376"/>
      <c r="Z418" s="376"/>
      <c r="AA418" s="375"/>
      <c r="AB418" s="375"/>
      <c r="AC418" s="376"/>
      <c r="AD418" s="376"/>
      <c r="AE418" s="376"/>
      <c r="AF418" s="376"/>
      <c r="AG418" s="375"/>
      <c r="AH418" s="376"/>
      <c r="AI418" s="376"/>
      <c r="AJ418" s="376"/>
      <c r="AK418" s="376"/>
      <c r="AL418" s="375"/>
      <c r="AM418" s="376"/>
      <c r="AN418" s="376"/>
      <c r="AO418" s="376"/>
      <c r="AP418" s="376"/>
      <c r="AQ418" s="375"/>
      <c r="AR418" s="376"/>
      <c r="AS418" s="376"/>
      <c r="AT418" s="376"/>
      <c r="AU418" s="376"/>
      <c r="AV418" s="375"/>
      <c r="AW418" s="376"/>
      <c r="AX418" s="376"/>
      <c r="AY418" s="376"/>
      <c r="AZ418" s="376"/>
      <c r="BA418" s="375"/>
      <c r="BB418" s="376"/>
      <c r="BC418" s="376"/>
      <c r="BD418" s="376"/>
      <c r="BE418" s="52"/>
      <c r="BF418" s="112"/>
      <c r="BG418" s="52"/>
      <c r="BH418" s="52"/>
      <c r="BI418" s="52"/>
      <c r="BJ418" s="52"/>
      <c r="BK418" s="112"/>
      <c r="BL418" s="52">
        <v>0.46</v>
      </c>
      <c r="BM418" s="52">
        <v>0.67</v>
      </c>
      <c r="BN418" s="114">
        <v>0.51</v>
      </c>
      <c r="BO418" s="218">
        <f>((BP418*SUM(BG414:BJ414))-BL418*BG414-BM418*BH414-BN418*BI414)/BJ414</f>
        <v>1.0817978459803685</v>
      </c>
      <c r="BP418" s="375">
        <v>0.62</v>
      </c>
      <c r="BQ418" s="52">
        <v>0.91</v>
      </c>
      <c r="BR418" s="114">
        <v>0.92</v>
      </c>
      <c r="BS418" s="114">
        <v>0.66</v>
      </c>
      <c r="BT418" s="218">
        <f>((BU418*SUM(BL414:BO414))-BQ418*BL414-BR418*BM414-BS418*BN414)/BO414</f>
        <v>1.0235518423416781</v>
      </c>
      <c r="BU418" s="375">
        <v>0.73</v>
      </c>
      <c r="BV418" s="52">
        <v>0.62</v>
      </c>
      <c r="BW418" s="114">
        <v>0.25</v>
      </c>
      <c r="BX418" s="114">
        <v>0.61</v>
      </c>
      <c r="BY418" s="218">
        <f>((BZ418*SUM(BQ414:BT414))-BV418*BQ414-BW418*BR414-BX418*BS414)/BT414</f>
        <v>0.58905388199242281</v>
      </c>
      <c r="BZ418" s="375">
        <v>0.51</v>
      </c>
      <c r="CA418" s="52">
        <v>0.28999999999999998</v>
      </c>
      <c r="CB418" s="52">
        <v>0.35</v>
      </c>
      <c r="CC418" s="52">
        <v>0.23</v>
      </c>
      <c r="CD418" s="218">
        <f>((CE418*SUM(BV414:BY414))-CA418*BV414-CB418*BW414-CC418*BX414)/BY414</f>
        <v>0.14688738694647516</v>
      </c>
      <c r="CE418" s="612">
        <v>0.23</v>
      </c>
      <c r="CF418" s="114">
        <v>-0.03</v>
      </c>
      <c r="CG418" s="114">
        <v>0.14000000000000001</v>
      </c>
      <c r="CH418" s="52">
        <v>-0.06</v>
      </c>
      <c r="CI418" s="218">
        <f>((CJ418*SUM(CA414:CD414))-CF418*CA414-CG418*CB414-CH418*CC414)/CD414</f>
        <v>-0.35212257684321668</v>
      </c>
      <c r="CJ418" s="612">
        <v>-0.02</v>
      </c>
      <c r="CK418" s="114">
        <v>-0.15</v>
      </c>
      <c r="CL418" s="114">
        <v>-0.08</v>
      </c>
      <c r="CM418" s="114">
        <v>-0.03</v>
      </c>
      <c r="CN418" s="114">
        <v>-0.06</v>
      </c>
      <c r="CO418" s="612">
        <v>-0.09</v>
      </c>
      <c r="CP418" s="114">
        <v>-0.08</v>
      </c>
      <c r="CQ418" s="114">
        <v>-0.1</v>
      </c>
      <c r="CR418" s="114">
        <v>-0.12</v>
      </c>
      <c r="CS418" s="52">
        <v>-0.08</v>
      </c>
      <c r="CT418" s="612">
        <v>-0.09</v>
      </c>
      <c r="CU418" s="52"/>
      <c r="CV418" s="52"/>
      <c r="CW418" s="52"/>
      <c r="CX418" s="52"/>
      <c r="CY418" s="375"/>
      <c r="CZ418" s="52"/>
      <c r="DA418" s="52"/>
      <c r="DB418" s="52"/>
      <c r="DC418" s="52"/>
      <c r="DD418" s="375"/>
      <c r="DE418" s="52"/>
      <c r="DF418" s="52"/>
      <c r="DG418" s="52"/>
      <c r="DH418" s="52"/>
      <c r="DI418" s="375"/>
    </row>
    <row r="419" spans="1:113" ht="12" hidden="1" customHeight="1" outlineLevel="1">
      <c r="A419" s="219"/>
      <c r="B419" s="491"/>
      <c r="C419" s="550"/>
      <c r="D419" s="549"/>
      <c r="E419" s="550"/>
      <c r="F419" s="549"/>
      <c r="G419" s="550"/>
      <c r="H419" s="549"/>
      <c r="I419" s="550"/>
      <c r="J419" s="549"/>
      <c r="K419" s="550"/>
      <c r="L419" s="549"/>
      <c r="M419" s="550"/>
      <c r="N419" s="549"/>
      <c r="O419" s="550"/>
      <c r="P419" s="549"/>
      <c r="Q419" s="550"/>
      <c r="R419" s="6"/>
      <c r="S419" s="6"/>
      <c r="T419" s="6"/>
      <c r="U419" s="6"/>
      <c r="V419" s="79"/>
      <c r="W419" s="6"/>
      <c r="X419" s="6"/>
      <c r="Y419" s="6"/>
      <c r="Z419" s="6"/>
      <c r="AA419" s="79"/>
      <c r="AB419" s="79"/>
      <c r="AC419" s="6"/>
      <c r="AD419" s="6"/>
      <c r="AE419" s="6"/>
      <c r="AF419" s="6"/>
      <c r="AG419" s="79"/>
      <c r="AH419" s="6"/>
      <c r="AI419" s="6"/>
      <c r="AJ419" s="6"/>
      <c r="AK419" s="6"/>
      <c r="AL419" s="79"/>
      <c r="AM419" s="6"/>
      <c r="AN419" s="6"/>
      <c r="AO419" s="6"/>
      <c r="AP419" s="6"/>
      <c r="AQ419" s="79"/>
      <c r="AR419" s="6"/>
      <c r="AS419" s="6"/>
      <c r="AT419" s="6"/>
      <c r="AU419" s="6"/>
      <c r="AV419" s="79"/>
      <c r="AW419" s="6"/>
      <c r="AX419" s="6"/>
      <c r="AY419" s="6"/>
      <c r="AZ419" s="6"/>
      <c r="BA419" s="79"/>
      <c r="BB419" s="6"/>
      <c r="BC419" s="6"/>
      <c r="BD419" s="6"/>
      <c r="BE419" s="6"/>
      <c r="BF419" s="79"/>
      <c r="BG419" s="6"/>
      <c r="BH419" s="6"/>
      <c r="BI419" s="6"/>
      <c r="BJ419" s="6"/>
      <c r="BK419" s="79"/>
      <c r="BL419" s="6"/>
      <c r="BM419" s="6"/>
      <c r="BN419" s="6"/>
      <c r="BO419" s="6"/>
      <c r="BP419" s="375"/>
      <c r="BQ419" s="376"/>
      <c r="BR419" s="376"/>
      <c r="BS419" s="376"/>
      <c r="BT419" s="376"/>
      <c r="BU419" s="375"/>
      <c r="BV419" s="376"/>
      <c r="BW419" s="376"/>
      <c r="BX419" s="376"/>
      <c r="BY419" s="376"/>
      <c r="BZ419" s="375"/>
      <c r="CA419" s="376"/>
      <c r="CB419" s="376"/>
      <c r="CC419" s="376"/>
      <c r="CD419" s="376"/>
      <c r="CE419" s="375"/>
      <c r="CF419" s="376"/>
      <c r="CG419" s="376"/>
      <c r="CH419" s="376"/>
      <c r="CI419" s="376"/>
      <c r="CJ419" s="375"/>
      <c r="CK419" s="376"/>
      <c r="CL419" s="376"/>
      <c r="CM419" s="376"/>
      <c r="CN419" s="376"/>
      <c r="CO419" s="375"/>
      <c r="CP419" s="376"/>
      <c r="CQ419" s="376"/>
      <c r="CR419" s="376"/>
      <c r="CS419" s="376"/>
      <c r="CT419" s="375"/>
      <c r="CU419" s="376"/>
      <c r="CV419" s="376"/>
      <c r="CW419" s="376"/>
      <c r="CX419" s="376"/>
      <c r="CY419" s="375"/>
      <c r="CZ419" s="376"/>
      <c r="DA419" s="376"/>
      <c r="DB419" s="376"/>
      <c r="DC419" s="376"/>
      <c r="DD419" s="375"/>
      <c r="DE419" s="376"/>
      <c r="DF419" s="376"/>
      <c r="DG419" s="376"/>
      <c r="DH419" s="376"/>
      <c r="DI419" s="375"/>
    </row>
    <row r="420" spans="1:113" s="7" customFormat="1" ht="12" hidden="1" customHeight="1" outlineLevel="1">
      <c r="A420" s="239" t="str">
        <f t="shared" si="1336"/>
        <v xml:space="preserve"> </v>
      </c>
      <c r="B420" s="551" t="s">
        <v>178</v>
      </c>
      <c r="C420" s="36"/>
      <c r="D420" s="43"/>
      <c r="E420" s="36"/>
      <c r="F420" s="43"/>
      <c r="G420" s="36"/>
      <c r="H420" s="43"/>
      <c r="I420" s="36"/>
      <c r="J420" s="43"/>
      <c r="K420" s="36"/>
      <c r="L420" s="43"/>
      <c r="M420" s="36"/>
      <c r="N420" s="43"/>
      <c r="O420" s="36"/>
      <c r="P420" s="43"/>
      <c r="Q420" s="36"/>
      <c r="R420" s="542" t="s">
        <v>126</v>
      </c>
      <c r="S420" s="543" t="s">
        <v>126</v>
      </c>
      <c r="T420" s="543" t="s">
        <v>126</v>
      </c>
      <c r="U420" s="543" t="s">
        <v>126</v>
      </c>
      <c r="V420" s="544" t="s">
        <v>126</v>
      </c>
      <c r="W420" s="542" t="s">
        <v>126</v>
      </c>
      <c r="X420" s="543" t="s">
        <v>126</v>
      </c>
      <c r="Y420" s="543" t="s">
        <v>126</v>
      </c>
      <c r="Z420" s="543" t="s">
        <v>126</v>
      </c>
      <c r="AA420" s="544" t="s">
        <v>126</v>
      </c>
      <c r="AB420" s="544"/>
      <c r="AC420" s="542" t="s">
        <v>126</v>
      </c>
      <c r="AD420" s="543" t="s">
        <v>126</v>
      </c>
      <c r="AE420" s="543" t="s">
        <v>126</v>
      </c>
      <c r="AF420" s="543" t="s">
        <v>126</v>
      </c>
      <c r="AG420" s="544" t="s">
        <v>126</v>
      </c>
      <c r="AH420" s="542" t="s">
        <v>126</v>
      </c>
      <c r="AI420" s="543" t="s">
        <v>126</v>
      </c>
      <c r="AJ420" s="543" t="s">
        <v>126</v>
      </c>
      <c r="AK420" s="543" t="s">
        <v>126</v>
      </c>
      <c r="AL420" s="544" t="s">
        <v>126</v>
      </c>
      <c r="AM420" s="542" t="s">
        <v>126</v>
      </c>
      <c r="AN420" s="543" t="s">
        <v>126</v>
      </c>
      <c r="AO420" s="543" t="s">
        <v>126</v>
      </c>
      <c r="AP420" s="543" t="s">
        <v>126</v>
      </c>
      <c r="AQ420" s="544" t="s">
        <v>126</v>
      </c>
      <c r="AR420" s="43">
        <v>871</v>
      </c>
      <c r="AS420" s="43">
        <v>894</v>
      </c>
      <c r="AT420" s="43">
        <v>790</v>
      </c>
      <c r="AU420" s="43">
        <v>856</v>
      </c>
      <c r="AV420" s="36">
        <f>SUM(AR420:AU420)</f>
        <v>3411</v>
      </c>
      <c r="AW420" s="43">
        <v>887</v>
      </c>
      <c r="AX420" s="43">
        <v>936</v>
      </c>
      <c r="AY420" s="43">
        <v>837</v>
      </c>
      <c r="AZ420" s="43">
        <v>971</v>
      </c>
      <c r="BA420" s="36">
        <f>SUM(AW420:AZ420)</f>
        <v>3631</v>
      </c>
      <c r="BB420" s="43">
        <v>889</v>
      </c>
      <c r="BC420" s="43">
        <v>960</v>
      </c>
      <c r="BD420" s="43">
        <v>928</v>
      </c>
      <c r="BE420" s="43">
        <f>BF420-SUM(BB420:BD420)</f>
        <v>1052</v>
      </c>
      <c r="BF420" s="36">
        <v>3829</v>
      </c>
      <c r="BG420" s="43">
        <v>934</v>
      </c>
      <c r="BH420" s="43">
        <v>937</v>
      </c>
      <c r="BI420" s="43">
        <v>906</v>
      </c>
      <c r="BJ420" s="43">
        <f>BK420-SUM(BG420:BI420)</f>
        <v>969</v>
      </c>
      <c r="BK420" s="36">
        <v>3746</v>
      </c>
      <c r="BL420" s="43">
        <v>950</v>
      </c>
      <c r="BM420" s="43">
        <v>1022</v>
      </c>
      <c r="BN420" s="43">
        <v>953</v>
      </c>
      <c r="BO420" s="43">
        <f>BP420-SUM(BL420:BN420)</f>
        <v>483</v>
      </c>
      <c r="BP420" s="36">
        <v>3408</v>
      </c>
      <c r="BQ420" s="43">
        <v>708</v>
      </c>
      <c r="BR420" s="258">
        <v>925</v>
      </c>
      <c r="BS420" s="237">
        <v>846</v>
      </c>
      <c r="BT420" s="43">
        <f>BU420-SUM(BQ420:BS420)</f>
        <v>908</v>
      </c>
      <c r="BU420" s="36">
        <v>3387</v>
      </c>
      <c r="BV420" s="43">
        <v>927</v>
      </c>
      <c r="BW420" s="258">
        <v>784</v>
      </c>
      <c r="BX420" s="237">
        <v>860</v>
      </c>
      <c r="BY420" s="43">
        <f>BZ420-SUM(BV420:BX420)</f>
        <v>958</v>
      </c>
      <c r="BZ420" s="36">
        <v>3529</v>
      </c>
      <c r="CA420" s="43">
        <v>914</v>
      </c>
      <c r="CB420" s="257">
        <v>965</v>
      </c>
      <c r="CC420" s="257">
        <v>913</v>
      </c>
      <c r="CD420" s="43">
        <f>CE420-SUM(CA420:CC420)</f>
        <v>944</v>
      </c>
      <c r="CE420" s="15">
        <v>3736</v>
      </c>
      <c r="CF420" s="257">
        <v>937</v>
      </c>
      <c r="CG420" s="257">
        <v>1051</v>
      </c>
      <c r="CH420" s="257">
        <v>939</v>
      </c>
      <c r="CI420" s="43">
        <f>CJ420-SUM(CF420:CH420)</f>
        <v>1003</v>
      </c>
      <c r="CJ420" s="15">
        <v>3930</v>
      </c>
      <c r="CK420" s="369">
        <v>890</v>
      </c>
      <c r="CL420" s="369">
        <v>1030</v>
      </c>
      <c r="CM420" s="369">
        <v>844</v>
      </c>
      <c r="CN420" s="43">
        <f>CO420-SUM(CK420:CM420)</f>
        <v>914</v>
      </c>
      <c r="CO420" s="15">
        <v>3678</v>
      </c>
      <c r="CP420" s="369">
        <v>949</v>
      </c>
      <c r="CQ420" s="369">
        <v>994</v>
      </c>
      <c r="CR420" s="369">
        <v>891</v>
      </c>
      <c r="CS420" s="43">
        <f>CT420-SUM(CP420:CR420)</f>
        <v>945</v>
      </c>
      <c r="CT420" s="15">
        <v>3779</v>
      </c>
      <c r="CU420" s="237">
        <v>946</v>
      </c>
      <c r="CV420" s="237"/>
      <c r="CW420" s="237"/>
      <c r="CX420" s="237"/>
      <c r="CY420" s="36"/>
      <c r="CZ420" s="237"/>
      <c r="DA420" s="237"/>
      <c r="DB420" s="237"/>
      <c r="DC420" s="237"/>
      <c r="DD420" s="36"/>
      <c r="DE420" s="237"/>
      <c r="DF420" s="237"/>
      <c r="DG420" s="237"/>
      <c r="DH420" s="237"/>
      <c r="DI420" s="36"/>
    </row>
    <row r="421" spans="1:113" s="3" customFormat="1" ht="12" hidden="1" customHeight="1" outlineLevel="1">
      <c r="A421" s="490" t="str">
        <f t="shared" si="1336"/>
        <v xml:space="preserve"> </v>
      </c>
      <c r="B421" s="491" t="s">
        <v>171</v>
      </c>
      <c r="C421" s="492"/>
      <c r="D421" s="522"/>
      <c r="E421" s="492"/>
      <c r="F421" s="522"/>
      <c r="G421" s="492"/>
      <c r="H421" s="522"/>
      <c r="I421" s="492"/>
      <c r="J421" s="522"/>
      <c r="K421" s="492"/>
      <c r="L421" s="522"/>
      <c r="M421" s="492"/>
      <c r="N421" s="522"/>
      <c r="O421" s="492"/>
      <c r="P421" s="522"/>
      <c r="Q421" s="492"/>
      <c r="R421" s="378" t="s">
        <v>126</v>
      </c>
      <c r="S421" s="522" t="s">
        <v>126</v>
      </c>
      <c r="T421" s="522" t="s">
        <v>126</v>
      </c>
      <c r="U421" s="522" t="s">
        <v>126</v>
      </c>
      <c r="V421" s="492" t="s">
        <v>126</v>
      </c>
      <c r="W421" s="378" t="s">
        <v>126</v>
      </c>
      <c r="X421" s="522" t="s">
        <v>126</v>
      </c>
      <c r="Y421" s="522" t="s">
        <v>126</v>
      </c>
      <c r="Z421" s="522" t="s">
        <v>126</v>
      </c>
      <c r="AA421" s="492" t="s">
        <v>126</v>
      </c>
      <c r="AB421" s="492"/>
      <c r="AC421" s="378" t="s">
        <v>126</v>
      </c>
      <c r="AD421" s="522" t="s">
        <v>126</v>
      </c>
      <c r="AE421" s="522" t="s">
        <v>126</v>
      </c>
      <c r="AF421" s="522" t="s">
        <v>126</v>
      </c>
      <c r="AG421" s="492" t="s">
        <v>126</v>
      </c>
      <c r="AH421" s="378" t="s">
        <v>126</v>
      </c>
      <c r="AI421" s="522" t="s">
        <v>126</v>
      </c>
      <c r="AJ421" s="522" t="s">
        <v>126</v>
      </c>
      <c r="AK421" s="522" t="s">
        <v>126</v>
      </c>
      <c r="AL421" s="492" t="s">
        <v>126</v>
      </c>
      <c r="AM421" s="378" t="s">
        <v>126</v>
      </c>
      <c r="AN421" s="522" t="s">
        <v>126</v>
      </c>
      <c r="AO421" s="522" t="s">
        <v>126</v>
      </c>
      <c r="AP421" s="522" t="s">
        <v>126</v>
      </c>
      <c r="AQ421" s="492" t="s">
        <v>126</v>
      </c>
      <c r="AR421" s="378" t="s">
        <v>126</v>
      </c>
      <c r="AS421" s="522" t="s">
        <v>126</v>
      </c>
      <c r="AT421" s="522" t="s">
        <v>126</v>
      </c>
      <c r="AU421" s="522" t="s">
        <v>126</v>
      </c>
      <c r="AV421" s="492" t="s">
        <v>126</v>
      </c>
      <c r="AW421" s="52">
        <f t="shared" ref="AW421:BD421" si="1352">+AW420/AR420-1</f>
        <v>1.8369690011481143E-2</v>
      </c>
      <c r="AX421" s="52">
        <f t="shared" si="1352"/>
        <v>4.6979865771812124E-2</v>
      </c>
      <c r="AY421" s="52">
        <f t="shared" si="1352"/>
        <v>5.9493670886076044E-2</v>
      </c>
      <c r="AZ421" s="52">
        <f t="shared" si="1352"/>
        <v>0.13434579439252325</v>
      </c>
      <c r="BA421" s="112">
        <f t="shared" si="1352"/>
        <v>6.4497214892993204E-2</v>
      </c>
      <c r="BB421" s="52">
        <f t="shared" si="1352"/>
        <v>2.2547914317925244E-3</v>
      </c>
      <c r="BC421" s="52">
        <f t="shared" si="1352"/>
        <v>2.564102564102555E-2</v>
      </c>
      <c r="BD421" s="52">
        <f t="shared" si="1352"/>
        <v>0.10872162485065706</v>
      </c>
      <c r="BE421" s="52">
        <f t="shared" ref="BE421:BI421" si="1353">+BE420/AZ420-1</f>
        <v>8.3419155509783627E-2</v>
      </c>
      <c r="BF421" s="112">
        <f t="shared" si="1353"/>
        <v>5.4530432387771999E-2</v>
      </c>
      <c r="BG421" s="52">
        <f t="shared" si="1353"/>
        <v>5.0618672665916797E-2</v>
      </c>
      <c r="BH421" s="52">
        <f t="shared" si="1353"/>
        <v>-2.3958333333333304E-2</v>
      </c>
      <c r="BI421" s="52">
        <f t="shared" si="1353"/>
        <v>-2.3706896551724088E-2</v>
      </c>
      <c r="BJ421" s="52">
        <f t="shared" ref="BJ421" si="1354">+BJ420/BE420-1</f>
        <v>-7.8897338403041806E-2</v>
      </c>
      <c r="BK421" s="112">
        <f t="shared" ref="BK421:BN421" si="1355">+BK420/BF420-1</f>
        <v>-2.1676677983807791E-2</v>
      </c>
      <c r="BL421" s="52">
        <f t="shared" si="1355"/>
        <v>1.7130620985010614E-2</v>
      </c>
      <c r="BM421" s="52">
        <f t="shared" si="1355"/>
        <v>9.0715048025613587E-2</v>
      </c>
      <c r="BN421" s="52">
        <f t="shared" si="1355"/>
        <v>5.1876379690949159E-2</v>
      </c>
      <c r="BO421" s="52">
        <f t="shared" ref="BO421" si="1356">+BO420/BJ420-1</f>
        <v>-0.50154798761609909</v>
      </c>
      <c r="BP421" s="112">
        <f t="shared" ref="BP421:CH421" si="1357">+BP420/BK420-1</f>
        <v>-9.0229578216764583E-2</v>
      </c>
      <c r="BQ421" s="52">
        <f t="shared" si="1357"/>
        <v>-0.25473684210526315</v>
      </c>
      <c r="BR421" s="52">
        <f t="shared" si="1357"/>
        <v>-9.4911937377690769E-2</v>
      </c>
      <c r="BS421" s="52">
        <f t="shared" si="1357"/>
        <v>-0.11227701993704098</v>
      </c>
      <c r="BT421" s="52">
        <f t="shared" si="1357"/>
        <v>0.87991718426501042</v>
      </c>
      <c r="BU421" s="112">
        <f t="shared" si="1357"/>
        <v>-6.1619718309858795E-3</v>
      </c>
      <c r="BV421" s="52">
        <f t="shared" si="1357"/>
        <v>0.30932203389830515</v>
      </c>
      <c r="BW421" s="52">
        <f t="shared" si="1357"/>
        <v>-0.15243243243243243</v>
      </c>
      <c r="BX421" s="52">
        <f t="shared" si="1357"/>
        <v>1.6548463356973908E-2</v>
      </c>
      <c r="BY421" s="52">
        <f t="shared" si="1357"/>
        <v>5.506607929515428E-2</v>
      </c>
      <c r="BZ421" s="112">
        <f t="shared" si="1357"/>
        <v>4.1925007381163226E-2</v>
      </c>
      <c r="CA421" s="52">
        <f t="shared" si="1357"/>
        <v>-1.4023732470334394E-2</v>
      </c>
      <c r="CB421" s="52">
        <f t="shared" si="1357"/>
        <v>0.23086734693877542</v>
      </c>
      <c r="CC421" s="52">
        <f t="shared" si="1357"/>
        <v>6.1627906976744251E-2</v>
      </c>
      <c r="CD421" s="52">
        <f t="shared" si="1357"/>
        <v>-1.4613778705636737E-2</v>
      </c>
      <c r="CE421" s="112">
        <f t="shared" si="1357"/>
        <v>5.865684329838472E-2</v>
      </c>
      <c r="CF421" s="52">
        <f t="shared" si="1357"/>
        <v>2.5164113785558051E-2</v>
      </c>
      <c r="CG421" s="52">
        <f t="shared" si="1357"/>
        <v>8.9119170984455875E-2</v>
      </c>
      <c r="CH421" s="52">
        <f t="shared" si="1357"/>
        <v>2.8477546549835697E-2</v>
      </c>
      <c r="CI421" s="52">
        <f t="shared" ref="CI421" si="1358">+CI420/CD420-1</f>
        <v>6.25E-2</v>
      </c>
      <c r="CJ421" s="112">
        <f t="shared" ref="CJ421:CU421" si="1359">+CJ420/CE420-1</f>
        <v>5.1927194860813763E-2</v>
      </c>
      <c r="CK421" s="52">
        <f t="shared" si="1359"/>
        <v>-5.0160085378868735E-2</v>
      </c>
      <c r="CL421" s="52">
        <f t="shared" si="1359"/>
        <v>-1.9980970504281603E-2</v>
      </c>
      <c r="CM421" s="52">
        <f t="shared" si="1359"/>
        <v>-0.10117145899893498</v>
      </c>
      <c r="CN421" s="52">
        <f t="shared" si="1359"/>
        <v>-8.8733798604187397E-2</v>
      </c>
      <c r="CO421" s="112">
        <f t="shared" si="1359"/>
        <v>-6.4122137404580171E-2</v>
      </c>
      <c r="CP421" s="52">
        <f t="shared" si="1359"/>
        <v>6.6292134831460681E-2</v>
      </c>
      <c r="CQ421" s="52">
        <f t="shared" si="1359"/>
        <v>-3.4951456310679641E-2</v>
      </c>
      <c r="CR421" s="52">
        <f t="shared" si="1359"/>
        <v>5.5687203791469297E-2</v>
      </c>
      <c r="CS421" s="52">
        <f t="shared" si="1359"/>
        <v>3.3916849015317219E-2</v>
      </c>
      <c r="CT421" s="112">
        <f t="shared" si="1359"/>
        <v>2.7460576400217596E-2</v>
      </c>
      <c r="CU421" s="52">
        <f t="shared" si="1359"/>
        <v>-3.1612223393044925E-3</v>
      </c>
      <c r="CV421" s="522"/>
      <c r="CW421" s="522"/>
      <c r="CX421" s="522"/>
      <c r="CY421" s="492"/>
      <c r="CZ421" s="522"/>
      <c r="DA421" s="522"/>
      <c r="DB421" s="522"/>
      <c r="DC421" s="522"/>
      <c r="DD421" s="492"/>
      <c r="DE421" s="522"/>
      <c r="DF421" s="522"/>
      <c r="DG421" s="522"/>
      <c r="DH421" s="522"/>
      <c r="DI421" s="492"/>
    </row>
    <row r="422" spans="1:113" s="3" customFormat="1" ht="12" hidden="1" customHeight="1" outlineLevel="1">
      <c r="A422" s="490" t="str">
        <f t="shared" si="1336"/>
        <v xml:space="preserve"> </v>
      </c>
      <c r="B422" s="491" t="s">
        <v>173</v>
      </c>
      <c r="C422" s="492"/>
      <c r="D422" s="522"/>
      <c r="E422" s="492"/>
      <c r="F422" s="522"/>
      <c r="G422" s="492"/>
      <c r="H422" s="522"/>
      <c r="I422" s="492"/>
      <c r="J422" s="522"/>
      <c r="K422" s="492"/>
      <c r="L422" s="522"/>
      <c r="M422" s="492"/>
      <c r="N422" s="522"/>
      <c r="O422" s="492"/>
      <c r="P422" s="522"/>
      <c r="Q422" s="492"/>
      <c r="R422" s="378" t="s">
        <v>126</v>
      </c>
      <c r="S422" s="522" t="s">
        <v>126</v>
      </c>
      <c r="T422" s="522" t="s">
        <v>126</v>
      </c>
      <c r="U422" s="522" t="s">
        <v>126</v>
      </c>
      <c r="V422" s="492" t="s">
        <v>126</v>
      </c>
      <c r="W422" s="378" t="s">
        <v>126</v>
      </c>
      <c r="X422" s="522" t="s">
        <v>126</v>
      </c>
      <c r="Y422" s="522" t="s">
        <v>126</v>
      </c>
      <c r="Z422" s="522" t="s">
        <v>126</v>
      </c>
      <c r="AA422" s="492" t="s">
        <v>126</v>
      </c>
      <c r="AB422" s="492"/>
      <c r="AC422" s="378" t="s">
        <v>126</v>
      </c>
      <c r="AD422" s="522" t="s">
        <v>126</v>
      </c>
      <c r="AE422" s="522" t="s">
        <v>126</v>
      </c>
      <c r="AF422" s="522" t="s">
        <v>126</v>
      </c>
      <c r="AG422" s="492" t="s">
        <v>126</v>
      </c>
      <c r="AH422" s="378" t="s">
        <v>126</v>
      </c>
      <c r="AI422" s="522" t="s">
        <v>126</v>
      </c>
      <c r="AJ422" s="522" t="s">
        <v>126</v>
      </c>
      <c r="AK422" s="522" t="s">
        <v>126</v>
      </c>
      <c r="AL422" s="492" t="s">
        <v>126</v>
      </c>
      <c r="AM422" s="378" t="s">
        <v>126</v>
      </c>
      <c r="AN422" s="522" t="s">
        <v>126</v>
      </c>
      <c r="AO422" s="522" t="s">
        <v>126</v>
      </c>
      <c r="AP422" s="522" t="s">
        <v>126</v>
      </c>
      <c r="AQ422" s="492" t="s">
        <v>126</v>
      </c>
      <c r="AR422" s="378" t="s">
        <v>126</v>
      </c>
      <c r="AS422" s="522" t="s">
        <v>126</v>
      </c>
      <c r="AT422" s="522" t="s">
        <v>126</v>
      </c>
      <c r="AU422" s="522" t="s">
        <v>126</v>
      </c>
      <c r="AV422" s="492" t="s">
        <v>126</v>
      </c>
      <c r="AW422" s="52">
        <v>0.11</v>
      </c>
      <c r="AX422" s="52">
        <v>0.09</v>
      </c>
      <c r="AY422" s="52">
        <v>0.1</v>
      </c>
      <c r="AZ422" s="52">
        <v>0.12</v>
      </c>
      <c r="BA422" s="112">
        <v>0.1</v>
      </c>
      <c r="BB422" s="52">
        <v>0.02</v>
      </c>
      <c r="BC422" s="52">
        <v>0.05</v>
      </c>
      <c r="BD422" s="522">
        <v>0.09</v>
      </c>
      <c r="BE422" s="52">
        <f>((BF422*SUM(AW420:AZ420))-BB422*AW420-BC422*AX420-BD422*AY420)/AZ420</f>
        <v>8.0319258496395429E-2</v>
      </c>
      <c r="BF422" s="112">
        <v>0.06</v>
      </c>
      <c r="BG422" s="52">
        <v>0.13</v>
      </c>
      <c r="BH422" s="52">
        <v>0.12</v>
      </c>
      <c r="BI422" s="52">
        <v>0.08</v>
      </c>
      <c r="BJ422" s="52">
        <f>((BK422*SUM(BB420:BE420))-BG422*BB420-BH422*BC420-BI422*BD420)/BE420</f>
        <v>3.7642585551330834E-2</v>
      </c>
      <c r="BK422" s="112">
        <v>0.09</v>
      </c>
      <c r="BL422" s="52">
        <v>0.08</v>
      </c>
      <c r="BM422" s="52">
        <v>0.14000000000000001</v>
      </c>
      <c r="BN422" s="114">
        <v>0.11</v>
      </c>
      <c r="BO422" s="52">
        <f>((BP422*SUM(BG420:BJ420))-BL422*BG420-BM422*BH420-BN422*BI420)/BJ420</f>
        <v>-0.46996904024767799</v>
      </c>
      <c r="BP422" s="112">
        <v>-0.04</v>
      </c>
      <c r="BQ422" s="52">
        <v>-0.19</v>
      </c>
      <c r="BR422" s="554">
        <v>-0.05</v>
      </c>
      <c r="BS422" s="554">
        <v>-0.12</v>
      </c>
      <c r="BT422" s="52">
        <f>((BU422*SUM(BL420:BO420))-BQ422*BL420-BR422*BM420-BS422*BN420)/BO420</f>
        <v>0.85739130434782607</v>
      </c>
      <c r="BU422" s="112">
        <v>0.02</v>
      </c>
      <c r="BV422" s="52">
        <v>0.28000000000000003</v>
      </c>
      <c r="BW422" s="554">
        <v>-0.13</v>
      </c>
      <c r="BX422" s="554">
        <v>0.09</v>
      </c>
      <c r="BY422" s="52">
        <f>((BZ422*SUM(BQ420:BT420))-BV422*BQ420-BW422*BR420-BX422*BS420)/BT420</f>
        <v>0.12866740088105724</v>
      </c>
      <c r="BZ422" s="112">
        <v>0.08</v>
      </c>
      <c r="CA422" s="52">
        <v>0.08</v>
      </c>
      <c r="CB422" s="554">
        <v>0.37</v>
      </c>
      <c r="CC422" s="554">
        <v>0.11</v>
      </c>
      <c r="CD422" s="52">
        <f>((CE422*SUM(BV420:BY420))-CA422*BV420-CB422*BW420-CC422*BX420)/BY420</f>
        <v>3.6764091858037695E-2</v>
      </c>
      <c r="CE422" s="583">
        <v>0.14000000000000001</v>
      </c>
      <c r="CF422" s="554">
        <v>0.03</v>
      </c>
      <c r="CG422" s="554">
        <v>7.0000000000000007E-2</v>
      </c>
      <c r="CH422" s="554">
        <v>0.03</v>
      </c>
      <c r="CI422" s="52">
        <f>((CJ422*SUM(CA420:CD420))-CF422*CA420-CG422*CB420-CH422*CC420)/CD420</f>
        <v>0.10783898305084745</v>
      </c>
      <c r="CJ422" s="583">
        <v>0.06</v>
      </c>
      <c r="CK422" s="554">
        <v>-0.01</v>
      </c>
      <c r="CL422" s="554">
        <v>-0.01</v>
      </c>
      <c r="CM422" s="554">
        <v>-0.04</v>
      </c>
      <c r="CN422" s="554">
        <v>-0.05</v>
      </c>
      <c r="CO422" s="583">
        <v>-0.06</v>
      </c>
      <c r="CP422" s="554">
        <v>0.06</v>
      </c>
      <c r="CQ422" s="554">
        <v>-0.03</v>
      </c>
      <c r="CR422" s="554">
        <v>0.03</v>
      </c>
      <c r="CS422" s="52">
        <f>((CT422*SUM(CK420:CN420))-CP422*CK420-CQ422*CL420-CR422*CM420)/CN420</f>
        <v>2.816192560175055E-2</v>
      </c>
      <c r="CT422" s="583">
        <v>0.02</v>
      </c>
      <c r="CU422" s="554">
        <v>0.02</v>
      </c>
      <c r="CV422" s="586"/>
      <c r="CW422" s="586"/>
      <c r="CX422" s="586"/>
      <c r="CY422" s="587"/>
      <c r="CZ422" s="586"/>
      <c r="DA422" s="586"/>
      <c r="DB422" s="586"/>
      <c r="DC422" s="586"/>
      <c r="DD422" s="587"/>
      <c r="DE422" s="586"/>
      <c r="DF422" s="586"/>
      <c r="DG422" s="586"/>
      <c r="DH422" s="586"/>
      <c r="DI422" s="587"/>
    </row>
    <row r="423" spans="1:113" s="3" customFormat="1" ht="12" hidden="1" customHeight="1" outlineLevel="1">
      <c r="A423" s="490" t="str">
        <f t="shared" si="1336"/>
        <v xml:space="preserve"> </v>
      </c>
      <c r="B423" s="491" t="s">
        <v>141</v>
      </c>
      <c r="C423" s="492"/>
      <c r="D423" s="522"/>
      <c r="E423" s="492"/>
      <c r="F423" s="522"/>
      <c r="G423" s="492"/>
      <c r="H423" s="522"/>
      <c r="I423" s="492"/>
      <c r="J423" s="522"/>
      <c r="K423" s="492"/>
      <c r="L423" s="522"/>
      <c r="M423" s="492"/>
      <c r="N423" s="522"/>
      <c r="O423" s="492"/>
      <c r="P423" s="522"/>
      <c r="Q423" s="492"/>
      <c r="R423" s="378" t="s">
        <v>126</v>
      </c>
      <c r="S423" s="522" t="s">
        <v>126</v>
      </c>
      <c r="T423" s="522" t="s">
        <v>126</v>
      </c>
      <c r="U423" s="522" t="s">
        <v>126</v>
      </c>
      <c r="V423" s="492" t="s">
        <v>126</v>
      </c>
      <c r="W423" s="378" t="s">
        <v>126</v>
      </c>
      <c r="X423" s="522" t="s">
        <v>126</v>
      </c>
      <c r="Y423" s="522" t="s">
        <v>126</v>
      </c>
      <c r="Z423" s="522" t="s">
        <v>126</v>
      </c>
      <c r="AA423" s="492" t="s">
        <v>126</v>
      </c>
      <c r="AB423" s="492"/>
      <c r="AC423" s="378" t="s">
        <v>126</v>
      </c>
      <c r="AD423" s="522" t="s">
        <v>126</v>
      </c>
      <c r="AE423" s="522" t="s">
        <v>126</v>
      </c>
      <c r="AF423" s="522" t="s">
        <v>126</v>
      </c>
      <c r="AG423" s="492" t="s">
        <v>126</v>
      </c>
      <c r="AH423" s="378" t="s">
        <v>126</v>
      </c>
      <c r="AI423" s="522" t="s">
        <v>126</v>
      </c>
      <c r="AJ423" s="522" t="s">
        <v>126</v>
      </c>
      <c r="AK423" s="522" t="s">
        <v>126</v>
      </c>
      <c r="AL423" s="492" t="s">
        <v>126</v>
      </c>
      <c r="AM423" s="378" t="s">
        <v>126</v>
      </c>
      <c r="AN423" s="522" t="s">
        <v>126</v>
      </c>
      <c r="AO423" s="522" t="s">
        <v>126</v>
      </c>
      <c r="AP423" s="522" t="s">
        <v>126</v>
      </c>
      <c r="AQ423" s="492" t="s">
        <v>126</v>
      </c>
      <c r="AR423" s="378" t="s">
        <v>126</v>
      </c>
      <c r="AS423" s="522" t="s">
        <v>126</v>
      </c>
      <c r="AT423" s="522" t="s">
        <v>126</v>
      </c>
      <c r="AU423" s="522" t="s">
        <v>126</v>
      </c>
      <c r="AV423" s="492" t="s">
        <v>126</v>
      </c>
      <c r="AW423" s="52">
        <f t="shared" ref="AW423:BI423" si="1360">(1+AW421)/(1+AW422)-1</f>
        <v>-8.2549828818485493E-2</v>
      </c>
      <c r="AX423" s="52">
        <f t="shared" si="1360"/>
        <v>-3.9468013053383433E-2</v>
      </c>
      <c r="AY423" s="52">
        <f t="shared" si="1360"/>
        <v>-3.6823935558112808E-2</v>
      </c>
      <c r="AZ423" s="52">
        <f t="shared" si="1360"/>
        <v>1.2808744993324295E-2</v>
      </c>
      <c r="BA423" s="112">
        <f t="shared" si="1360"/>
        <v>-3.2275259188188077E-2</v>
      </c>
      <c r="BB423" s="52">
        <f t="shared" si="1360"/>
        <v>-1.7397263302164179E-2</v>
      </c>
      <c r="BC423" s="52">
        <f t="shared" si="1360"/>
        <v>-2.3199023199023339E-2</v>
      </c>
      <c r="BD423" s="52">
        <f t="shared" si="1360"/>
        <v>1.7175802615281732E-2</v>
      </c>
      <c r="BE423" s="52">
        <f t="shared" si="1360"/>
        <v>2.8694267819520114E-3</v>
      </c>
      <c r="BF423" s="112">
        <f t="shared" si="1360"/>
        <v>-5.1599694454981249E-3</v>
      </c>
      <c r="BG423" s="52">
        <f t="shared" si="1360"/>
        <v>-7.0248962242551394E-2</v>
      </c>
      <c r="BH423" s="52">
        <f t="shared" si="1360"/>
        <v>-0.12853422619047628</v>
      </c>
      <c r="BI423" s="52">
        <f t="shared" si="1360"/>
        <v>-9.6024904214559448E-2</v>
      </c>
      <c r="BJ423" s="52">
        <f t="shared" ref="BJ423:BK423" si="1361">(1+BJ421)/(1+BJ422)-1</f>
        <v>-0.11231220227189453</v>
      </c>
      <c r="BK423" s="112">
        <f t="shared" si="1361"/>
        <v>-0.10245566787505311</v>
      </c>
      <c r="BL423" s="52">
        <f t="shared" ref="BL423:BP423" si="1362">(1+BL421)/(1+BL422)-1</f>
        <v>-5.8212387976842139E-2</v>
      </c>
      <c r="BM423" s="52">
        <f t="shared" si="1362"/>
        <v>-4.3232414012619791E-2</v>
      </c>
      <c r="BN423" s="52">
        <f t="shared" si="1362"/>
        <v>-5.2363621900045842E-2</v>
      </c>
      <c r="BO423" s="52">
        <f t="shared" si="1362"/>
        <v>-5.9579439252336663E-2</v>
      </c>
      <c r="BP423" s="112">
        <f t="shared" si="1362"/>
        <v>-5.2322477309129756E-2</v>
      </c>
      <c r="BQ423" s="52">
        <f t="shared" ref="BQ423:CH423" si="1363">(1+BQ421)/(1+BQ422)-1</f>
        <v>-7.9922027290448394E-2</v>
      </c>
      <c r="BR423" s="52">
        <f t="shared" si="1363"/>
        <v>-4.7275723555463944E-2</v>
      </c>
      <c r="BS423" s="52">
        <f t="shared" si="1363"/>
        <v>8.7761137079078733E-3</v>
      </c>
      <c r="BT423" s="52">
        <f t="shared" si="1363"/>
        <v>1.2127697520956104E-2</v>
      </c>
      <c r="BU423" s="112">
        <f t="shared" si="1363"/>
        <v>-2.5648991991162662E-2</v>
      </c>
      <c r="BV423" s="52">
        <f t="shared" si="1363"/>
        <v>2.2907838983050821E-2</v>
      </c>
      <c r="BW423" s="52">
        <f t="shared" si="1363"/>
        <v>-2.5784405094749885E-2</v>
      </c>
      <c r="BX423" s="52">
        <f t="shared" si="1363"/>
        <v>-6.738673086516167E-2</v>
      </c>
      <c r="BY423" s="52">
        <f t="shared" ref="BY423" si="1364">(1+BY421)/(1+BY422)-1</f>
        <v>-6.5210815452318882E-2</v>
      </c>
      <c r="BZ423" s="112">
        <f t="shared" si="1363"/>
        <v>-3.5254622795219293E-2</v>
      </c>
      <c r="CA423" s="52">
        <f t="shared" si="1363"/>
        <v>-8.7059011546606002E-2</v>
      </c>
      <c r="CB423" s="52">
        <f t="shared" si="1363"/>
        <v>-0.10155668106658733</v>
      </c>
      <c r="CC423" s="52">
        <f t="shared" si="1363"/>
        <v>-4.3578462183113342E-2</v>
      </c>
      <c r="CD423" s="52">
        <f t="shared" si="1363"/>
        <v>-4.9555989609552764E-2</v>
      </c>
      <c r="CE423" s="112">
        <f t="shared" si="1363"/>
        <v>-7.1353646229487144E-2</v>
      </c>
      <c r="CF423" s="52">
        <f t="shared" si="1363"/>
        <v>-4.6950351596524165E-3</v>
      </c>
      <c r="CG423" s="52">
        <f t="shared" si="1363"/>
        <v>1.7868384097622148E-2</v>
      </c>
      <c r="CH423" s="52">
        <f t="shared" si="1363"/>
        <v>-1.4781101457905788E-3</v>
      </c>
      <c r="CI423" s="52">
        <f t="shared" ref="CI423:CU423" si="1365">(1+CI421)/(1+CI422)-1</f>
        <v>-4.0925607190667512E-2</v>
      </c>
      <c r="CJ423" s="112">
        <f t="shared" si="1365"/>
        <v>-7.6158539048927221E-3</v>
      </c>
      <c r="CK423" s="52">
        <f t="shared" si="1365"/>
        <v>-4.0565742806938143E-2</v>
      </c>
      <c r="CL423" s="52">
        <f t="shared" si="1365"/>
        <v>-1.0081788388163204E-2</v>
      </c>
      <c r="CM423" s="52">
        <f t="shared" si="1365"/>
        <v>-6.3720269790557227E-2</v>
      </c>
      <c r="CN423" s="52">
        <f t="shared" si="1365"/>
        <v>-4.0772419583355091E-2</v>
      </c>
      <c r="CO423" s="112">
        <f t="shared" si="1365"/>
        <v>-4.3852525580639901E-3</v>
      </c>
      <c r="CP423" s="52">
        <f t="shared" si="1365"/>
        <v>5.935976256094877E-3</v>
      </c>
      <c r="CQ423" s="52">
        <f t="shared" si="1365"/>
        <v>-5.1045941347211965E-3</v>
      </c>
      <c r="CR423" s="52">
        <f t="shared" si="1365"/>
        <v>2.4939032807251627E-2</v>
      </c>
      <c r="CS423" s="52">
        <f t="shared" ref="CS423" si="1366">(1+CS421)/(1+CS422)-1</f>
        <v>5.5972928682401779E-3</v>
      </c>
      <c r="CT423" s="112">
        <f t="shared" si="1365"/>
        <v>7.3142905884486797E-3</v>
      </c>
      <c r="CU423" s="52">
        <f t="shared" si="1365"/>
        <v>-2.2707080724808315E-2</v>
      </c>
      <c r="CV423" s="522"/>
      <c r="CW423" s="522"/>
      <c r="CX423" s="522"/>
      <c r="CY423" s="492"/>
      <c r="CZ423" s="522"/>
      <c r="DA423" s="522"/>
      <c r="DB423" s="522"/>
      <c r="DC423" s="522"/>
      <c r="DD423" s="492"/>
      <c r="DE423" s="522"/>
      <c r="DF423" s="522"/>
      <c r="DG423" s="522"/>
      <c r="DH423" s="522"/>
      <c r="DI423" s="492"/>
    </row>
    <row r="424" spans="1:113" ht="12" hidden="1" customHeight="1" outlineLevel="1">
      <c r="A424" s="219"/>
      <c r="B424" s="17"/>
      <c r="C424" s="79"/>
      <c r="D424" s="6"/>
      <c r="E424" s="79"/>
      <c r="F424" s="6"/>
      <c r="G424" s="79"/>
      <c r="H424" s="6"/>
      <c r="I424" s="79"/>
      <c r="J424" s="6"/>
      <c r="K424" s="79"/>
      <c r="L424" s="6"/>
      <c r="M424" s="79"/>
      <c r="N424" s="6"/>
      <c r="O424" s="79"/>
      <c r="P424" s="6"/>
      <c r="Q424" s="79"/>
      <c r="R424" s="6"/>
      <c r="S424" s="6"/>
      <c r="T424" s="6"/>
      <c r="U424" s="6"/>
      <c r="V424" s="79"/>
      <c r="W424" s="6"/>
      <c r="X424" s="6"/>
      <c r="Y424" s="6"/>
      <c r="Z424" s="6"/>
      <c r="AA424" s="79"/>
      <c r="AB424" s="79"/>
      <c r="AC424" s="6"/>
      <c r="AD424" s="6"/>
      <c r="AE424" s="6"/>
      <c r="AF424" s="6"/>
      <c r="AG424" s="79"/>
      <c r="AH424" s="6"/>
      <c r="AI424" s="6"/>
      <c r="AJ424" s="6"/>
      <c r="AK424" s="6"/>
      <c r="AL424" s="79"/>
      <c r="AM424" s="6"/>
      <c r="AN424" s="6"/>
      <c r="AO424" s="6"/>
      <c r="AP424" s="6"/>
      <c r="AQ424" s="79"/>
      <c r="AR424" s="6"/>
      <c r="AS424" s="6"/>
      <c r="AT424" s="6"/>
      <c r="AU424" s="6"/>
      <c r="AV424" s="79"/>
      <c r="AW424" s="6"/>
      <c r="AX424" s="6"/>
      <c r="AY424" s="6"/>
      <c r="AZ424" s="6"/>
      <c r="BA424" s="79"/>
      <c r="BB424" s="6"/>
      <c r="BC424" s="6"/>
      <c r="BD424" s="6"/>
      <c r="BE424" s="6"/>
      <c r="BF424" s="79"/>
      <c r="BG424" s="6"/>
      <c r="BH424" s="6"/>
      <c r="BI424" s="6"/>
      <c r="BJ424" s="6"/>
      <c r="BK424" s="79"/>
      <c r="BL424" s="6"/>
      <c r="BM424" s="6"/>
      <c r="BN424" s="6"/>
      <c r="BO424" s="6"/>
      <c r="BP424" s="79"/>
      <c r="BQ424" s="6"/>
      <c r="BR424" s="6"/>
      <c r="BS424" s="6"/>
      <c r="BT424" s="6"/>
      <c r="BU424" s="79"/>
      <c r="BV424" s="6"/>
      <c r="BW424" s="6"/>
      <c r="BX424" s="6"/>
      <c r="BY424" s="6"/>
      <c r="BZ424" s="79"/>
      <c r="CA424" s="6"/>
      <c r="CB424" s="6"/>
      <c r="CC424" s="6"/>
      <c r="CD424" s="6"/>
      <c r="CE424" s="79"/>
      <c r="CF424" s="6"/>
      <c r="CG424" s="6"/>
      <c r="CH424" s="6"/>
      <c r="CI424" s="6"/>
      <c r="CJ424" s="79"/>
      <c r="CK424" s="6"/>
      <c r="CL424" s="6"/>
      <c r="CM424" s="6"/>
      <c r="CN424" s="6"/>
      <c r="CO424" s="79"/>
      <c r="CP424" s="6"/>
      <c r="CQ424" s="6"/>
      <c r="CR424" s="6"/>
      <c r="CS424" s="6"/>
      <c r="CT424" s="79"/>
      <c r="CU424" s="6"/>
      <c r="CV424" s="6"/>
      <c r="CW424" s="6"/>
      <c r="CX424" s="6"/>
      <c r="CY424" s="79"/>
      <c r="CZ424" s="6"/>
      <c r="DA424" s="6"/>
      <c r="DB424" s="6"/>
      <c r="DC424" s="6"/>
      <c r="DD424" s="79"/>
      <c r="DE424" s="6"/>
      <c r="DF424" s="6"/>
      <c r="DG424" s="6"/>
      <c r="DH424" s="6"/>
      <c r="DI424" s="79"/>
    </row>
    <row r="425" spans="1:113" ht="12" hidden="1" customHeight="1" outlineLevel="1">
      <c r="A425" s="219" t="str">
        <f t="shared" si="1336"/>
        <v xml:space="preserve"> </v>
      </c>
      <c r="B425" s="17" t="s">
        <v>167</v>
      </c>
      <c r="C425" s="41"/>
      <c r="D425" s="9"/>
      <c r="E425" s="41"/>
      <c r="F425" s="9"/>
      <c r="G425" s="41"/>
      <c r="H425" s="9"/>
      <c r="I425" s="41"/>
      <c r="J425" s="9"/>
      <c r="K425" s="41"/>
      <c r="L425" s="9"/>
      <c r="M425" s="41"/>
      <c r="N425" s="9"/>
      <c r="O425" s="41"/>
      <c r="P425" s="9"/>
      <c r="Q425" s="41"/>
      <c r="R425" s="613" t="s">
        <v>126</v>
      </c>
      <c r="S425" s="614" t="s">
        <v>126</v>
      </c>
      <c r="T425" s="614" t="s">
        <v>126</v>
      </c>
      <c r="U425" s="614" t="s">
        <v>126</v>
      </c>
      <c r="V425" s="615" t="s">
        <v>126</v>
      </c>
      <c r="W425" s="613" t="s">
        <v>126</v>
      </c>
      <c r="X425" s="614" t="s">
        <v>126</v>
      </c>
      <c r="Y425" s="614" t="s">
        <v>126</v>
      </c>
      <c r="Z425" s="614" t="s">
        <v>126</v>
      </c>
      <c r="AA425" s="615" t="s">
        <v>126</v>
      </c>
      <c r="AB425" s="615"/>
      <c r="AC425" s="613" t="s">
        <v>126</v>
      </c>
      <c r="AD425" s="614" t="s">
        <v>126</v>
      </c>
      <c r="AE425" s="614" t="s">
        <v>126</v>
      </c>
      <c r="AF425" s="614" t="s">
        <v>126</v>
      </c>
      <c r="AG425" s="615" t="s">
        <v>126</v>
      </c>
      <c r="AH425" s="613" t="s">
        <v>126</v>
      </c>
      <c r="AI425" s="614" t="s">
        <v>126</v>
      </c>
      <c r="AJ425" s="614" t="s">
        <v>126</v>
      </c>
      <c r="AK425" s="614" t="s">
        <v>126</v>
      </c>
      <c r="AL425" s="615" t="s">
        <v>126</v>
      </c>
      <c r="AM425" s="613" t="s">
        <v>126</v>
      </c>
      <c r="AN425" s="614" t="s">
        <v>126</v>
      </c>
      <c r="AO425" s="614" t="s">
        <v>126</v>
      </c>
      <c r="AP425" s="614" t="s">
        <v>126</v>
      </c>
      <c r="AQ425" s="615" t="s">
        <v>126</v>
      </c>
      <c r="AR425" s="613" t="s">
        <v>126</v>
      </c>
      <c r="AS425" s="614" t="s">
        <v>126</v>
      </c>
      <c r="AT425" s="614" t="s">
        <v>126</v>
      </c>
      <c r="AU425" s="614" t="s">
        <v>126</v>
      </c>
      <c r="AV425" s="615" t="s">
        <v>126</v>
      </c>
      <c r="AW425" s="613" t="s">
        <v>126</v>
      </c>
      <c r="AX425" s="614" t="s">
        <v>126</v>
      </c>
      <c r="AY425" s="614" t="s">
        <v>126</v>
      </c>
      <c r="AZ425" s="614" t="s">
        <v>126</v>
      </c>
      <c r="BA425" s="615" t="s">
        <v>126</v>
      </c>
      <c r="BB425" s="9">
        <v>-0.8</v>
      </c>
      <c r="BC425" s="9">
        <v>-0.1</v>
      </c>
      <c r="BD425" s="9">
        <v>2</v>
      </c>
      <c r="BE425" s="9">
        <f>+BF425*4-BD425-BC425-BB425</f>
        <v>2.5</v>
      </c>
      <c r="BF425" s="41">
        <v>0.9</v>
      </c>
      <c r="BG425" s="9">
        <v>2.4</v>
      </c>
      <c r="BH425" s="9">
        <v>1.6</v>
      </c>
      <c r="BI425" s="9">
        <v>1.9</v>
      </c>
      <c r="BJ425" s="9">
        <f>+BK425*4-BI425-BH425-BG425</f>
        <v>0.90000000000000036</v>
      </c>
      <c r="BK425" s="41">
        <v>1.7</v>
      </c>
      <c r="BL425" s="9">
        <v>-0.9</v>
      </c>
      <c r="BM425" s="9">
        <v>-0.3</v>
      </c>
      <c r="BN425" s="9">
        <v>-0.9</v>
      </c>
      <c r="BO425" s="9" t="s">
        <v>322</v>
      </c>
      <c r="BP425" s="79">
        <v>0.14000000000000001</v>
      </c>
      <c r="BQ425" s="9">
        <v>-1</v>
      </c>
      <c r="BR425" s="6">
        <v>-0.4</v>
      </c>
      <c r="BS425" s="6">
        <v>1.8</v>
      </c>
      <c r="BT425" s="9" t="s">
        <v>322</v>
      </c>
      <c r="BU425" s="79">
        <v>1.3</v>
      </c>
      <c r="BV425" s="9">
        <v>5.6</v>
      </c>
      <c r="BW425" s="6">
        <v>5.0999999999999996</v>
      </c>
      <c r="BX425" s="6">
        <v>2.2999999999999998</v>
      </c>
      <c r="BY425" s="9" t="s">
        <v>322</v>
      </c>
      <c r="BZ425" s="590">
        <v>4</v>
      </c>
      <c r="CA425" s="9">
        <v>0.9</v>
      </c>
      <c r="CB425" s="6">
        <v>-1.9</v>
      </c>
      <c r="CC425" s="6">
        <v>-1.9</v>
      </c>
      <c r="CD425" s="9" t="s">
        <v>322</v>
      </c>
      <c r="CE425" s="79">
        <v>-1.9</v>
      </c>
      <c r="CF425" s="6">
        <v>-4.0999999999999996</v>
      </c>
      <c r="CG425" s="591">
        <v>-2</v>
      </c>
      <c r="CH425" s="591" t="s">
        <v>352</v>
      </c>
      <c r="CI425" s="9" t="s">
        <v>322</v>
      </c>
      <c r="CJ425" s="79">
        <v>-2.2000000000000002</v>
      </c>
      <c r="CK425" s="588" t="s">
        <v>362</v>
      </c>
      <c r="CL425" s="588" t="s">
        <v>366</v>
      </c>
      <c r="CM425" s="588">
        <v>-2.5</v>
      </c>
      <c r="CN425" s="9" t="s">
        <v>322</v>
      </c>
      <c r="CO425" s="79">
        <v>-1.9</v>
      </c>
      <c r="CP425" s="6"/>
      <c r="CQ425" s="6"/>
      <c r="CR425" s="6"/>
      <c r="CS425" s="6"/>
      <c r="CT425" s="590">
        <v>-2</v>
      </c>
      <c r="CU425" s="6"/>
      <c r="CV425" s="6"/>
      <c r="CW425" s="6"/>
      <c r="CX425" s="6"/>
      <c r="CY425" s="79"/>
      <c r="CZ425" s="6"/>
      <c r="DA425" s="6"/>
      <c r="DB425" s="6"/>
      <c r="DC425" s="6"/>
      <c r="DD425" s="79"/>
      <c r="DE425" s="6"/>
      <c r="DF425" s="6"/>
      <c r="DG425" s="6"/>
      <c r="DH425" s="6"/>
      <c r="DI425" s="79"/>
    </row>
    <row r="426" spans="1:113" ht="12" hidden="1" customHeight="1" outlineLevel="1">
      <c r="A426" s="219" t="str">
        <f t="shared" si="1336"/>
        <v xml:space="preserve"> </v>
      </c>
      <c r="B426" s="17" t="s">
        <v>168</v>
      </c>
      <c r="C426" s="79"/>
      <c r="D426" s="6"/>
      <c r="E426" s="79"/>
      <c r="F426" s="6"/>
      <c r="G426" s="79"/>
      <c r="H426" s="6"/>
      <c r="I426" s="79"/>
      <c r="J426" s="6"/>
      <c r="K426" s="79"/>
      <c r="L426" s="6"/>
      <c r="M426" s="79"/>
      <c r="N426" s="6"/>
      <c r="O426" s="79"/>
      <c r="P426" s="6"/>
      <c r="Q426" s="79"/>
      <c r="R426" s="548" t="s">
        <v>126</v>
      </c>
      <c r="S426" s="549" t="s">
        <v>126</v>
      </c>
      <c r="T426" s="549" t="s">
        <v>126</v>
      </c>
      <c r="U426" s="549" t="s">
        <v>126</v>
      </c>
      <c r="V426" s="550" t="s">
        <v>126</v>
      </c>
      <c r="W426" s="548" t="s">
        <v>126</v>
      </c>
      <c r="X426" s="549" t="s">
        <v>126</v>
      </c>
      <c r="Y426" s="549" t="s">
        <v>126</v>
      </c>
      <c r="Z426" s="549" t="s">
        <v>126</v>
      </c>
      <c r="AA426" s="550" t="s">
        <v>126</v>
      </c>
      <c r="AB426" s="550"/>
      <c r="AC426" s="548" t="s">
        <v>126</v>
      </c>
      <c r="AD426" s="549" t="s">
        <v>126</v>
      </c>
      <c r="AE426" s="549" t="s">
        <v>126</v>
      </c>
      <c r="AF426" s="549" t="s">
        <v>126</v>
      </c>
      <c r="AG426" s="550" t="s">
        <v>126</v>
      </c>
      <c r="AH426" s="548" t="s">
        <v>126</v>
      </c>
      <c r="AI426" s="549" t="s">
        <v>126</v>
      </c>
      <c r="AJ426" s="549" t="s">
        <v>126</v>
      </c>
      <c r="AK426" s="549" t="s">
        <v>126</v>
      </c>
      <c r="AL426" s="550" t="s">
        <v>126</v>
      </c>
      <c r="AM426" s="548" t="s">
        <v>126</v>
      </c>
      <c r="AN426" s="549" t="s">
        <v>126</v>
      </c>
      <c r="AO426" s="549" t="s">
        <v>126</v>
      </c>
      <c r="AP426" s="549" t="s">
        <v>126</v>
      </c>
      <c r="AQ426" s="550" t="s">
        <v>126</v>
      </c>
      <c r="AR426" s="548" t="s">
        <v>126</v>
      </c>
      <c r="AS426" s="549" t="s">
        <v>126</v>
      </c>
      <c r="AT426" s="549" t="s">
        <v>126</v>
      </c>
      <c r="AU426" s="549" t="s">
        <v>126</v>
      </c>
      <c r="AV426" s="550" t="s">
        <v>126</v>
      </c>
      <c r="AW426" s="548" t="s">
        <v>126</v>
      </c>
      <c r="AX426" s="549" t="s">
        <v>126</v>
      </c>
      <c r="AY426" s="549" t="s">
        <v>126</v>
      </c>
      <c r="AZ426" s="549" t="s">
        <v>126</v>
      </c>
      <c r="BA426" s="550" t="s">
        <v>126</v>
      </c>
      <c r="BB426" s="6" t="s">
        <v>162</v>
      </c>
      <c r="BC426" s="6" t="s">
        <v>161</v>
      </c>
      <c r="BD426" s="6" t="s">
        <v>163</v>
      </c>
      <c r="BE426" s="605">
        <f>((BE448/BE389)-(AZ448/AZ389))*100-BE425</f>
        <v>-0.49761116996002475</v>
      </c>
      <c r="BF426" s="607">
        <f>((BF448/BF389)-(BA448/BA389))*100-BF425</f>
        <v>1.4276737336268672</v>
      </c>
      <c r="BG426" s="6" t="s">
        <v>163</v>
      </c>
      <c r="BH426" s="6" t="s">
        <v>311</v>
      </c>
      <c r="BI426" s="6" t="s">
        <v>163</v>
      </c>
      <c r="BJ426" s="605">
        <f>((BJ448/BJ389)-(BE448/BE389))*100-BJ425</f>
        <v>7.8667275345864929E-2</v>
      </c>
      <c r="BK426" s="607">
        <f>((BK448/BK389)-(BF448/BF389))*100-BK425</f>
        <v>0.46494160156132369</v>
      </c>
      <c r="BL426" s="6" t="s">
        <v>163</v>
      </c>
      <c r="BM426" s="6" t="s">
        <v>163</v>
      </c>
      <c r="BN426" s="6" t="s">
        <v>309</v>
      </c>
      <c r="BO426" s="605" t="s">
        <v>322</v>
      </c>
      <c r="BP426" s="607" t="s">
        <v>309</v>
      </c>
      <c r="BQ426" s="6" t="s">
        <v>309</v>
      </c>
      <c r="BR426" s="6" t="s">
        <v>309</v>
      </c>
      <c r="BS426" s="6" t="s">
        <v>309</v>
      </c>
      <c r="BT426" s="605" t="s">
        <v>322</v>
      </c>
      <c r="BU426" s="79" t="s">
        <v>309</v>
      </c>
      <c r="BV426" s="6" t="s">
        <v>163</v>
      </c>
      <c r="BW426" s="6" t="s">
        <v>163</v>
      </c>
      <c r="BX426" s="6" t="s">
        <v>163</v>
      </c>
      <c r="BY426" s="605" t="s">
        <v>322</v>
      </c>
      <c r="BZ426" s="79" t="s">
        <v>163</v>
      </c>
      <c r="CA426" s="6" t="s">
        <v>163</v>
      </c>
      <c r="CB426" s="6" t="s">
        <v>309</v>
      </c>
      <c r="CC426" s="6" t="s">
        <v>163</v>
      </c>
      <c r="CD426" s="605" t="s">
        <v>322</v>
      </c>
      <c r="CE426" s="608">
        <v>0.08</v>
      </c>
      <c r="CF426" s="6" t="s">
        <v>163</v>
      </c>
      <c r="CG426" s="6" t="s">
        <v>163</v>
      </c>
      <c r="CH426" s="6" t="s">
        <v>163</v>
      </c>
      <c r="CI426" s="605" t="s">
        <v>322</v>
      </c>
      <c r="CJ426" s="608">
        <v>0.04</v>
      </c>
      <c r="CK426" s="6" t="s">
        <v>309</v>
      </c>
      <c r="CL426" s="588" t="s">
        <v>367</v>
      </c>
      <c r="CM426" s="588" t="s">
        <v>373</v>
      </c>
      <c r="CN426" s="605" t="s">
        <v>322</v>
      </c>
      <c r="CO426" s="608"/>
      <c r="CP426" s="6"/>
      <c r="CQ426" s="6"/>
      <c r="CR426" s="6"/>
      <c r="CS426" s="6"/>
      <c r="CT426" s="608"/>
      <c r="CU426" s="6"/>
      <c r="CV426" s="6"/>
      <c r="CW426" s="6"/>
      <c r="CX426" s="6"/>
      <c r="CY426" s="79"/>
      <c r="CZ426" s="6"/>
      <c r="DA426" s="6"/>
      <c r="DB426" s="6"/>
      <c r="DC426" s="6"/>
      <c r="DD426" s="79"/>
      <c r="DE426" s="6"/>
      <c r="DF426" s="6"/>
      <c r="DG426" s="6"/>
      <c r="DH426" s="6"/>
      <c r="DI426" s="79"/>
    </row>
    <row r="427" spans="1:113" ht="12" hidden="1" customHeight="1" outlineLevel="1">
      <c r="A427" s="219"/>
      <c r="B427" s="17"/>
      <c r="C427" s="79"/>
      <c r="D427" s="6"/>
      <c r="E427" s="79"/>
      <c r="F427" s="6"/>
      <c r="G427" s="79"/>
      <c r="H427" s="6"/>
      <c r="I427" s="79"/>
      <c r="J427" s="6"/>
      <c r="K427" s="79"/>
      <c r="L427" s="6"/>
      <c r="M427" s="79"/>
      <c r="N427" s="6"/>
      <c r="O427" s="79"/>
      <c r="P427" s="6"/>
      <c r="Q427" s="79"/>
      <c r="R427" s="6"/>
      <c r="S427" s="6"/>
      <c r="T427" s="6"/>
      <c r="U427" s="6"/>
      <c r="V427" s="79"/>
      <c r="W427" s="6"/>
      <c r="X427" s="6"/>
      <c r="Y427" s="6"/>
      <c r="Z427" s="6"/>
      <c r="AA427" s="79"/>
      <c r="AB427" s="79"/>
      <c r="AC427" s="6"/>
      <c r="AD427" s="6"/>
      <c r="AE427" s="6"/>
      <c r="AF427" s="6"/>
      <c r="AG427" s="79"/>
      <c r="AH427" s="6"/>
      <c r="AI427" s="6"/>
      <c r="AJ427" s="6"/>
      <c r="AK427" s="6"/>
      <c r="AL427" s="79"/>
      <c r="AM427" s="6"/>
      <c r="AN427" s="6"/>
      <c r="AO427" s="6"/>
      <c r="AP427" s="6"/>
      <c r="AQ427" s="79"/>
      <c r="AR427" s="6"/>
      <c r="AS427" s="6"/>
      <c r="AT427" s="6"/>
      <c r="AU427" s="6"/>
      <c r="AV427" s="79"/>
      <c r="AW427" s="6"/>
      <c r="AX427" s="6"/>
      <c r="AY427" s="6"/>
      <c r="AZ427" s="6"/>
      <c r="BA427" s="79"/>
      <c r="BB427" s="6"/>
      <c r="BC427" s="6"/>
      <c r="BD427" s="6"/>
      <c r="BE427" s="6"/>
      <c r="BF427" s="79"/>
      <c r="BG427" s="6"/>
      <c r="BH427" s="6"/>
      <c r="BI427" s="6"/>
      <c r="BJ427" s="6"/>
      <c r="BK427" s="79"/>
      <c r="BL427" s="6"/>
      <c r="BM427" s="6"/>
      <c r="BN427" s="6"/>
      <c r="BO427" s="6"/>
      <c r="BP427" s="79"/>
      <c r="BQ427" s="6"/>
      <c r="BR427" s="6"/>
      <c r="BS427" s="6"/>
      <c r="BT427" s="6"/>
      <c r="BU427" s="79"/>
      <c r="BV427" s="6"/>
      <c r="BW427" s="6"/>
      <c r="BX427" s="6"/>
      <c r="BY427" s="6"/>
      <c r="BZ427" s="79"/>
      <c r="CA427" s="6"/>
      <c r="CB427" s="6"/>
      <c r="CC427" s="6"/>
      <c r="CD427" s="6"/>
      <c r="CE427" s="79"/>
      <c r="CF427" s="6"/>
      <c r="CG427" s="6"/>
      <c r="CH427" s="6"/>
      <c r="CI427" s="6"/>
      <c r="CJ427" s="79"/>
      <c r="CK427" s="6"/>
      <c r="CL427" s="6"/>
      <c r="CM427" s="6"/>
      <c r="CN427" s="6"/>
      <c r="CO427" s="79"/>
      <c r="CP427" s="6"/>
      <c r="CS427" s="591"/>
      <c r="CT427" s="590"/>
      <c r="CU427" s="591"/>
      <c r="CV427" s="591"/>
      <c r="CW427" s="591"/>
      <c r="CX427" s="591"/>
      <c r="CY427" s="590"/>
      <c r="CZ427" s="591"/>
      <c r="DA427" s="591"/>
      <c r="DB427" s="6"/>
      <c r="DC427" s="6"/>
      <c r="DD427" s="79"/>
      <c r="DE427" s="591"/>
      <c r="DF427" s="591"/>
      <c r="DG427" s="6"/>
      <c r="DH427" s="6"/>
      <c r="DI427" s="79"/>
    </row>
    <row r="428" spans="1:113" ht="12" hidden="1" customHeight="1" outlineLevel="1">
      <c r="A428" s="219"/>
      <c r="B428" s="17" t="s">
        <v>392</v>
      </c>
      <c r="C428" s="79"/>
      <c r="D428" s="6"/>
      <c r="E428" s="79"/>
      <c r="F428" s="6"/>
      <c r="G428" s="79"/>
      <c r="H428" s="6"/>
      <c r="I428" s="79"/>
      <c r="J428" s="6"/>
      <c r="K428" s="79"/>
      <c r="L428" s="6"/>
      <c r="M428" s="79"/>
      <c r="N428" s="6"/>
      <c r="O428" s="79"/>
      <c r="P428" s="6"/>
      <c r="Q428" s="79"/>
      <c r="R428" s="6"/>
      <c r="S428" s="6"/>
      <c r="T428" s="6"/>
      <c r="U428" s="6"/>
      <c r="V428" s="79"/>
      <c r="W428" s="6"/>
      <c r="X428" s="6"/>
      <c r="Y428" s="6"/>
      <c r="Z428" s="6"/>
      <c r="AA428" s="79"/>
      <c r="AB428" s="79"/>
      <c r="AC428" s="6"/>
      <c r="AD428" s="6"/>
      <c r="AE428" s="6"/>
      <c r="AF428" s="6"/>
      <c r="AG428" s="79"/>
      <c r="AH428" s="6"/>
      <c r="AI428" s="6"/>
      <c r="AJ428" s="6"/>
      <c r="AK428" s="6"/>
      <c r="AL428" s="79"/>
      <c r="AM428" s="6"/>
      <c r="AN428" s="6"/>
      <c r="AO428" s="6"/>
      <c r="AP428" s="6"/>
      <c r="AQ428" s="79"/>
      <c r="AR428" s="6"/>
      <c r="AS428" s="6"/>
      <c r="AT428" s="6"/>
      <c r="AU428" s="6"/>
      <c r="AV428" s="79"/>
      <c r="AW428" s="6"/>
      <c r="AX428" s="6"/>
      <c r="AY428" s="6"/>
      <c r="AZ428" s="6"/>
      <c r="BA428" s="79"/>
      <c r="BB428" s="6"/>
      <c r="BC428" s="6"/>
      <c r="BD428" s="6"/>
      <c r="BE428" s="6"/>
      <c r="BF428" s="79"/>
      <c r="BG428" s="6"/>
      <c r="BH428" s="6"/>
      <c r="BI428" s="6"/>
      <c r="BJ428" s="6"/>
      <c r="BK428" s="79"/>
      <c r="BL428" s="6"/>
      <c r="BM428" s="6"/>
      <c r="BN428" s="6"/>
      <c r="BO428" s="6"/>
      <c r="BP428" s="79"/>
      <c r="BQ428" s="6"/>
      <c r="BR428" s="6"/>
      <c r="BS428" s="6"/>
      <c r="BT428" s="6"/>
      <c r="BU428" s="79"/>
      <c r="BV428" s="6"/>
      <c r="BW428" s="6"/>
      <c r="BX428" s="6"/>
      <c r="BY428" s="6"/>
      <c r="BZ428" s="79"/>
      <c r="CA428" s="6"/>
      <c r="CB428" s="6"/>
      <c r="CC428" s="6"/>
      <c r="CD428" s="6"/>
      <c r="CE428" s="36">
        <v>3094</v>
      </c>
      <c r="CF428" s="43"/>
      <c r="CG428" s="43"/>
      <c r="CH428" s="43"/>
      <c r="CI428" s="43"/>
      <c r="CJ428" s="36">
        <v>3090</v>
      </c>
      <c r="CK428" s="43">
        <v>680</v>
      </c>
      <c r="CL428" s="43">
        <v>767</v>
      </c>
      <c r="CM428" s="43">
        <v>641</v>
      </c>
      <c r="CN428" s="43">
        <f>CO428-CM428-CL428-CK428</f>
        <v>661</v>
      </c>
      <c r="CO428" s="36">
        <v>2749</v>
      </c>
      <c r="CP428" s="43">
        <v>652</v>
      </c>
      <c r="CQ428" s="43">
        <v>703</v>
      </c>
      <c r="CR428" s="43">
        <v>620</v>
      </c>
      <c r="CS428" s="43">
        <f>CT428-CR428-CQ428-CP428</f>
        <v>649</v>
      </c>
      <c r="CT428" s="36">
        <v>2624</v>
      </c>
      <c r="CU428" s="43"/>
      <c r="CV428" s="43"/>
      <c r="CW428" s="43"/>
      <c r="CX428" s="43"/>
      <c r="CY428" s="36"/>
      <c r="CZ428" s="43"/>
      <c r="DA428" s="43"/>
      <c r="DB428" s="43"/>
      <c r="DC428" s="43"/>
      <c r="DD428" s="36"/>
      <c r="DE428" s="43"/>
      <c r="DF428" s="43"/>
      <c r="DG428" s="43"/>
      <c r="DH428" s="43"/>
      <c r="DI428" s="36"/>
    </row>
    <row r="429" spans="1:113" ht="12" hidden="1" customHeight="1" outlineLevel="1">
      <c r="A429" s="219"/>
      <c r="B429" s="491" t="s">
        <v>348</v>
      </c>
      <c r="C429" s="79"/>
      <c r="D429" s="6"/>
      <c r="E429" s="79"/>
      <c r="F429" s="6"/>
      <c r="G429" s="79"/>
      <c r="H429" s="6"/>
      <c r="I429" s="79"/>
      <c r="J429" s="6"/>
      <c r="K429" s="79"/>
      <c r="L429" s="6"/>
      <c r="M429" s="79"/>
      <c r="N429" s="6"/>
      <c r="O429" s="79"/>
      <c r="P429" s="6"/>
      <c r="Q429" s="79"/>
      <c r="R429" s="6"/>
      <c r="S429" s="6"/>
      <c r="T429" s="6"/>
      <c r="U429" s="6"/>
      <c r="V429" s="79"/>
      <c r="W429" s="6"/>
      <c r="X429" s="6"/>
      <c r="Y429" s="6"/>
      <c r="Z429" s="6"/>
      <c r="AA429" s="79"/>
      <c r="AB429" s="79"/>
      <c r="AC429" s="6"/>
      <c r="AD429" s="6"/>
      <c r="AE429" s="6"/>
      <c r="AF429" s="6"/>
      <c r="AG429" s="79"/>
      <c r="AH429" s="6"/>
      <c r="AI429" s="6"/>
      <c r="AJ429" s="6"/>
      <c r="AK429" s="6"/>
      <c r="AL429" s="79"/>
      <c r="AM429" s="6"/>
      <c r="AN429" s="6"/>
      <c r="AO429" s="6"/>
      <c r="AP429" s="6"/>
      <c r="AQ429" s="79"/>
      <c r="AR429" s="6"/>
      <c r="AS429" s="6"/>
      <c r="AT429" s="6"/>
      <c r="AU429" s="6"/>
      <c r="AV429" s="79"/>
      <c r="AW429" s="6"/>
      <c r="AX429" s="6"/>
      <c r="AY429" s="6"/>
      <c r="AZ429" s="6"/>
      <c r="BA429" s="79"/>
      <c r="BB429" s="6"/>
      <c r="BC429" s="6"/>
      <c r="BD429" s="6"/>
      <c r="BE429" s="6"/>
      <c r="BF429" s="79"/>
      <c r="BG429" s="6"/>
      <c r="BH429" s="6"/>
      <c r="BI429" s="6"/>
      <c r="BJ429" s="6"/>
      <c r="BK429" s="79"/>
      <c r="BL429" s="6"/>
      <c r="BM429" s="6"/>
      <c r="BN429" s="6"/>
      <c r="BO429" s="6"/>
      <c r="BP429" s="79"/>
      <c r="BQ429" s="6"/>
      <c r="BR429" s="6"/>
      <c r="BS429" s="6"/>
      <c r="BT429" s="6"/>
      <c r="BU429" s="79"/>
      <c r="BV429" s="6"/>
      <c r="BW429" s="6"/>
      <c r="BX429" s="6"/>
      <c r="BY429" s="6"/>
      <c r="BZ429" s="79"/>
      <c r="CA429" s="6"/>
      <c r="CB429" s="6"/>
      <c r="CC429" s="6"/>
      <c r="CD429" s="6"/>
      <c r="CE429" s="232" t="s">
        <v>126</v>
      </c>
      <c r="CF429" s="27"/>
      <c r="CG429" s="27"/>
      <c r="CH429" s="27"/>
      <c r="CI429" s="27"/>
      <c r="CJ429" s="112">
        <f>CJ428/CE428-1</f>
        <v>-1.2928248222365823E-3</v>
      </c>
      <c r="CK429" s="213" t="s">
        <v>126</v>
      </c>
      <c r="CL429" s="213" t="s">
        <v>126</v>
      </c>
      <c r="CM429" s="213" t="s">
        <v>126</v>
      </c>
      <c r="CN429" s="213" t="s">
        <v>126</v>
      </c>
      <c r="CO429" s="112">
        <f t="shared" ref="CO429:CT429" si="1367">CO428/CJ428-1</f>
        <v>-0.11035598705501615</v>
      </c>
      <c r="CP429" s="27">
        <f t="shared" si="1367"/>
        <v>-4.1176470588235259E-2</v>
      </c>
      <c r="CQ429" s="27">
        <f t="shared" si="1367"/>
        <v>-8.3441981747066518E-2</v>
      </c>
      <c r="CR429" s="27">
        <f t="shared" si="1367"/>
        <v>-3.2761310452418146E-2</v>
      </c>
      <c r="CS429" s="27">
        <f t="shared" si="1367"/>
        <v>-1.8154311649016597E-2</v>
      </c>
      <c r="CT429" s="112">
        <f t="shared" si="1367"/>
        <v>-4.5471080392870178E-2</v>
      </c>
      <c r="CU429" s="27"/>
      <c r="CV429" s="27"/>
      <c r="CW429" s="27"/>
      <c r="CX429" s="27"/>
      <c r="CY429" s="112"/>
      <c r="CZ429" s="27"/>
      <c r="DA429" s="27"/>
      <c r="DB429" s="27"/>
      <c r="DC429" s="27"/>
      <c r="DD429" s="112"/>
      <c r="DE429" s="27"/>
      <c r="DF429" s="27"/>
      <c r="DG429" s="27"/>
      <c r="DH429" s="27"/>
      <c r="DI429" s="112"/>
    </row>
    <row r="430" spans="1:113" s="3" customFormat="1" ht="12" hidden="1" customHeight="1" outlineLevel="1">
      <c r="A430" s="490"/>
      <c r="B430" s="491" t="s">
        <v>217</v>
      </c>
      <c r="C430" s="550"/>
      <c r="D430" s="549"/>
      <c r="E430" s="550"/>
      <c r="F430" s="549"/>
      <c r="G430" s="550"/>
      <c r="H430" s="549"/>
      <c r="I430" s="550"/>
      <c r="J430" s="549"/>
      <c r="K430" s="550"/>
      <c r="L430" s="549"/>
      <c r="M430" s="550"/>
      <c r="N430" s="549"/>
      <c r="O430" s="550"/>
      <c r="P430" s="549"/>
      <c r="Q430" s="550"/>
      <c r="R430" s="549"/>
      <c r="S430" s="549"/>
      <c r="T430" s="549"/>
      <c r="U430" s="549"/>
      <c r="V430" s="550"/>
      <c r="W430" s="549"/>
      <c r="X430" s="549"/>
      <c r="Y430" s="549"/>
      <c r="Z430" s="549"/>
      <c r="AA430" s="550"/>
      <c r="AB430" s="550"/>
      <c r="AC430" s="549"/>
      <c r="AD430" s="549"/>
      <c r="AE430" s="549"/>
      <c r="AF430" s="549"/>
      <c r="AG430" s="550"/>
      <c r="AH430" s="549"/>
      <c r="AI430" s="549"/>
      <c r="AJ430" s="549"/>
      <c r="AK430" s="549"/>
      <c r="AL430" s="550"/>
      <c r="AM430" s="549"/>
      <c r="AN430" s="549"/>
      <c r="AO430" s="549"/>
      <c r="AP430" s="549"/>
      <c r="AQ430" s="550"/>
      <c r="AR430" s="549"/>
      <c r="AS430" s="549"/>
      <c r="AT430" s="549"/>
      <c r="AU430" s="549"/>
      <c r="AV430" s="550"/>
      <c r="AW430" s="549"/>
      <c r="AX430" s="549"/>
      <c r="AY430" s="549"/>
      <c r="AZ430" s="549"/>
      <c r="BA430" s="550"/>
      <c r="BB430" s="549"/>
      <c r="BC430" s="549"/>
      <c r="BD430" s="549"/>
      <c r="BE430" s="549"/>
      <c r="BF430" s="550"/>
      <c r="BG430" s="549"/>
      <c r="BH430" s="549"/>
      <c r="BI430" s="549"/>
      <c r="BJ430" s="549"/>
      <c r="BK430" s="550"/>
      <c r="BL430" s="549"/>
      <c r="BM430" s="549"/>
      <c r="BN430" s="549"/>
      <c r="BO430" s="549"/>
      <c r="BP430" s="550"/>
      <c r="BQ430" s="549"/>
      <c r="BR430" s="549"/>
      <c r="BS430" s="549"/>
      <c r="BT430" s="549"/>
      <c r="BU430" s="550"/>
      <c r="BV430" s="549"/>
      <c r="BW430" s="549"/>
      <c r="BX430" s="549"/>
      <c r="BY430" s="549"/>
      <c r="BZ430" s="550"/>
      <c r="CA430" s="549"/>
      <c r="CB430" s="549"/>
      <c r="CC430" s="549"/>
      <c r="CD430" s="549"/>
      <c r="CE430" s="112">
        <f>CE428/CE389</f>
        <v>0.48110713730368526</v>
      </c>
      <c r="CF430" s="27"/>
      <c r="CG430" s="27"/>
      <c r="CH430" s="27"/>
      <c r="CI430" s="27"/>
      <c r="CJ430" s="112">
        <f t="shared" ref="CJ430:CT430" si="1368">CJ428/CJ389</f>
        <v>0.45920641997325012</v>
      </c>
      <c r="CK430" s="27">
        <f t="shared" si="1368"/>
        <v>0.46511627906976744</v>
      </c>
      <c r="CL430" s="27">
        <f t="shared" si="1368"/>
        <v>0.43979357798165136</v>
      </c>
      <c r="CM430" s="27">
        <f t="shared" si="1368"/>
        <v>0.43605442176870746</v>
      </c>
      <c r="CN430" s="27">
        <f t="shared" si="1368"/>
        <v>0.41968253968253966</v>
      </c>
      <c r="CO430" s="112">
        <f t="shared" si="1368"/>
        <v>0.43976963685810272</v>
      </c>
      <c r="CP430" s="27">
        <f t="shared" si="1368"/>
        <v>0.43758389261744968</v>
      </c>
      <c r="CQ430" s="27">
        <f t="shared" si="1368"/>
        <v>0.42171565686862628</v>
      </c>
      <c r="CR430" s="27">
        <f t="shared" si="1368"/>
        <v>0.41610738255033558</v>
      </c>
      <c r="CS430" s="27">
        <f t="shared" si="1368"/>
        <v>0.40664160401002508</v>
      </c>
      <c r="CT430" s="112">
        <f t="shared" si="1368"/>
        <v>0.42031074803780233</v>
      </c>
      <c r="CU430" s="27"/>
      <c r="CV430" s="27"/>
      <c r="CW430" s="27"/>
      <c r="CX430" s="27"/>
      <c r="CY430" s="112"/>
      <c r="CZ430" s="27"/>
      <c r="DA430" s="27"/>
      <c r="DB430" s="27"/>
      <c r="DC430" s="27"/>
      <c r="DD430" s="112"/>
      <c r="DE430" s="27"/>
      <c r="DF430" s="27"/>
      <c r="DG430" s="27"/>
      <c r="DH430" s="27"/>
      <c r="DI430" s="112"/>
    </row>
    <row r="431" spans="1:113" ht="12" hidden="1" customHeight="1" outlineLevel="1">
      <c r="A431" s="219"/>
      <c r="B431" s="491" t="s">
        <v>376</v>
      </c>
      <c r="C431" s="79"/>
      <c r="D431" s="6"/>
      <c r="E431" s="79"/>
      <c r="F431" s="6"/>
      <c r="G431" s="79"/>
      <c r="H431" s="6"/>
      <c r="I431" s="79"/>
      <c r="J431" s="6"/>
      <c r="K431" s="79"/>
      <c r="L431" s="6"/>
      <c r="M431" s="79"/>
      <c r="N431" s="6"/>
      <c r="O431" s="79"/>
      <c r="P431" s="6"/>
      <c r="Q431" s="79"/>
      <c r="R431" s="6"/>
      <c r="S431" s="6"/>
      <c r="T431" s="6"/>
      <c r="U431" s="6"/>
      <c r="V431" s="79"/>
      <c r="W431" s="6"/>
      <c r="X431" s="6"/>
      <c r="Y431" s="6"/>
      <c r="Z431" s="6"/>
      <c r="AA431" s="79"/>
      <c r="AB431" s="79"/>
      <c r="AC431" s="6"/>
      <c r="AD431" s="6"/>
      <c r="AE431" s="6"/>
      <c r="AF431" s="6"/>
      <c r="AG431" s="79"/>
      <c r="AH431" s="6"/>
      <c r="AI431" s="6"/>
      <c r="AJ431" s="6"/>
      <c r="AK431" s="6"/>
      <c r="AL431" s="79"/>
      <c r="AM431" s="6"/>
      <c r="AN431" s="6"/>
      <c r="AO431" s="6"/>
      <c r="AP431" s="6"/>
      <c r="AQ431" s="79"/>
      <c r="AR431" s="6"/>
      <c r="AS431" s="6"/>
      <c r="AT431" s="6"/>
      <c r="AU431" s="6"/>
      <c r="AV431" s="79"/>
      <c r="AW431" s="6"/>
      <c r="AX431" s="6"/>
      <c r="AY431" s="6"/>
      <c r="AZ431" s="6"/>
      <c r="BA431" s="79"/>
      <c r="BB431" s="6"/>
      <c r="BC431" s="6"/>
      <c r="BD431" s="6"/>
      <c r="BE431" s="6"/>
      <c r="BF431" s="79"/>
      <c r="BG431" s="6"/>
      <c r="BH431" s="6"/>
      <c r="BI431" s="6"/>
      <c r="BJ431" s="6"/>
      <c r="BK431" s="79"/>
      <c r="BL431" s="6"/>
      <c r="BM431" s="6"/>
      <c r="BN431" s="6"/>
      <c r="BO431" s="6"/>
      <c r="BP431" s="79"/>
      <c r="BQ431" s="6"/>
      <c r="BR431" s="6"/>
      <c r="BS431" s="6"/>
      <c r="BT431" s="6"/>
      <c r="BU431" s="79"/>
      <c r="BV431" s="6"/>
      <c r="BW431" s="6"/>
      <c r="BX431" s="6"/>
      <c r="BY431" s="6"/>
      <c r="BZ431" s="79"/>
      <c r="CA431" s="6"/>
      <c r="CB431" s="6"/>
      <c r="CC431" s="6"/>
      <c r="CD431" s="6"/>
      <c r="CE431" s="596" t="s">
        <v>126</v>
      </c>
      <c r="CF431" s="568"/>
      <c r="CG431" s="568"/>
      <c r="CH431" s="568"/>
      <c r="CI431" s="568"/>
      <c r="CJ431" s="567">
        <f>(CJ430-CE430)*100*100</f>
        <v>-219.00717330435134</v>
      </c>
      <c r="CK431" s="213" t="s">
        <v>126</v>
      </c>
      <c r="CL431" s="213" t="s">
        <v>126</v>
      </c>
      <c r="CM431" s="213" t="s">
        <v>126</v>
      </c>
      <c r="CN431" s="213" t="s">
        <v>126</v>
      </c>
      <c r="CO431" s="567">
        <f t="shared" ref="CO431:CT431" si="1369">(CO430-CJ430)*100*100</f>
        <v>-194.36783115147404</v>
      </c>
      <c r="CP431" s="568">
        <f t="shared" si="1369"/>
        <v>-275.32386452317763</v>
      </c>
      <c r="CQ431" s="568">
        <f t="shared" si="1369"/>
        <v>-180.77921113025087</v>
      </c>
      <c r="CR431" s="568">
        <f t="shared" si="1369"/>
        <v>-199.47039218371876</v>
      </c>
      <c r="CS431" s="568">
        <f t="shared" si="1369"/>
        <v>-130.40935672514576</v>
      </c>
      <c r="CT431" s="567">
        <f t="shared" si="1369"/>
        <v>-194.5888882030039</v>
      </c>
      <c r="CU431" s="568"/>
      <c r="CV431" s="568"/>
      <c r="CW431" s="568"/>
      <c r="CX431" s="568"/>
      <c r="CY431" s="567"/>
      <c r="CZ431" s="568"/>
      <c r="DA431" s="568"/>
      <c r="DB431" s="568"/>
      <c r="DC431" s="568"/>
      <c r="DD431" s="567"/>
      <c r="DE431" s="568"/>
      <c r="DF431" s="568"/>
      <c r="DG431" s="568"/>
      <c r="DH431" s="568"/>
      <c r="DI431" s="567"/>
    </row>
    <row r="432" spans="1:113" ht="12" hidden="1" customHeight="1" outlineLevel="1">
      <c r="A432" s="219"/>
      <c r="B432" s="491"/>
      <c r="C432" s="79"/>
      <c r="D432" s="6"/>
      <c r="E432" s="79"/>
      <c r="F432" s="6"/>
      <c r="G432" s="79"/>
      <c r="H432" s="6"/>
      <c r="I432" s="79"/>
      <c r="J432" s="6"/>
      <c r="K432" s="79"/>
      <c r="L432" s="6"/>
      <c r="M432" s="79"/>
      <c r="N432" s="6"/>
      <c r="O432" s="79"/>
      <c r="P432" s="6"/>
      <c r="Q432" s="79"/>
      <c r="R432" s="6"/>
      <c r="S432" s="6"/>
      <c r="T432" s="6"/>
      <c r="U432" s="6"/>
      <c r="V432" s="79"/>
      <c r="W432" s="6"/>
      <c r="X432" s="6"/>
      <c r="Y432" s="6"/>
      <c r="Z432" s="6"/>
      <c r="AA432" s="79"/>
      <c r="AB432" s="79"/>
      <c r="AC432" s="6"/>
      <c r="AD432" s="6"/>
      <c r="AE432" s="6"/>
      <c r="AF432" s="6"/>
      <c r="AG432" s="79"/>
      <c r="AH432" s="6"/>
      <c r="AI432" s="6"/>
      <c r="AJ432" s="6"/>
      <c r="AK432" s="6"/>
      <c r="AL432" s="79"/>
      <c r="AM432" s="6"/>
      <c r="AN432" s="6"/>
      <c r="AO432" s="6"/>
      <c r="AP432" s="6"/>
      <c r="AQ432" s="79"/>
      <c r="AR432" s="6"/>
      <c r="AS432" s="6"/>
      <c r="AT432" s="6"/>
      <c r="AU432" s="6"/>
      <c r="AV432" s="79"/>
      <c r="AW432" s="6"/>
      <c r="AX432" s="6"/>
      <c r="AY432" s="6"/>
      <c r="AZ432" s="6"/>
      <c r="BA432" s="79"/>
      <c r="BB432" s="6"/>
      <c r="BC432" s="6"/>
      <c r="BD432" s="6"/>
      <c r="BE432" s="6"/>
      <c r="BF432" s="79"/>
      <c r="BG432" s="6"/>
      <c r="BH432" s="6"/>
      <c r="BI432" s="6"/>
      <c r="BJ432" s="6"/>
      <c r="BK432" s="79"/>
      <c r="BL432" s="6"/>
      <c r="BM432" s="6"/>
      <c r="BN432" s="6"/>
      <c r="BO432" s="6"/>
      <c r="BP432" s="79"/>
      <c r="BQ432" s="6"/>
      <c r="BR432" s="6"/>
      <c r="BS432" s="6"/>
      <c r="BT432" s="6"/>
      <c r="BU432" s="79"/>
      <c r="BV432" s="6"/>
      <c r="BW432" s="6"/>
      <c r="BX432" s="6"/>
      <c r="BY432" s="6"/>
      <c r="BZ432" s="79"/>
      <c r="CA432" s="6"/>
      <c r="CB432" s="6"/>
      <c r="CC432" s="6"/>
      <c r="CD432" s="6"/>
      <c r="CE432" s="79"/>
      <c r="CF432" s="6"/>
      <c r="CG432" s="6"/>
      <c r="CH432" s="6"/>
      <c r="CI432" s="6"/>
      <c r="CJ432" s="79"/>
      <c r="CK432" s="6"/>
      <c r="CL432" s="6"/>
      <c r="CM432" s="6"/>
      <c r="CN432" s="6"/>
      <c r="CO432" s="79"/>
      <c r="CP432" s="6"/>
      <c r="CQ432" s="6"/>
      <c r="CS432" s="6"/>
      <c r="CT432" s="79"/>
      <c r="CU432" s="6"/>
      <c r="CV432" s="591"/>
      <c r="CW432" s="591"/>
      <c r="CX432" s="591"/>
      <c r="CY432" s="590"/>
      <c r="CZ432" s="591"/>
      <c r="DA432" s="591"/>
      <c r="DB432" s="6"/>
      <c r="DC432" s="6"/>
      <c r="DD432" s="79"/>
      <c r="DE432" s="591"/>
      <c r="DF432" s="591"/>
      <c r="DG432" s="6"/>
      <c r="DH432" s="6"/>
      <c r="DI432" s="79"/>
    </row>
    <row r="433" spans="1:113" ht="12" hidden="1" customHeight="1" outlineLevel="1">
      <c r="A433" s="219"/>
      <c r="B433" s="555" t="s">
        <v>393</v>
      </c>
      <c r="C433" s="79"/>
      <c r="D433" s="6"/>
      <c r="E433" s="79"/>
      <c r="F433" s="6"/>
      <c r="G433" s="79"/>
      <c r="H433" s="6"/>
      <c r="I433" s="79"/>
      <c r="J433" s="6"/>
      <c r="K433" s="79"/>
      <c r="L433" s="6"/>
      <c r="M433" s="79"/>
      <c r="N433" s="6"/>
      <c r="O433" s="79"/>
      <c r="P433" s="6"/>
      <c r="Q433" s="79"/>
      <c r="R433" s="6"/>
      <c r="S433" s="6"/>
      <c r="T433" s="6"/>
      <c r="U433" s="6"/>
      <c r="V433" s="79"/>
      <c r="W433" s="6"/>
      <c r="X433" s="6"/>
      <c r="Y433" s="6"/>
      <c r="Z433" s="6"/>
      <c r="AA433" s="79"/>
      <c r="AB433" s="79"/>
      <c r="AC433" s="6"/>
      <c r="AD433" s="6"/>
      <c r="AE433" s="6"/>
      <c r="AF433" s="6"/>
      <c r="AG433" s="79"/>
      <c r="AH433" s="6"/>
      <c r="AI433" s="6"/>
      <c r="AJ433" s="6"/>
      <c r="AK433" s="6"/>
      <c r="AL433" s="79"/>
      <c r="AM433" s="6"/>
      <c r="AN433" s="6"/>
      <c r="AO433" s="6"/>
      <c r="AP433" s="6"/>
      <c r="AQ433" s="79"/>
      <c r="AR433" s="6"/>
      <c r="AS433" s="6"/>
      <c r="AT433" s="6"/>
      <c r="AU433" s="6"/>
      <c r="AV433" s="79"/>
      <c r="AW433" s="6"/>
      <c r="AX433" s="6"/>
      <c r="AY433" s="6"/>
      <c r="AZ433" s="6"/>
      <c r="BA433" s="79"/>
      <c r="BB433" s="6"/>
      <c r="BC433" s="6"/>
      <c r="BD433" s="6"/>
      <c r="BE433" s="6"/>
      <c r="BF433" s="79"/>
      <c r="BG433" s="6"/>
      <c r="BH433" s="6"/>
      <c r="BI433" s="6"/>
      <c r="BJ433" s="6"/>
      <c r="BK433" s="79"/>
      <c r="BL433" s="6"/>
      <c r="BM433" s="6"/>
      <c r="BN433" s="6"/>
      <c r="BO433" s="6"/>
      <c r="BP433" s="79"/>
      <c r="BQ433" s="6"/>
      <c r="BR433" s="6"/>
      <c r="BS433" s="6"/>
      <c r="BT433" s="6"/>
      <c r="BU433" s="79"/>
      <c r="BV433" s="6"/>
      <c r="BW433" s="6"/>
      <c r="BX433" s="6"/>
      <c r="BY433" s="6"/>
      <c r="BZ433" s="79"/>
      <c r="CA433" s="6"/>
      <c r="CB433" s="6"/>
      <c r="CC433" s="6"/>
      <c r="CD433" s="6"/>
      <c r="CE433" s="36">
        <v>-373</v>
      </c>
      <c r="CF433" s="43"/>
      <c r="CG433" s="43"/>
      <c r="CH433" s="43"/>
      <c r="CI433" s="43"/>
      <c r="CJ433" s="36">
        <v>-407</v>
      </c>
      <c r="CK433" s="43">
        <v>-90</v>
      </c>
      <c r="CL433" s="43">
        <v>-98</v>
      </c>
      <c r="CM433" s="43">
        <v>-97</v>
      </c>
      <c r="CN433" s="43">
        <f>CO433-CM433-CL433-CK433</f>
        <v>-136</v>
      </c>
      <c r="CO433" s="36">
        <v>-421</v>
      </c>
      <c r="CP433" s="43">
        <v>-97</v>
      </c>
      <c r="CQ433" s="43">
        <v>-109</v>
      </c>
      <c r="CR433" s="43">
        <v>-91</v>
      </c>
      <c r="CS433" s="43">
        <f>CT433-CR433-CQ433-CP433</f>
        <v>-119</v>
      </c>
      <c r="CT433" s="36">
        <v>-416</v>
      </c>
      <c r="CU433" s="43"/>
      <c r="CV433" s="43"/>
      <c r="CW433" s="43"/>
      <c r="CX433" s="43"/>
      <c r="CY433" s="36"/>
      <c r="CZ433" s="43"/>
      <c r="DA433" s="43"/>
      <c r="DB433" s="43"/>
      <c r="DC433" s="43"/>
      <c r="DD433" s="36"/>
      <c r="DE433" s="43"/>
      <c r="DF433" s="43"/>
      <c r="DG433" s="43"/>
      <c r="DH433" s="43"/>
      <c r="DI433" s="36"/>
    </row>
    <row r="434" spans="1:113" ht="12" hidden="1" customHeight="1" outlineLevel="1">
      <c r="A434" s="219"/>
      <c r="B434" s="597" t="s">
        <v>348</v>
      </c>
      <c r="C434" s="79"/>
      <c r="D434" s="6"/>
      <c r="E434" s="79"/>
      <c r="F434" s="6"/>
      <c r="G434" s="79"/>
      <c r="H434" s="6"/>
      <c r="I434" s="79"/>
      <c r="J434" s="6"/>
      <c r="K434" s="79"/>
      <c r="L434" s="6"/>
      <c r="M434" s="79"/>
      <c r="N434" s="6"/>
      <c r="O434" s="79"/>
      <c r="P434" s="6"/>
      <c r="Q434" s="79"/>
      <c r="R434" s="6"/>
      <c r="S434" s="6"/>
      <c r="T434" s="6"/>
      <c r="U434" s="6"/>
      <c r="V434" s="79"/>
      <c r="W434" s="6"/>
      <c r="X434" s="6"/>
      <c r="Y434" s="6"/>
      <c r="Z434" s="6"/>
      <c r="AA434" s="79"/>
      <c r="AB434" s="79"/>
      <c r="AC434" s="6"/>
      <c r="AD434" s="6"/>
      <c r="AE434" s="6"/>
      <c r="AF434" s="6"/>
      <c r="AG434" s="79"/>
      <c r="AH434" s="6"/>
      <c r="AI434" s="6"/>
      <c r="AJ434" s="6"/>
      <c r="AK434" s="6"/>
      <c r="AL434" s="79"/>
      <c r="AM434" s="6"/>
      <c r="AN434" s="6"/>
      <c r="AO434" s="6"/>
      <c r="AP434" s="6"/>
      <c r="AQ434" s="79"/>
      <c r="AR434" s="6"/>
      <c r="AS434" s="6"/>
      <c r="AT434" s="6"/>
      <c r="AU434" s="6"/>
      <c r="AV434" s="79"/>
      <c r="AW434" s="6"/>
      <c r="AX434" s="6"/>
      <c r="AY434" s="6"/>
      <c r="AZ434" s="6"/>
      <c r="BA434" s="79"/>
      <c r="BB434" s="6"/>
      <c r="BC434" s="6"/>
      <c r="BD434" s="6"/>
      <c r="BE434" s="6"/>
      <c r="BF434" s="79"/>
      <c r="BG434" s="6"/>
      <c r="BH434" s="6"/>
      <c r="BI434" s="6"/>
      <c r="BJ434" s="6"/>
      <c r="BK434" s="79"/>
      <c r="BL434" s="6"/>
      <c r="BM434" s="6"/>
      <c r="BN434" s="6"/>
      <c r="BO434" s="6"/>
      <c r="BP434" s="79"/>
      <c r="BQ434" s="6"/>
      <c r="BR434" s="6"/>
      <c r="BS434" s="6"/>
      <c r="BT434" s="6"/>
      <c r="BU434" s="79"/>
      <c r="BV434" s="6"/>
      <c r="BW434" s="6"/>
      <c r="BX434" s="6"/>
      <c r="BY434" s="6"/>
      <c r="BZ434" s="79"/>
      <c r="CA434" s="6"/>
      <c r="CB434" s="6"/>
      <c r="CC434" s="6"/>
      <c r="CD434" s="6"/>
      <c r="CE434" s="232" t="s">
        <v>126</v>
      </c>
      <c r="CF434" s="27"/>
      <c r="CG434" s="27"/>
      <c r="CH434" s="27"/>
      <c r="CI434" s="27"/>
      <c r="CJ434" s="112">
        <f>CJ433/CE433-1</f>
        <v>9.1152815013404886E-2</v>
      </c>
      <c r="CK434" s="213" t="s">
        <v>126</v>
      </c>
      <c r="CL434" s="213" t="s">
        <v>126</v>
      </c>
      <c r="CM434" s="213" t="s">
        <v>126</v>
      </c>
      <c r="CN434" s="213" t="s">
        <v>126</v>
      </c>
      <c r="CO434" s="112">
        <f>CO433/CJ433-1</f>
        <v>3.4398034398034349E-2</v>
      </c>
      <c r="CP434" s="27">
        <f>CP433/CK433-1</f>
        <v>7.7777777777777724E-2</v>
      </c>
      <c r="CQ434" s="27">
        <f>CQ433/CL433-1</f>
        <v>0.11224489795918369</v>
      </c>
      <c r="CR434" s="27">
        <f>CR433/CM433-1</f>
        <v>-6.1855670103092786E-2</v>
      </c>
      <c r="CS434" s="213" t="s">
        <v>126</v>
      </c>
      <c r="CT434" s="112">
        <f>CT433/CO433-1</f>
        <v>-1.1876484560570111E-2</v>
      </c>
      <c r="CU434" s="27"/>
      <c r="CV434" s="27"/>
      <c r="CW434" s="27"/>
      <c r="CX434" s="27"/>
      <c r="CY434" s="112"/>
      <c r="CZ434" s="27"/>
      <c r="DA434" s="27"/>
      <c r="DB434" s="27"/>
      <c r="DC434" s="27"/>
      <c r="DD434" s="112"/>
      <c r="DE434" s="27"/>
      <c r="DF434" s="27"/>
      <c r="DG434" s="27"/>
      <c r="DH434" s="27"/>
      <c r="DI434" s="112"/>
    </row>
    <row r="435" spans="1:113" ht="12" hidden="1" customHeight="1" outlineLevel="1">
      <c r="A435" s="219"/>
      <c r="B435" s="597" t="s">
        <v>217</v>
      </c>
      <c r="C435" s="79"/>
      <c r="D435" s="6"/>
      <c r="E435" s="79"/>
      <c r="F435" s="6"/>
      <c r="G435" s="79"/>
      <c r="H435" s="6"/>
      <c r="I435" s="79"/>
      <c r="J435" s="6"/>
      <c r="K435" s="79"/>
      <c r="L435" s="6"/>
      <c r="M435" s="79"/>
      <c r="N435" s="6"/>
      <c r="O435" s="79"/>
      <c r="P435" s="6"/>
      <c r="Q435" s="79"/>
      <c r="R435" s="6"/>
      <c r="S435" s="6"/>
      <c r="T435" s="6"/>
      <c r="U435" s="6"/>
      <c r="V435" s="79"/>
      <c r="W435" s="6"/>
      <c r="X435" s="6"/>
      <c r="Y435" s="6"/>
      <c r="Z435" s="6"/>
      <c r="AA435" s="79"/>
      <c r="AB435" s="79"/>
      <c r="AC435" s="6"/>
      <c r="AD435" s="6"/>
      <c r="AE435" s="6"/>
      <c r="AF435" s="6"/>
      <c r="AG435" s="79"/>
      <c r="AH435" s="6"/>
      <c r="AI435" s="6"/>
      <c r="AJ435" s="6"/>
      <c r="AK435" s="6"/>
      <c r="AL435" s="79"/>
      <c r="AM435" s="6"/>
      <c r="AN435" s="6"/>
      <c r="AO435" s="6"/>
      <c r="AP435" s="6"/>
      <c r="AQ435" s="79"/>
      <c r="AR435" s="6"/>
      <c r="AS435" s="6"/>
      <c r="AT435" s="6"/>
      <c r="AU435" s="6"/>
      <c r="AV435" s="79"/>
      <c r="AW435" s="6"/>
      <c r="AX435" s="6"/>
      <c r="AY435" s="6"/>
      <c r="AZ435" s="6"/>
      <c r="BA435" s="79"/>
      <c r="BB435" s="6"/>
      <c r="BC435" s="6"/>
      <c r="BD435" s="6"/>
      <c r="BE435" s="6"/>
      <c r="BF435" s="79"/>
      <c r="BG435" s="6"/>
      <c r="BH435" s="6"/>
      <c r="BI435" s="6"/>
      <c r="BJ435" s="6"/>
      <c r="BK435" s="79"/>
      <c r="BL435" s="6"/>
      <c r="BM435" s="6"/>
      <c r="BN435" s="6"/>
      <c r="BO435" s="6"/>
      <c r="BP435" s="79"/>
      <c r="BQ435" s="6"/>
      <c r="BR435" s="6"/>
      <c r="BS435" s="6"/>
      <c r="BT435" s="6"/>
      <c r="BU435" s="79"/>
      <c r="BV435" s="6"/>
      <c r="BW435" s="6"/>
      <c r="BX435" s="6"/>
      <c r="BY435" s="6"/>
      <c r="BZ435" s="79"/>
      <c r="CA435" s="6"/>
      <c r="CB435" s="6"/>
      <c r="CC435" s="6"/>
      <c r="CD435" s="6"/>
      <c r="CE435" s="112">
        <f>-CE433/CE$389</f>
        <v>5.8000310993624633E-2</v>
      </c>
      <c r="CF435" s="27"/>
      <c r="CG435" s="27"/>
      <c r="CH435" s="27"/>
      <c r="CI435" s="27"/>
      <c r="CJ435" s="112">
        <f>-CJ433/CJ$389</f>
        <v>6.0484470203596374E-2</v>
      </c>
      <c r="CK435" s="27">
        <f>-CK433/CK$389</f>
        <v>6.1559507523939808E-2</v>
      </c>
      <c r="CL435" s="27">
        <f>-CL433/CL$389</f>
        <v>5.6192660550458719E-2</v>
      </c>
      <c r="CM435" s="27">
        <f>-CM433/CM$389</f>
        <v>6.5986394557823125E-2</v>
      </c>
      <c r="CN435" s="27">
        <f>-CN433/CN389</f>
        <v>8.6349206349206356E-2</v>
      </c>
      <c r="CO435" s="112">
        <f>-CO433/CO$389</f>
        <v>6.7349224124140142E-2</v>
      </c>
      <c r="CP435" s="27">
        <f>-CP433/CP$389</f>
        <v>6.5100671140939592E-2</v>
      </c>
      <c r="CQ435" s="27">
        <f>-CQ433/CQ$389</f>
        <v>6.5386922615476906E-2</v>
      </c>
      <c r="CR435" s="27">
        <f>-CR433/CR$389</f>
        <v>6.1073825503355703E-2</v>
      </c>
      <c r="CS435" s="27">
        <f>-CS433/CS389</f>
        <v>7.4561403508771926E-2</v>
      </c>
      <c r="CT435" s="112">
        <f>-CT433/CT$389</f>
        <v>6.6634630786480853E-2</v>
      </c>
      <c r="CU435" s="27"/>
      <c r="CV435" s="27"/>
      <c r="CW435" s="27"/>
      <c r="CX435" s="27"/>
      <c r="CY435" s="112"/>
      <c r="CZ435" s="27"/>
      <c r="DA435" s="27"/>
      <c r="DB435" s="27"/>
      <c r="DC435" s="27"/>
      <c r="DD435" s="112"/>
      <c r="DE435" s="27"/>
      <c r="DF435" s="27"/>
      <c r="DG435" s="27"/>
      <c r="DH435" s="27"/>
      <c r="DI435" s="112"/>
    </row>
    <row r="436" spans="1:113" ht="12" hidden="1" customHeight="1" outlineLevel="1">
      <c r="A436" s="219"/>
      <c r="B436" s="597" t="s">
        <v>376</v>
      </c>
      <c r="C436" s="79"/>
      <c r="D436" s="6"/>
      <c r="E436" s="79"/>
      <c r="F436" s="6"/>
      <c r="G436" s="79"/>
      <c r="H436" s="6"/>
      <c r="I436" s="79"/>
      <c r="J436" s="6"/>
      <c r="K436" s="79"/>
      <c r="L436" s="6"/>
      <c r="M436" s="79"/>
      <c r="N436" s="6"/>
      <c r="O436" s="79"/>
      <c r="P436" s="6"/>
      <c r="Q436" s="79"/>
      <c r="R436" s="6"/>
      <c r="S436" s="6"/>
      <c r="T436" s="6"/>
      <c r="U436" s="6"/>
      <c r="V436" s="79"/>
      <c r="W436" s="6"/>
      <c r="X436" s="6"/>
      <c r="Y436" s="6"/>
      <c r="Z436" s="6"/>
      <c r="AA436" s="79"/>
      <c r="AB436" s="79"/>
      <c r="AC436" s="6"/>
      <c r="AD436" s="6"/>
      <c r="AE436" s="6"/>
      <c r="AF436" s="6"/>
      <c r="AG436" s="79"/>
      <c r="AH436" s="6"/>
      <c r="AI436" s="6"/>
      <c r="AJ436" s="6"/>
      <c r="AK436" s="6"/>
      <c r="AL436" s="79"/>
      <c r="AM436" s="6"/>
      <c r="AN436" s="6"/>
      <c r="AO436" s="6"/>
      <c r="AP436" s="6"/>
      <c r="AQ436" s="79"/>
      <c r="AR436" s="6"/>
      <c r="AS436" s="6"/>
      <c r="AT436" s="6"/>
      <c r="AU436" s="6"/>
      <c r="AV436" s="79"/>
      <c r="AW436" s="6"/>
      <c r="AX436" s="6"/>
      <c r="AY436" s="6"/>
      <c r="AZ436" s="6"/>
      <c r="BA436" s="79"/>
      <c r="BB436" s="6"/>
      <c r="BC436" s="6"/>
      <c r="BD436" s="6"/>
      <c r="BE436" s="6"/>
      <c r="BF436" s="79"/>
      <c r="BG436" s="6"/>
      <c r="BH436" s="6"/>
      <c r="BI436" s="6"/>
      <c r="BJ436" s="6"/>
      <c r="BK436" s="79"/>
      <c r="BL436" s="6"/>
      <c r="BM436" s="6"/>
      <c r="BN436" s="6"/>
      <c r="BO436" s="6"/>
      <c r="BP436" s="79"/>
      <c r="BQ436" s="6"/>
      <c r="BR436" s="6"/>
      <c r="BS436" s="6"/>
      <c r="BT436" s="6"/>
      <c r="BU436" s="79"/>
      <c r="BV436" s="6"/>
      <c r="BW436" s="6"/>
      <c r="BX436" s="6"/>
      <c r="BY436" s="6"/>
      <c r="BZ436" s="79"/>
      <c r="CA436" s="6"/>
      <c r="CB436" s="6"/>
      <c r="CC436" s="6"/>
      <c r="CD436" s="6"/>
      <c r="CE436" s="596" t="s">
        <v>126</v>
      </c>
      <c r="CF436" s="568"/>
      <c r="CG436" s="568"/>
      <c r="CH436" s="568"/>
      <c r="CI436" s="568"/>
      <c r="CJ436" s="567">
        <f>(CJ435-CE435)*100*100</f>
        <v>24.84159209971741</v>
      </c>
      <c r="CK436" s="213" t="s">
        <v>126</v>
      </c>
      <c r="CL436" s="213" t="s">
        <v>126</v>
      </c>
      <c r="CM436" s="213" t="s">
        <v>126</v>
      </c>
      <c r="CN436" s="213" t="s">
        <v>126</v>
      </c>
      <c r="CO436" s="567">
        <f t="shared" ref="CO436:CT436" si="1370">(CO435-CJ435)*100*100</f>
        <v>68.647539205437667</v>
      </c>
      <c r="CP436" s="568">
        <f t="shared" si="1370"/>
        <v>35.411636169997848</v>
      </c>
      <c r="CQ436" s="568">
        <f t="shared" si="1370"/>
        <v>91.942620650181865</v>
      </c>
      <c r="CR436" s="568">
        <f t="shared" si="1370"/>
        <v>-49.125690544674221</v>
      </c>
      <c r="CS436" s="568">
        <f t="shared" si="1370"/>
        <v>-117.87802840434432</v>
      </c>
      <c r="CT436" s="567">
        <f t="shared" si="1370"/>
        <v>-7.1459333765928887</v>
      </c>
      <c r="CU436" s="568"/>
      <c r="CV436" s="568"/>
      <c r="CW436" s="568"/>
      <c r="CX436" s="568"/>
      <c r="CY436" s="567"/>
      <c r="CZ436" s="568"/>
      <c r="DA436" s="568"/>
      <c r="DB436" s="568"/>
      <c r="DC436" s="568"/>
      <c r="DD436" s="567"/>
      <c r="DE436" s="568"/>
      <c r="DF436" s="568"/>
      <c r="DG436" s="568"/>
      <c r="DH436" s="568"/>
      <c r="DI436" s="567"/>
    </row>
    <row r="437" spans="1:113" ht="12" hidden="1" customHeight="1" outlineLevel="1">
      <c r="A437" s="219"/>
      <c r="B437" s="555" t="s">
        <v>394</v>
      </c>
      <c r="C437" s="79"/>
      <c r="D437" s="6"/>
      <c r="E437" s="79"/>
      <c r="F437" s="6"/>
      <c r="G437" s="79"/>
      <c r="H437" s="6"/>
      <c r="I437" s="79"/>
      <c r="J437" s="6"/>
      <c r="K437" s="79"/>
      <c r="L437" s="6"/>
      <c r="M437" s="79"/>
      <c r="N437" s="6"/>
      <c r="O437" s="79"/>
      <c r="P437" s="6"/>
      <c r="Q437" s="79"/>
      <c r="R437" s="6"/>
      <c r="S437" s="6"/>
      <c r="T437" s="6"/>
      <c r="U437" s="6"/>
      <c r="V437" s="79"/>
      <c r="W437" s="6"/>
      <c r="X437" s="6"/>
      <c r="Y437" s="6"/>
      <c r="Z437" s="6"/>
      <c r="AA437" s="79"/>
      <c r="AB437" s="79"/>
      <c r="AC437" s="6"/>
      <c r="AD437" s="6"/>
      <c r="AE437" s="6"/>
      <c r="AF437" s="6"/>
      <c r="AG437" s="79"/>
      <c r="AH437" s="6"/>
      <c r="AI437" s="6"/>
      <c r="AJ437" s="6"/>
      <c r="AK437" s="6"/>
      <c r="AL437" s="79"/>
      <c r="AM437" s="6"/>
      <c r="AN437" s="6"/>
      <c r="AO437" s="6"/>
      <c r="AP437" s="6"/>
      <c r="AQ437" s="79"/>
      <c r="AR437" s="6"/>
      <c r="AS437" s="6"/>
      <c r="AT437" s="6"/>
      <c r="AU437" s="6"/>
      <c r="AV437" s="79"/>
      <c r="AW437" s="6"/>
      <c r="AX437" s="6"/>
      <c r="AY437" s="6"/>
      <c r="AZ437" s="6"/>
      <c r="BA437" s="79"/>
      <c r="BB437" s="6"/>
      <c r="BC437" s="6"/>
      <c r="BD437" s="6"/>
      <c r="BE437" s="6"/>
      <c r="BF437" s="79"/>
      <c r="BG437" s="6"/>
      <c r="BH437" s="6"/>
      <c r="BI437" s="6"/>
      <c r="BJ437" s="6"/>
      <c r="BK437" s="79"/>
      <c r="BL437" s="6"/>
      <c r="BM437" s="6"/>
      <c r="BN437" s="6"/>
      <c r="BO437" s="6"/>
      <c r="BP437" s="79"/>
      <c r="BQ437" s="6"/>
      <c r="BR437" s="6"/>
      <c r="BS437" s="6"/>
      <c r="BT437" s="6"/>
      <c r="BU437" s="79"/>
      <c r="BV437" s="6"/>
      <c r="BW437" s="6"/>
      <c r="BX437" s="6"/>
      <c r="BY437" s="6"/>
      <c r="BZ437" s="79"/>
      <c r="CA437" s="6"/>
      <c r="CB437" s="6"/>
      <c r="CC437" s="6"/>
      <c r="CD437" s="6"/>
      <c r="CE437" s="36">
        <v>-789</v>
      </c>
      <c r="CF437" s="43"/>
      <c r="CG437" s="43"/>
      <c r="CH437" s="43"/>
      <c r="CI437" s="43"/>
      <c r="CJ437" s="36">
        <v>-801</v>
      </c>
      <c r="CK437" s="43">
        <v>-188</v>
      </c>
      <c r="CL437" s="43">
        <v>-209</v>
      </c>
      <c r="CM437" s="43">
        <v>-200</v>
      </c>
      <c r="CN437" s="43">
        <f>CO437-CM437-CL437-CK437</f>
        <v>-207</v>
      </c>
      <c r="CO437" s="36">
        <v>-804</v>
      </c>
      <c r="CP437" s="43">
        <v>-208</v>
      </c>
      <c r="CQ437" s="43">
        <v>-206</v>
      </c>
      <c r="CR437" s="43">
        <v>-200</v>
      </c>
      <c r="CS437" s="43">
        <f>CT437-CR437-CQ437-CP437</f>
        <v>-214</v>
      </c>
      <c r="CT437" s="36">
        <v>-828</v>
      </c>
      <c r="CU437" s="43"/>
      <c r="CV437" s="43"/>
      <c r="CW437" s="43"/>
      <c r="CX437" s="43"/>
      <c r="CY437" s="36"/>
      <c r="CZ437" s="43"/>
      <c r="DA437" s="43"/>
      <c r="DB437" s="43"/>
      <c r="DC437" s="43"/>
      <c r="DD437" s="36"/>
      <c r="DE437" s="43"/>
      <c r="DF437" s="43"/>
      <c r="DG437" s="43"/>
      <c r="DH437" s="43"/>
      <c r="DI437" s="36"/>
    </row>
    <row r="438" spans="1:113" ht="12" hidden="1" customHeight="1" outlineLevel="1">
      <c r="A438" s="219"/>
      <c r="B438" s="597" t="s">
        <v>348</v>
      </c>
      <c r="C438" s="79"/>
      <c r="D438" s="6"/>
      <c r="E438" s="79"/>
      <c r="F438" s="6"/>
      <c r="G438" s="79"/>
      <c r="H438" s="6"/>
      <c r="I438" s="79"/>
      <c r="J438" s="6"/>
      <c r="K438" s="79"/>
      <c r="L438" s="6"/>
      <c r="M438" s="79"/>
      <c r="N438" s="6"/>
      <c r="O438" s="79"/>
      <c r="P438" s="6"/>
      <c r="Q438" s="79"/>
      <c r="R438" s="6"/>
      <c r="S438" s="6"/>
      <c r="T438" s="6"/>
      <c r="U438" s="6"/>
      <c r="V438" s="79"/>
      <c r="W438" s="6"/>
      <c r="X438" s="6"/>
      <c r="Y438" s="6"/>
      <c r="Z438" s="6"/>
      <c r="AA438" s="79"/>
      <c r="AB438" s="79"/>
      <c r="AC438" s="6"/>
      <c r="AD438" s="6"/>
      <c r="AE438" s="6"/>
      <c r="AF438" s="6"/>
      <c r="AG438" s="79"/>
      <c r="AH438" s="6"/>
      <c r="AI438" s="6"/>
      <c r="AJ438" s="6"/>
      <c r="AK438" s="6"/>
      <c r="AL438" s="79"/>
      <c r="AM438" s="6"/>
      <c r="AN438" s="6"/>
      <c r="AO438" s="6"/>
      <c r="AP438" s="6"/>
      <c r="AQ438" s="79"/>
      <c r="AR438" s="6"/>
      <c r="AS438" s="6"/>
      <c r="AT438" s="6"/>
      <c r="AU438" s="6"/>
      <c r="AV438" s="79"/>
      <c r="AW438" s="6"/>
      <c r="AX438" s="6"/>
      <c r="AY438" s="6"/>
      <c r="AZ438" s="6"/>
      <c r="BA438" s="79"/>
      <c r="BB438" s="6"/>
      <c r="BC438" s="6"/>
      <c r="BD438" s="6"/>
      <c r="BE438" s="6"/>
      <c r="BF438" s="79"/>
      <c r="BG438" s="6"/>
      <c r="BH438" s="6"/>
      <c r="BI438" s="6"/>
      <c r="BJ438" s="6"/>
      <c r="BK438" s="79"/>
      <c r="BL438" s="6"/>
      <c r="BM438" s="6"/>
      <c r="BN438" s="6"/>
      <c r="BO438" s="6"/>
      <c r="BP438" s="79"/>
      <c r="BQ438" s="6"/>
      <c r="BR438" s="6"/>
      <c r="BS438" s="6"/>
      <c r="BT438" s="6"/>
      <c r="BU438" s="79"/>
      <c r="BV438" s="6"/>
      <c r="BW438" s="6"/>
      <c r="BX438" s="6"/>
      <c r="BY438" s="6"/>
      <c r="BZ438" s="79"/>
      <c r="CA438" s="6"/>
      <c r="CB438" s="6"/>
      <c r="CC438" s="6"/>
      <c r="CD438" s="6"/>
      <c r="CE438" s="232" t="s">
        <v>126</v>
      </c>
      <c r="CF438" s="27"/>
      <c r="CG438" s="27"/>
      <c r="CH438" s="27"/>
      <c r="CI438" s="27"/>
      <c r="CJ438" s="112">
        <f>CJ437/CE437-1</f>
        <v>1.5209125475285079E-2</v>
      </c>
      <c r="CK438" s="213" t="s">
        <v>126</v>
      </c>
      <c r="CL438" s="213" t="s">
        <v>126</v>
      </c>
      <c r="CM438" s="213" t="s">
        <v>126</v>
      </c>
      <c r="CN438" s="213" t="s">
        <v>126</v>
      </c>
      <c r="CO438" s="112">
        <f>CO437/CJ437-1</f>
        <v>3.7453183520599342E-3</v>
      </c>
      <c r="CP438" s="27">
        <f>CP437/CK437-1</f>
        <v>0.1063829787234043</v>
      </c>
      <c r="CQ438" s="27">
        <f>CQ437/CL437-1</f>
        <v>-1.4354066985645897E-2</v>
      </c>
      <c r="CR438" s="27">
        <f>CR437/CM437-1</f>
        <v>0</v>
      </c>
      <c r="CS438" s="213" t="s">
        <v>126</v>
      </c>
      <c r="CT438" s="112">
        <f>CT437/CO437-1</f>
        <v>2.9850746268656803E-2</v>
      </c>
      <c r="CU438" s="27"/>
      <c r="CV438" s="27"/>
      <c r="CW438" s="27"/>
      <c r="CX438" s="27"/>
      <c r="CY438" s="112"/>
      <c r="CZ438" s="27"/>
      <c r="DA438" s="27"/>
      <c r="DB438" s="27"/>
      <c r="DC438" s="27"/>
      <c r="DD438" s="112"/>
      <c r="DE438" s="27"/>
      <c r="DF438" s="27"/>
      <c r="DG438" s="27"/>
      <c r="DH438" s="27"/>
      <c r="DI438" s="112"/>
    </row>
    <row r="439" spans="1:113" ht="12" hidden="1" customHeight="1" outlineLevel="1">
      <c r="A439" s="219"/>
      <c r="B439" s="597" t="s">
        <v>217</v>
      </c>
      <c r="C439" s="79"/>
      <c r="D439" s="6"/>
      <c r="E439" s="79"/>
      <c r="F439" s="6"/>
      <c r="G439" s="79"/>
      <c r="H439" s="6"/>
      <c r="I439" s="79"/>
      <c r="J439" s="6"/>
      <c r="K439" s="79"/>
      <c r="L439" s="6"/>
      <c r="M439" s="79"/>
      <c r="N439" s="6"/>
      <c r="O439" s="79"/>
      <c r="P439" s="6"/>
      <c r="Q439" s="79"/>
      <c r="R439" s="6"/>
      <c r="S439" s="6"/>
      <c r="T439" s="6"/>
      <c r="U439" s="6"/>
      <c r="V439" s="79"/>
      <c r="W439" s="6"/>
      <c r="X439" s="6"/>
      <c r="Y439" s="6"/>
      <c r="Z439" s="6"/>
      <c r="AA439" s="79"/>
      <c r="AB439" s="79"/>
      <c r="AC439" s="6"/>
      <c r="AD439" s="6"/>
      <c r="AE439" s="6"/>
      <c r="AF439" s="6"/>
      <c r="AG439" s="79"/>
      <c r="AH439" s="6"/>
      <c r="AI439" s="6"/>
      <c r="AJ439" s="6"/>
      <c r="AK439" s="6"/>
      <c r="AL439" s="79"/>
      <c r="AM439" s="6"/>
      <c r="AN439" s="6"/>
      <c r="AO439" s="6"/>
      <c r="AP439" s="6"/>
      <c r="AQ439" s="79"/>
      <c r="AR439" s="6"/>
      <c r="AS439" s="6"/>
      <c r="AT439" s="6"/>
      <c r="AU439" s="6"/>
      <c r="AV439" s="79"/>
      <c r="AW439" s="6"/>
      <c r="AX439" s="6"/>
      <c r="AY439" s="6"/>
      <c r="AZ439" s="6"/>
      <c r="BA439" s="79"/>
      <c r="BB439" s="6"/>
      <c r="BC439" s="6"/>
      <c r="BD439" s="6"/>
      <c r="BE439" s="6"/>
      <c r="BF439" s="79"/>
      <c r="BG439" s="6"/>
      <c r="BH439" s="6"/>
      <c r="BI439" s="6"/>
      <c r="BJ439" s="6"/>
      <c r="BK439" s="79"/>
      <c r="BL439" s="6"/>
      <c r="BM439" s="6"/>
      <c r="BN439" s="6"/>
      <c r="BO439" s="6"/>
      <c r="BP439" s="79"/>
      <c r="BQ439" s="6"/>
      <c r="BR439" s="6"/>
      <c r="BS439" s="6"/>
      <c r="BT439" s="6"/>
      <c r="BU439" s="79"/>
      <c r="BV439" s="6"/>
      <c r="BW439" s="6"/>
      <c r="BX439" s="6"/>
      <c r="BY439" s="6"/>
      <c r="BZ439" s="79"/>
      <c r="CA439" s="6"/>
      <c r="CB439" s="6"/>
      <c r="CC439" s="6"/>
      <c r="CD439" s="6"/>
      <c r="CE439" s="112">
        <f>-CE437/CE$389</f>
        <v>0.12268698491680921</v>
      </c>
      <c r="CF439" s="27"/>
      <c r="CG439" s="27"/>
      <c r="CH439" s="27"/>
      <c r="CI439" s="27"/>
      <c r="CJ439" s="112">
        <f>-CJ437/CJ$389</f>
        <v>0.11903700401248328</v>
      </c>
      <c r="CK439" s="27">
        <f>-CK437/CK$389</f>
        <v>0.12859097127222982</v>
      </c>
      <c r="CL439" s="27">
        <f>-CL437/CL$389</f>
        <v>0.11983944954128441</v>
      </c>
      <c r="CM439" s="27">
        <f>-CM437/CM$389</f>
        <v>0.1360544217687075</v>
      </c>
      <c r="CN439" s="27">
        <f>-CN437/CN389</f>
        <v>0.13142857142857142</v>
      </c>
      <c r="CO439" s="112">
        <f>-CO437/CO$389</f>
        <v>0.12861942089265718</v>
      </c>
      <c r="CP439" s="27">
        <f>-CP437/CP$389</f>
        <v>0.1395973154362416</v>
      </c>
      <c r="CQ439" s="27">
        <f>-CQ437/CQ$389</f>
        <v>0.1235752849430114</v>
      </c>
      <c r="CR439" s="27">
        <f>-CR437/CR$389</f>
        <v>0.13422818791946309</v>
      </c>
      <c r="CS439" s="27">
        <f>-CS437/CS389</f>
        <v>0.13408521303258145</v>
      </c>
      <c r="CT439" s="112">
        <f>-CT437/CT$389</f>
        <v>0.13262854396924556</v>
      </c>
      <c r="CU439" s="27"/>
      <c r="CV439" s="27"/>
      <c r="CW439" s="27"/>
      <c r="CX439" s="27"/>
      <c r="CY439" s="112"/>
      <c r="CZ439" s="27"/>
      <c r="DA439" s="27"/>
      <c r="DB439" s="27"/>
      <c r="DC439" s="27"/>
      <c r="DD439" s="112"/>
      <c r="DE439" s="27"/>
      <c r="DF439" s="27"/>
      <c r="DG439" s="27"/>
      <c r="DH439" s="27"/>
      <c r="DI439" s="112"/>
    </row>
    <row r="440" spans="1:113" ht="12" hidden="1" customHeight="1" outlineLevel="1">
      <c r="A440" s="219"/>
      <c r="B440" s="597" t="s">
        <v>376</v>
      </c>
      <c r="C440" s="79"/>
      <c r="D440" s="6"/>
      <c r="E440" s="79"/>
      <c r="F440" s="6"/>
      <c r="G440" s="79"/>
      <c r="H440" s="6"/>
      <c r="I440" s="79"/>
      <c r="J440" s="6"/>
      <c r="K440" s="79"/>
      <c r="L440" s="6"/>
      <c r="M440" s="79"/>
      <c r="N440" s="6"/>
      <c r="O440" s="79"/>
      <c r="P440" s="6"/>
      <c r="Q440" s="79"/>
      <c r="R440" s="6"/>
      <c r="S440" s="6"/>
      <c r="T440" s="6"/>
      <c r="U440" s="6"/>
      <c r="V440" s="79"/>
      <c r="W440" s="6"/>
      <c r="X440" s="6"/>
      <c r="Y440" s="6"/>
      <c r="Z440" s="6"/>
      <c r="AA440" s="79"/>
      <c r="AB440" s="79"/>
      <c r="AC440" s="6"/>
      <c r="AD440" s="6"/>
      <c r="AE440" s="6"/>
      <c r="AF440" s="6"/>
      <c r="AG440" s="79"/>
      <c r="AH440" s="6"/>
      <c r="AI440" s="6"/>
      <c r="AJ440" s="6"/>
      <c r="AK440" s="6"/>
      <c r="AL440" s="79"/>
      <c r="AM440" s="6"/>
      <c r="AN440" s="6"/>
      <c r="AO440" s="6"/>
      <c r="AP440" s="6"/>
      <c r="AQ440" s="79"/>
      <c r="AR440" s="6"/>
      <c r="AS440" s="6"/>
      <c r="AT440" s="6"/>
      <c r="AU440" s="6"/>
      <c r="AV440" s="79"/>
      <c r="AW440" s="6"/>
      <c r="AX440" s="6"/>
      <c r="AY440" s="6"/>
      <c r="AZ440" s="6"/>
      <c r="BA440" s="79"/>
      <c r="BB440" s="6"/>
      <c r="BC440" s="6"/>
      <c r="BD440" s="6"/>
      <c r="BE440" s="6"/>
      <c r="BF440" s="79"/>
      <c r="BG440" s="6"/>
      <c r="BH440" s="6"/>
      <c r="BI440" s="6"/>
      <c r="BJ440" s="6"/>
      <c r="BK440" s="79"/>
      <c r="BL440" s="6"/>
      <c r="BM440" s="6"/>
      <c r="BN440" s="6"/>
      <c r="BO440" s="6"/>
      <c r="BP440" s="79"/>
      <c r="BQ440" s="6"/>
      <c r="BR440" s="6"/>
      <c r="BS440" s="6"/>
      <c r="BT440" s="6"/>
      <c r="BU440" s="79"/>
      <c r="BV440" s="6"/>
      <c r="BW440" s="6"/>
      <c r="BX440" s="6"/>
      <c r="BY440" s="6"/>
      <c r="BZ440" s="79"/>
      <c r="CA440" s="6"/>
      <c r="CB440" s="6"/>
      <c r="CC440" s="6"/>
      <c r="CD440" s="6"/>
      <c r="CE440" s="596" t="s">
        <v>126</v>
      </c>
      <c r="CF440" s="568"/>
      <c r="CG440" s="568"/>
      <c r="CH440" s="568"/>
      <c r="CI440" s="568"/>
      <c r="CJ440" s="567">
        <f>(CJ439-CE439)*100*100</f>
        <v>-36.499809043259305</v>
      </c>
      <c r="CK440" s="213" t="s">
        <v>126</v>
      </c>
      <c r="CL440" s="213" t="s">
        <v>126</v>
      </c>
      <c r="CM440" s="213" t="s">
        <v>126</v>
      </c>
      <c r="CN440" s="213" t="s">
        <v>126</v>
      </c>
      <c r="CO440" s="567">
        <f t="shared" ref="CO440:CT440" si="1371">(CO439-CJ439)*100*100</f>
        <v>95.824168801739035</v>
      </c>
      <c r="CP440" s="568">
        <f t="shared" si="1371"/>
        <v>110.06344164011779</v>
      </c>
      <c r="CQ440" s="568">
        <f t="shared" si="1371"/>
        <v>37.358354017269917</v>
      </c>
      <c r="CR440" s="568">
        <f t="shared" si="1371"/>
        <v>-18.262338492444073</v>
      </c>
      <c r="CS440" s="568">
        <f t="shared" si="1371"/>
        <v>26.566416040100236</v>
      </c>
      <c r="CT440" s="567">
        <f t="shared" si="1371"/>
        <v>40.091230765883779</v>
      </c>
      <c r="CU440" s="568"/>
      <c r="CV440" s="568"/>
      <c r="CW440" s="568"/>
      <c r="CX440" s="568"/>
      <c r="CY440" s="567"/>
      <c r="CZ440" s="568"/>
      <c r="DA440" s="568"/>
      <c r="DB440" s="568"/>
      <c r="DC440" s="568"/>
      <c r="DD440" s="567"/>
      <c r="DE440" s="568"/>
      <c r="DF440" s="568"/>
      <c r="DG440" s="568"/>
      <c r="DH440" s="568"/>
      <c r="DI440" s="567"/>
    </row>
    <row r="441" spans="1:113" ht="12" hidden="1" customHeight="1" outlineLevel="1">
      <c r="A441" s="219"/>
      <c r="B441" s="17" t="s">
        <v>395</v>
      </c>
      <c r="C441" s="79"/>
      <c r="D441" s="6"/>
      <c r="E441" s="79"/>
      <c r="F441" s="6"/>
      <c r="G441" s="79"/>
      <c r="H441" s="6"/>
      <c r="I441" s="79"/>
      <c r="J441" s="6"/>
      <c r="K441" s="79"/>
      <c r="L441" s="6"/>
      <c r="M441" s="79"/>
      <c r="N441" s="6"/>
      <c r="O441" s="79"/>
      <c r="P441" s="6"/>
      <c r="Q441" s="79"/>
      <c r="R441" s="6"/>
      <c r="S441" s="6"/>
      <c r="T441" s="6"/>
      <c r="U441" s="6"/>
      <c r="V441" s="79"/>
      <c r="W441" s="6"/>
      <c r="X441" s="6"/>
      <c r="Y441" s="6"/>
      <c r="Z441" s="6"/>
      <c r="AA441" s="79"/>
      <c r="AB441" s="79"/>
      <c r="AC441" s="6"/>
      <c r="AD441" s="6"/>
      <c r="AE441" s="6"/>
      <c r="AF441" s="6"/>
      <c r="AG441" s="79"/>
      <c r="AH441" s="6"/>
      <c r="AI441" s="6"/>
      <c r="AJ441" s="6"/>
      <c r="AK441" s="6"/>
      <c r="AL441" s="79"/>
      <c r="AM441" s="6"/>
      <c r="AN441" s="6"/>
      <c r="AO441" s="6"/>
      <c r="AP441" s="6"/>
      <c r="AQ441" s="79"/>
      <c r="AR441" s="6"/>
      <c r="AS441" s="6"/>
      <c r="AT441" s="6"/>
      <c r="AU441" s="6"/>
      <c r="AV441" s="79"/>
      <c r="AW441" s="6"/>
      <c r="AX441" s="6"/>
      <c r="AY441" s="6"/>
      <c r="AZ441" s="6"/>
      <c r="BA441" s="79"/>
      <c r="BB441" s="6"/>
      <c r="BC441" s="6"/>
      <c r="BD441" s="6"/>
      <c r="BE441" s="6"/>
      <c r="BF441" s="79"/>
      <c r="BG441" s="6"/>
      <c r="BH441" s="6"/>
      <c r="BI441" s="6"/>
      <c r="BJ441" s="6"/>
      <c r="BK441" s="79"/>
      <c r="BL441" s="6"/>
      <c r="BM441" s="6"/>
      <c r="BN441" s="6"/>
      <c r="BO441" s="6"/>
      <c r="BP441" s="79"/>
      <c r="BQ441" s="6"/>
      <c r="BR441" s="6"/>
      <c r="BS441" s="6"/>
      <c r="BT441" s="6"/>
      <c r="BU441" s="79"/>
      <c r="BV441" s="6"/>
      <c r="BW441" s="6"/>
      <c r="BX441" s="6"/>
      <c r="BY441" s="6"/>
      <c r="BZ441" s="79"/>
      <c r="CA441" s="6"/>
      <c r="CB441" s="6"/>
      <c r="CC441" s="6"/>
      <c r="CD441" s="6"/>
      <c r="CE441" s="36">
        <f>CE433+CE437</f>
        <v>-1162</v>
      </c>
      <c r="CF441" s="43"/>
      <c r="CG441" s="43"/>
      <c r="CH441" s="43"/>
      <c r="CI441" s="43"/>
      <c r="CJ441" s="36">
        <f t="shared" ref="CJ441:CT441" si="1372">CJ433+CJ437</f>
        <v>-1208</v>
      </c>
      <c r="CK441" s="43">
        <f t="shared" si="1372"/>
        <v>-278</v>
      </c>
      <c r="CL441" s="43">
        <f t="shared" si="1372"/>
        <v>-307</v>
      </c>
      <c r="CM441" s="43">
        <f t="shared" si="1372"/>
        <v>-297</v>
      </c>
      <c r="CN441" s="43">
        <f t="shared" si="1372"/>
        <v>-343</v>
      </c>
      <c r="CO441" s="36">
        <f t="shared" si="1372"/>
        <v>-1225</v>
      </c>
      <c r="CP441" s="43">
        <f t="shared" si="1372"/>
        <v>-305</v>
      </c>
      <c r="CQ441" s="43">
        <f t="shared" si="1372"/>
        <v>-315</v>
      </c>
      <c r="CR441" s="43">
        <f t="shared" si="1372"/>
        <v>-291</v>
      </c>
      <c r="CS441" s="43">
        <f t="shared" si="1372"/>
        <v>-333</v>
      </c>
      <c r="CT441" s="36">
        <f t="shared" si="1372"/>
        <v>-1244</v>
      </c>
      <c r="CU441" s="43"/>
      <c r="CV441" s="43"/>
      <c r="CW441" s="43"/>
      <c r="CX441" s="43"/>
      <c r="CY441" s="36"/>
      <c r="CZ441" s="43"/>
      <c r="DA441" s="43"/>
      <c r="DB441" s="43"/>
      <c r="DC441" s="43"/>
      <c r="DD441" s="36"/>
      <c r="DE441" s="43"/>
      <c r="DF441" s="43"/>
      <c r="DG441" s="43"/>
      <c r="DH441" s="43"/>
      <c r="DI441" s="36"/>
    </row>
    <row r="442" spans="1:113" ht="12" hidden="1" customHeight="1" outlineLevel="1">
      <c r="A442" s="219"/>
      <c r="B442" s="491" t="s">
        <v>348</v>
      </c>
      <c r="C442" s="79"/>
      <c r="D442" s="6"/>
      <c r="E442" s="79"/>
      <c r="F442" s="6"/>
      <c r="G442" s="79"/>
      <c r="H442" s="6"/>
      <c r="I442" s="79"/>
      <c r="J442" s="6"/>
      <c r="K442" s="79"/>
      <c r="L442" s="6"/>
      <c r="M442" s="79"/>
      <c r="N442" s="6"/>
      <c r="O442" s="79"/>
      <c r="P442" s="6"/>
      <c r="Q442" s="79"/>
      <c r="R442" s="6"/>
      <c r="S442" s="6"/>
      <c r="T442" s="6"/>
      <c r="U442" s="6"/>
      <c r="V442" s="79"/>
      <c r="W442" s="6"/>
      <c r="X442" s="6"/>
      <c r="Y442" s="6"/>
      <c r="Z442" s="6"/>
      <c r="AA442" s="79"/>
      <c r="AB442" s="79"/>
      <c r="AC442" s="6"/>
      <c r="AD442" s="6"/>
      <c r="AE442" s="6"/>
      <c r="AF442" s="6"/>
      <c r="AG442" s="79"/>
      <c r="AH442" s="6"/>
      <c r="AI442" s="6"/>
      <c r="AJ442" s="6"/>
      <c r="AK442" s="6"/>
      <c r="AL442" s="79"/>
      <c r="AM442" s="6"/>
      <c r="AN442" s="6"/>
      <c r="AO442" s="6"/>
      <c r="AP442" s="6"/>
      <c r="AQ442" s="79"/>
      <c r="AR442" s="6"/>
      <c r="AS442" s="6"/>
      <c r="AT442" s="6"/>
      <c r="AU442" s="6"/>
      <c r="AV442" s="79"/>
      <c r="AW442" s="6"/>
      <c r="AX442" s="6"/>
      <c r="AY442" s="6"/>
      <c r="AZ442" s="6"/>
      <c r="BA442" s="79"/>
      <c r="BB442" s="6"/>
      <c r="BC442" s="6"/>
      <c r="BD442" s="6"/>
      <c r="BE442" s="6"/>
      <c r="BF442" s="79"/>
      <c r="BG442" s="6"/>
      <c r="BH442" s="6"/>
      <c r="BI442" s="6"/>
      <c r="BJ442" s="6"/>
      <c r="BK442" s="79"/>
      <c r="BL442" s="6"/>
      <c r="BM442" s="6"/>
      <c r="BN442" s="6"/>
      <c r="BO442" s="6"/>
      <c r="BP442" s="79"/>
      <c r="BQ442" s="6"/>
      <c r="BR442" s="6"/>
      <c r="BS442" s="6"/>
      <c r="BT442" s="6"/>
      <c r="BU442" s="79"/>
      <c r="BV442" s="6"/>
      <c r="BW442" s="6"/>
      <c r="BX442" s="6"/>
      <c r="BY442" s="6"/>
      <c r="BZ442" s="79"/>
      <c r="CA442" s="6"/>
      <c r="CB442" s="6"/>
      <c r="CC442" s="6"/>
      <c r="CD442" s="6"/>
      <c r="CE442" s="232" t="s">
        <v>126</v>
      </c>
      <c r="CF442" s="27"/>
      <c r="CG442" s="27"/>
      <c r="CH442" s="27"/>
      <c r="CI442" s="27"/>
      <c r="CJ442" s="112">
        <f>CJ441/CE441-1</f>
        <v>3.9586919104991347E-2</v>
      </c>
      <c r="CK442" s="213" t="s">
        <v>126</v>
      </c>
      <c r="CL442" s="213" t="s">
        <v>126</v>
      </c>
      <c r="CM442" s="213" t="s">
        <v>126</v>
      </c>
      <c r="CN442" s="213" t="s">
        <v>126</v>
      </c>
      <c r="CO442" s="112">
        <f>CO441/CJ441-1</f>
        <v>1.4072847682119249E-2</v>
      </c>
      <c r="CP442" s="27">
        <f>CP441/CK441-1</f>
        <v>9.7122302158273444E-2</v>
      </c>
      <c r="CQ442" s="27">
        <f>CQ441/CL441-1</f>
        <v>2.6058631921824116E-2</v>
      </c>
      <c r="CR442" s="27">
        <f>CR441/CM441-1</f>
        <v>-2.0202020202020221E-2</v>
      </c>
      <c r="CS442" s="213" t="s">
        <v>126</v>
      </c>
      <c r="CT442" s="112">
        <f>CT441/CO441-1</f>
        <v>1.5510204081632617E-2</v>
      </c>
      <c r="CU442" s="27"/>
      <c r="CV442" s="27"/>
      <c r="CW442" s="27"/>
      <c r="CX442" s="27"/>
      <c r="CY442" s="112"/>
      <c r="CZ442" s="27"/>
      <c r="DA442" s="27"/>
      <c r="DB442" s="27"/>
      <c r="DC442" s="27"/>
      <c r="DD442" s="112"/>
      <c r="DE442" s="27"/>
      <c r="DF442" s="27"/>
      <c r="DG442" s="27"/>
      <c r="DH442" s="27"/>
      <c r="DI442" s="112"/>
    </row>
    <row r="443" spans="1:113" ht="12" hidden="1" customHeight="1" outlineLevel="1">
      <c r="A443" s="219"/>
      <c r="B443" s="491" t="s">
        <v>217</v>
      </c>
      <c r="C443" s="79"/>
      <c r="D443" s="6"/>
      <c r="E443" s="79"/>
      <c r="F443" s="6"/>
      <c r="G443" s="79"/>
      <c r="H443" s="6"/>
      <c r="I443" s="79"/>
      <c r="J443" s="6"/>
      <c r="K443" s="79"/>
      <c r="L443" s="6"/>
      <c r="M443" s="79"/>
      <c r="N443" s="6"/>
      <c r="O443" s="79"/>
      <c r="P443" s="6"/>
      <c r="Q443" s="79"/>
      <c r="R443" s="6"/>
      <c r="S443" s="6"/>
      <c r="T443" s="6"/>
      <c r="U443" s="6"/>
      <c r="V443" s="79"/>
      <c r="W443" s="6"/>
      <c r="X443" s="6"/>
      <c r="Y443" s="6"/>
      <c r="Z443" s="6"/>
      <c r="AA443" s="79"/>
      <c r="AB443" s="79"/>
      <c r="AC443" s="6"/>
      <c r="AD443" s="6"/>
      <c r="AE443" s="6"/>
      <c r="AF443" s="6"/>
      <c r="AG443" s="79"/>
      <c r="AH443" s="6"/>
      <c r="AI443" s="6"/>
      <c r="AJ443" s="6"/>
      <c r="AK443" s="6"/>
      <c r="AL443" s="79"/>
      <c r="AM443" s="6"/>
      <c r="AN443" s="6"/>
      <c r="AO443" s="6"/>
      <c r="AP443" s="6"/>
      <c r="AQ443" s="79"/>
      <c r="AR443" s="6"/>
      <c r="AS443" s="6"/>
      <c r="AT443" s="6"/>
      <c r="AU443" s="6"/>
      <c r="AV443" s="79"/>
      <c r="AW443" s="6"/>
      <c r="AX443" s="6"/>
      <c r="AY443" s="6"/>
      <c r="AZ443" s="6"/>
      <c r="BA443" s="79"/>
      <c r="BB443" s="6"/>
      <c r="BC443" s="6"/>
      <c r="BD443" s="6"/>
      <c r="BE443" s="6"/>
      <c r="BF443" s="79"/>
      <c r="BG443" s="6"/>
      <c r="BH443" s="6"/>
      <c r="BI443" s="6"/>
      <c r="BJ443" s="6"/>
      <c r="BK443" s="79"/>
      <c r="BL443" s="6"/>
      <c r="BM443" s="6"/>
      <c r="BN443" s="6"/>
      <c r="BO443" s="6"/>
      <c r="BP443" s="79"/>
      <c r="BQ443" s="6"/>
      <c r="BR443" s="6"/>
      <c r="BS443" s="6"/>
      <c r="BT443" s="6"/>
      <c r="BU443" s="79"/>
      <c r="BV443" s="6"/>
      <c r="BW443" s="6"/>
      <c r="BX443" s="6"/>
      <c r="BY443" s="6"/>
      <c r="BZ443" s="79"/>
      <c r="CA443" s="6"/>
      <c r="CB443" s="6"/>
      <c r="CC443" s="6"/>
      <c r="CD443" s="6"/>
      <c r="CE443" s="112">
        <f>-CE441/CE$389</f>
        <v>0.18068729591043384</v>
      </c>
      <c r="CF443" s="27"/>
      <c r="CG443" s="27"/>
      <c r="CH443" s="27"/>
      <c r="CI443" s="27"/>
      <c r="CJ443" s="112">
        <f>-CJ441/CJ$389</f>
        <v>0.17952147421607967</v>
      </c>
      <c r="CK443" s="27">
        <f>-CK441/CK$389</f>
        <v>0.19015047879616964</v>
      </c>
      <c r="CL443" s="27">
        <f>-CL441/CL$389</f>
        <v>0.17603211009174313</v>
      </c>
      <c r="CM443" s="27">
        <f>-CM441/CM$389</f>
        <v>0.20204081632653062</v>
      </c>
      <c r="CN443" s="27">
        <f>-CN441/CN389</f>
        <v>0.21777777777777776</v>
      </c>
      <c r="CO443" s="112">
        <f>-CO441/CO$389</f>
        <v>0.19596864501679731</v>
      </c>
      <c r="CP443" s="27">
        <f>-CP441/CP$389</f>
        <v>0.20469798657718122</v>
      </c>
      <c r="CQ443" s="27">
        <f>-CQ441/CQ$389</f>
        <v>0.1889622075584883</v>
      </c>
      <c r="CR443" s="27">
        <f>-CR441/CR$389</f>
        <v>0.1953020134228188</v>
      </c>
      <c r="CS443" s="27">
        <f>-CS441/CS389</f>
        <v>0.20864661654135339</v>
      </c>
      <c r="CT443" s="112">
        <f>-CT441/CT$389</f>
        <v>0.19926317475572641</v>
      </c>
      <c r="CU443" s="27"/>
      <c r="CV443" s="27"/>
      <c r="CW443" s="27"/>
      <c r="CX443" s="27"/>
      <c r="CY443" s="112"/>
      <c r="CZ443" s="27"/>
      <c r="DA443" s="27"/>
      <c r="DB443" s="27"/>
      <c r="DC443" s="27"/>
      <c r="DD443" s="112"/>
      <c r="DE443" s="27"/>
      <c r="DF443" s="27"/>
      <c r="DG443" s="27"/>
      <c r="DH443" s="27"/>
      <c r="DI443" s="112"/>
    </row>
    <row r="444" spans="1:113" ht="12" hidden="1" customHeight="1" outlineLevel="1">
      <c r="A444" s="219"/>
      <c r="B444" s="491" t="s">
        <v>376</v>
      </c>
      <c r="C444" s="79"/>
      <c r="D444" s="6"/>
      <c r="E444" s="79"/>
      <c r="F444" s="6"/>
      <c r="G444" s="79"/>
      <c r="H444" s="6"/>
      <c r="I444" s="79"/>
      <c r="J444" s="6"/>
      <c r="K444" s="79"/>
      <c r="L444" s="6"/>
      <c r="M444" s="79"/>
      <c r="N444" s="6"/>
      <c r="O444" s="79"/>
      <c r="P444" s="6"/>
      <c r="Q444" s="79"/>
      <c r="R444" s="6"/>
      <c r="S444" s="6"/>
      <c r="T444" s="6"/>
      <c r="U444" s="6"/>
      <c r="V444" s="79"/>
      <c r="W444" s="6"/>
      <c r="X444" s="6"/>
      <c r="Y444" s="6"/>
      <c r="Z444" s="6"/>
      <c r="AA444" s="79"/>
      <c r="AB444" s="79"/>
      <c r="AC444" s="6"/>
      <c r="AD444" s="6"/>
      <c r="AE444" s="6"/>
      <c r="AF444" s="6"/>
      <c r="AG444" s="79"/>
      <c r="AH444" s="6"/>
      <c r="AI444" s="6"/>
      <c r="AJ444" s="6"/>
      <c r="AK444" s="6"/>
      <c r="AL444" s="79"/>
      <c r="AM444" s="6"/>
      <c r="AN444" s="6"/>
      <c r="AO444" s="6"/>
      <c r="AP444" s="6"/>
      <c r="AQ444" s="79"/>
      <c r="AR444" s="6"/>
      <c r="AS444" s="6"/>
      <c r="AT444" s="6"/>
      <c r="AU444" s="6"/>
      <c r="AV444" s="79"/>
      <c r="AW444" s="6"/>
      <c r="AX444" s="6"/>
      <c r="AY444" s="6"/>
      <c r="AZ444" s="6"/>
      <c r="BA444" s="79"/>
      <c r="BB444" s="6"/>
      <c r="BC444" s="6"/>
      <c r="BD444" s="6"/>
      <c r="BE444" s="6"/>
      <c r="BF444" s="79"/>
      <c r="BG444" s="6"/>
      <c r="BH444" s="6"/>
      <c r="BI444" s="6"/>
      <c r="BJ444" s="6"/>
      <c r="BK444" s="79"/>
      <c r="BL444" s="6"/>
      <c r="BM444" s="6"/>
      <c r="BN444" s="6"/>
      <c r="BO444" s="6"/>
      <c r="BP444" s="79"/>
      <c r="BQ444" s="6"/>
      <c r="BR444" s="6"/>
      <c r="BS444" s="6"/>
      <c r="BT444" s="6"/>
      <c r="BU444" s="79"/>
      <c r="BV444" s="6"/>
      <c r="BW444" s="6"/>
      <c r="BX444" s="6"/>
      <c r="BY444" s="6"/>
      <c r="BZ444" s="79"/>
      <c r="CA444" s="6"/>
      <c r="CB444" s="6"/>
      <c r="CC444" s="6"/>
      <c r="CD444" s="6"/>
      <c r="CE444" s="596" t="s">
        <v>126</v>
      </c>
      <c r="CF444" s="568"/>
      <c r="CG444" s="568"/>
      <c r="CH444" s="568"/>
      <c r="CI444" s="568"/>
      <c r="CJ444" s="567">
        <f>(CJ443-CE443)*100*100</f>
        <v>-11.658216943541689</v>
      </c>
      <c r="CK444" s="213" t="s">
        <v>126</v>
      </c>
      <c r="CL444" s="213" t="s">
        <v>126</v>
      </c>
      <c r="CM444" s="213" t="s">
        <v>126</v>
      </c>
      <c r="CN444" s="213" t="s">
        <v>126</v>
      </c>
      <c r="CO444" s="567">
        <f t="shared" ref="CO444:CT444" si="1373">(CO443-CJ443)*100*100</f>
        <v>164.47170800717643</v>
      </c>
      <c r="CP444" s="568">
        <f t="shared" si="1373"/>
        <v>145.47507781011575</v>
      </c>
      <c r="CQ444" s="568">
        <f t="shared" si="1373"/>
        <v>129.30097466745173</v>
      </c>
      <c r="CR444" s="568">
        <f t="shared" si="1373"/>
        <v>-67.388029037118159</v>
      </c>
      <c r="CS444" s="568">
        <f t="shared" si="1373"/>
        <v>-91.311612364243786</v>
      </c>
      <c r="CT444" s="567">
        <f t="shared" si="1373"/>
        <v>32.945297389291028</v>
      </c>
      <c r="CU444" s="568"/>
      <c r="CV444" s="568"/>
      <c r="CW444" s="568"/>
      <c r="CX444" s="568"/>
      <c r="CY444" s="567"/>
      <c r="CZ444" s="568"/>
      <c r="DA444" s="568"/>
      <c r="DB444" s="568"/>
      <c r="DC444" s="568"/>
      <c r="DD444" s="567"/>
      <c r="DE444" s="568"/>
      <c r="DF444" s="568"/>
      <c r="DG444" s="568"/>
      <c r="DH444" s="568"/>
      <c r="DI444" s="567"/>
    </row>
    <row r="445" spans="1:113" ht="12" hidden="1" customHeight="1" outlineLevel="1">
      <c r="A445" s="219"/>
      <c r="B445" s="597"/>
      <c r="C445" s="79"/>
      <c r="D445" s="6"/>
      <c r="E445" s="79"/>
      <c r="F445" s="6"/>
      <c r="G445" s="79"/>
      <c r="H445" s="6"/>
      <c r="I445" s="79"/>
      <c r="J445" s="6"/>
      <c r="K445" s="79"/>
      <c r="L445" s="6"/>
      <c r="M445" s="79"/>
      <c r="N445" s="6"/>
      <c r="O445" s="79"/>
      <c r="P445" s="6"/>
      <c r="Q445" s="79"/>
      <c r="R445" s="6"/>
      <c r="S445" s="6"/>
      <c r="T445" s="6"/>
      <c r="U445" s="6"/>
      <c r="V445" s="79"/>
      <c r="W445" s="6"/>
      <c r="X445" s="6"/>
      <c r="Y445" s="6"/>
      <c r="Z445" s="6"/>
      <c r="AA445" s="79"/>
      <c r="AB445" s="79"/>
      <c r="AC445" s="6"/>
      <c r="AD445" s="6"/>
      <c r="AE445" s="6"/>
      <c r="AF445" s="6"/>
      <c r="AG445" s="79"/>
      <c r="AH445" s="6"/>
      <c r="AI445" s="6"/>
      <c r="AJ445" s="6"/>
      <c r="AK445" s="6"/>
      <c r="AL445" s="79"/>
      <c r="AM445" s="6"/>
      <c r="AN445" s="6"/>
      <c r="AO445" s="6"/>
      <c r="AP445" s="6"/>
      <c r="AQ445" s="79"/>
      <c r="AR445" s="6"/>
      <c r="AS445" s="6"/>
      <c r="AT445" s="6"/>
      <c r="AU445" s="6"/>
      <c r="AV445" s="79"/>
      <c r="AW445" s="6"/>
      <c r="AX445" s="6"/>
      <c r="AY445" s="6"/>
      <c r="AZ445" s="6"/>
      <c r="BA445" s="79"/>
      <c r="BB445" s="6"/>
      <c r="BC445" s="6"/>
      <c r="BD445" s="6"/>
      <c r="BE445" s="6"/>
      <c r="BF445" s="79"/>
      <c r="BG445" s="6"/>
      <c r="BH445" s="6"/>
      <c r="BI445" s="6"/>
      <c r="BJ445" s="6"/>
      <c r="BK445" s="79"/>
      <c r="BL445" s="6"/>
      <c r="BM445" s="6"/>
      <c r="BN445" s="6"/>
      <c r="BO445" s="6"/>
      <c r="BP445" s="79"/>
      <c r="BQ445" s="6"/>
      <c r="BR445" s="6"/>
      <c r="BS445" s="6"/>
      <c r="BT445" s="6"/>
      <c r="BU445" s="79"/>
      <c r="BV445" s="6"/>
      <c r="BW445" s="6"/>
      <c r="BX445" s="6"/>
      <c r="BY445" s="6"/>
      <c r="BZ445" s="79"/>
      <c r="CA445" s="6"/>
      <c r="CB445" s="6"/>
      <c r="CC445" s="6"/>
      <c r="CD445" s="6"/>
      <c r="CE445" s="79"/>
      <c r="CF445" s="6"/>
      <c r="CG445" s="6"/>
      <c r="CH445" s="6"/>
      <c r="CI445" s="6"/>
      <c r="CJ445" s="79"/>
      <c r="CK445" s="6"/>
      <c r="CL445" s="6"/>
      <c r="CM445" s="6"/>
      <c r="CN445" s="6"/>
      <c r="CO445" s="79"/>
      <c r="CP445" s="6"/>
      <c r="CS445" s="6"/>
      <c r="CT445" s="79"/>
      <c r="CU445" s="6"/>
      <c r="CV445" s="591"/>
      <c r="CW445" s="591"/>
      <c r="CX445" s="591"/>
      <c r="CY445" s="590"/>
      <c r="CZ445" s="591"/>
      <c r="DA445" s="591"/>
      <c r="DB445" s="6"/>
      <c r="DC445" s="6"/>
      <c r="DD445" s="79"/>
      <c r="DE445" s="591"/>
      <c r="DF445" s="591"/>
      <c r="DG445" s="6"/>
      <c r="DH445" s="6"/>
      <c r="DI445" s="79"/>
    </row>
    <row r="446" spans="1:113" ht="12" hidden="1" customHeight="1" outlineLevel="1">
      <c r="A446" s="219"/>
      <c r="B446" s="17" t="s">
        <v>396</v>
      </c>
      <c r="C446" s="79"/>
      <c r="D446" s="6"/>
      <c r="E446" s="79"/>
      <c r="F446" s="6"/>
      <c r="G446" s="79"/>
      <c r="H446" s="6"/>
      <c r="I446" s="79"/>
      <c r="J446" s="6"/>
      <c r="K446" s="79"/>
      <c r="L446" s="6"/>
      <c r="M446" s="79"/>
      <c r="N446" s="6"/>
      <c r="O446" s="79"/>
      <c r="P446" s="6"/>
      <c r="Q446" s="79"/>
      <c r="R446" s="6"/>
      <c r="S446" s="6"/>
      <c r="T446" s="6"/>
      <c r="U446" s="6"/>
      <c r="V446" s="79"/>
      <c r="W446" s="6"/>
      <c r="X446" s="6"/>
      <c r="Y446" s="6"/>
      <c r="Z446" s="6"/>
      <c r="AA446" s="79"/>
      <c r="AB446" s="79"/>
      <c r="AC446" s="6"/>
      <c r="AD446" s="6"/>
      <c r="AE446" s="6"/>
      <c r="AF446" s="6"/>
      <c r="AG446" s="79"/>
      <c r="AH446" s="6"/>
      <c r="AI446" s="6"/>
      <c r="AJ446" s="6"/>
      <c r="AK446" s="6"/>
      <c r="AL446" s="79"/>
      <c r="AM446" s="6"/>
      <c r="AN446" s="6"/>
      <c r="AO446" s="6"/>
      <c r="AP446" s="6"/>
      <c r="AQ446" s="79"/>
      <c r="AR446" s="6"/>
      <c r="AS446" s="6"/>
      <c r="AT446" s="6"/>
      <c r="AU446" s="6"/>
      <c r="AV446" s="79"/>
      <c r="AW446" s="6"/>
      <c r="AX446" s="6"/>
      <c r="AY446" s="6"/>
      <c r="AZ446" s="6"/>
      <c r="BA446" s="79"/>
      <c r="BB446" s="6"/>
      <c r="BC446" s="6"/>
      <c r="BD446" s="6"/>
      <c r="BE446" s="6"/>
      <c r="BF446" s="79"/>
      <c r="BG446" s="6"/>
      <c r="BH446" s="6"/>
      <c r="BI446" s="6"/>
      <c r="BJ446" s="6"/>
      <c r="BK446" s="79"/>
      <c r="BL446" s="6"/>
      <c r="BM446" s="6"/>
      <c r="BN446" s="6"/>
      <c r="BO446" s="6"/>
      <c r="BP446" s="79"/>
      <c r="BQ446" s="6"/>
      <c r="BR446" s="6"/>
      <c r="BS446" s="6"/>
      <c r="BT446" s="6"/>
      <c r="BU446" s="79"/>
      <c r="BV446" s="6"/>
      <c r="BW446" s="6"/>
      <c r="BX446" s="6"/>
      <c r="BY446" s="6"/>
      <c r="BZ446" s="79"/>
      <c r="CA446" s="6"/>
      <c r="CB446" s="6"/>
      <c r="CC446" s="6"/>
      <c r="CD446" s="6"/>
      <c r="CE446" s="36">
        <v>0</v>
      </c>
      <c r="CF446" s="43"/>
      <c r="CG446" s="43"/>
      <c r="CH446" s="43"/>
      <c r="CI446" s="43"/>
      <c r="CJ446" s="36">
        <v>-3</v>
      </c>
      <c r="CK446" s="43">
        <v>0</v>
      </c>
      <c r="CL446" s="43">
        <v>0</v>
      </c>
      <c r="CM446" s="43">
        <v>-2</v>
      </c>
      <c r="CN446" s="43">
        <f>CO446-CM446-CL446-CK446</f>
        <v>-1</v>
      </c>
      <c r="CO446" s="36">
        <v>-3</v>
      </c>
      <c r="CP446" s="43">
        <v>-3</v>
      </c>
      <c r="CQ446" s="43">
        <v>-1</v>
      </c>
      <c r="CR446" s="43">
        <v>-3</v>
      </c>
      <c r="CS446" s="43">
        <f>CT446-CR446-CQ446-CP446</f>
        <v>0</v>
      </c>
      <c r="CT446" s="36">
        <v>-7</v>
      </c>
      <c r="CU446" s="43"/>
      <c r="CV446" s="43"/>
      <c r="CW446" s="43"/>
      <c r="CX446" s="43"/>
      <c r="CY446" s="36"/>
      <c r="CZ446" s="43"/>
      <c r="DA446" s="43"/>
      <c r="DB446" s="43"/>
      <c r="DC446" s="43"/>
      <c r="DD446" s="36"/>
      <c r="DE446" s="43"/>
      <c r="DF446" s="43"/>
      <c r="DG446" s="43"/>
      <c r="DH446" s="43"/>
      <c r="DI446" s="36"/>
    </row>
    <row r="447" spans="1:113" ht="12" hidden="1" customHeight="1" outlineLevel="1">
      <c r="A447" s="219"/>
      <c r="B447" s="17"/>
      <c r="C447" s="79"/>
      <c r="D447" s="6"/>
      <c r="E447" s="79"/>
      <c r="F447" s="6"/>
      <c r="G447" s="79"/>
      <c r="H447" s="6"/>
      <c r="I447" s="79"/>
      <c r="J447" s="6"/>
      <c r="K447" s="79"/>
      <c r="L447" s="6"/>
      <c r="M447" s="79"/>
      <c r="N447" s="6"/>
      <c r="O447" s="79"/>
      <c r="P447" s="6"/>
      <c r="Q447" s="79"/>
      <c r="R447" s="6"/>
      <c r="S447" s="6"/>
      <c r="T447" s="6"/>
      <c r="U447" s="6"/>
      <c r="V447" s="79"/>
      <c r="W447" s="6"/>
      <c r="X447" s="6"/>
      <c r="Y447" s="6"/>
      <c r="Z447" s="6"/>
      <c r="AA447" s="79"/>
      <c r="AB447" s="79"/>
      <c r="AC447" s="6"/>
      <c r="AD447" s="6"/>
      <c r="AE447" s="6"/>
      <c r="AF447" s="6"/>
      <c r="AG447" s="79"/>
      <c r="AH447" s="6"/>
      <c r="AI447" s="6"/>
      <c r="AJ447" s="6"/>
      <c r="AK447" s="6"/>
      <c r="AL447" s="79"/>
      <c r="AM447" s="6"/>
      <c r="AN447" s="6"/>
      <c r="AO447" s="6"/>
      <c r="AP447" s="6"/>
      <c r="AQ447" s="79"/>
      <c r="AR447" s="6"/>
      <c r="AS447" s="6"/>
      <c r="AT447" s="6"/>
      <c r="AU447" s="6"/>
      <c r="AV447" s="79"/>
      <c r="AW447" s="6"/>
      <c r="AX447" s="6"/>
      <c r="AY447" s="6"/>
      <c r="AZ447" s="6"/>
      <c r="BA447" s="79"/>
      <c r="BB447" s="6"/>
      <c r="BC447" s="6"/>
      <c r="BD447" s="6"/>
      <c r="BE447" s="6"/>
      <c r="BF447" s="79"/>
      <c r="BG447" s="6"/>
      <c r="BH447" s="6"/>
      <c r="BI447" s="6"/>
      <c r="BJ447" s="6"/>
      <c r="BK447" s="79"/>
      <c r="BL447" s="6"/>
      <c r="BM447" s="6"/>
      <c r="BN447" s="6"/>
      <c r="BO447" s="6"/>
      <c r="BP447" s="79"/>
      <c r="BQ447" s="6"/>
      <c r="BR447" s="6"/>
      <c r="BS447" s="6"/>
      <c r="BT447" s="6"/>
      <c r="BU447" s="79"/>
      <c r="BV447" s="6"/>
      <c r="BW447" s="6"/>
      <c r="BX447" s="6"/>
      <c r="BY447" s="6"/>
      <c r="BZ447" s="79"/>
      <c r="CA447" s="6"/>
      <c r="CB447" s="6"/>
      <c r="CC447" s="6"/>
      <c r="CD447" s="6"/>
      <c r="CE447" s="79"/>
      <c r="CF447" s="6"/>
      <c r="CG447" s="6"/>
      <c r="CH447" s="6"/>
      <c r="CI447" s="6"/>
      <c r="CJ447" s="79"/>
      <c r="CK447" s="6"/>
      <c r="CL447" s="6"/>
      <c r="CM447" s="6"/>
      <c r="CN447" s="6"/>
      <c r="CO447" s="79"/>
      <c r="CP447" s="6"/>
      <c r="CQ447" s="6"/>
      <c r="CR447" s="6"/>
      <c r="CS447" s="6"/>
      <c r="CT447" s="79"/>
      <c r="CU447" s="6"/>
      <c r="CV447" s="6"/>
      <c r="CW447" s="6"/>
      <c r="CX447" s="6"/>
      <c r="CY447" s="79"/>
      <c r="CZ447" s="6"/>
      <c r="DA447" s="6"/>
      <c r="DB447" s="6"/>
      <c r="DC447" s="6"/>
      <c r="DD447" s="79"/>
      <c r="DE447" s="6"/>
      <c r="DF447" s="6"/>
      <c r="DG447" s="6"/>
      <c r="DH447" s="6"/>
      <c r="DI447" s="79"/>
    </row>
    <row r="448" spans="1:113" s="7" customFormat="1" ht="12" customHeight="1" collapsed="1">
      <c r="A448" s="239" t="str">
        <f t="shared" si="1336"/>
        <v xml:space="preserve"> </v>
      </c>
      <c r="B448" s="20" t="s">
        <v>184</v>
      </c>
      <c r="C448" s="36"/>
      <c r="D448" s="43"/>
      <c r="E448" s="36"/>
      <c r="F448" s="43"/>
      <c r="G448" s="36"/>
      <c r="H448" s="43"/>
      <c r="I448" s="36"/>
      <c r="J448" s="43"/>
      <c r="K448" s="36"/>
      <c r="L448" s="43"/>
      <c r="M448" s="36"/>
      <c r="N448" s="43"/>
      <c r="O448" s="36"/>
      <c r="P448" s="43"/>
      <c r="Q448" s="36"/>
      <c r="R448" s="43">
        <v>151</v>
      </c>
      <c r="S448" s="43">
        <v>230</v>
      </c>
      <c r="T448" s="43">
        <v>204</v>
      </c>
      <c r="U448" s="43">
        <v>217</v>
      </c>
      <c r="V448" s="36">
        <f>SUM(R448:U448)</f>
        <v>802</v>
      </c>
      <c r="W448" s="43">
        <v>224</v>
      </c>
      <c r="X448" s="43">
        <v>282</v>
      </c>
      <c r="Y448" s="43">
        <v>239</v>
      </c>
      <c r="Z448" s="43">
        <v>244</v>
      </c>
      <c r="AA448" s="36">
        <f>SUM(W448:Z448)</f>
        <v>989</v>
      </c>
      <c r="AB448" s="36"/>
      <c r="AC448" s="43">
        <v>244</v>
      </c>
      <c r="AD448" s="43">
        <v>343</v>
      </c>
      <c r="AE448" s="43">
        <v>240</v>
      </c>
      <c r="AF448" s="43">
        <v>300</v>
      </c>
      <c r="AG448" s="36">
        <f>SUM(AC448:AF448)</f>
        <v>1127</v>
      </c>
      <c r="AH448" s="43">
        <v>234</v>
      </c>
      <c r="AI448" s="43">
        <v>290</v>
      </c>
      <c r="AJ448" s="43">
        <v>249</v>
      </c>
      <c r="AK448" s="43">
        <v>310</v>
      </c>
      <c r="AL448" s="36">
        <f>SUM(AH448:AK448)</f>
        <v>1083</v>
      </c>
      <c r="AM448" s="43">
        <v>167</v>
      </c>
      <c r="AN448" s="43">
        <v>265</v>
      </c>
      <c r="AO448" s="43">
        <v>256</v>
      </c>
      <c r="AP448" s="43">
        <v>230</v>
      </c>
      <c r="AQ448" s="36">
        <f>SUM(AM448:AP448)</f>
        <v>918</v>
      </c>
      <c r="AR448" s="43">
        <v>280</v>
      </c>
      <c r="AS448" s="43">
        <v>264</v>
      </c>
      <c r="AT448" s="43">
        <v>226</v>
      </c>
      <c r="AU448" s="43">
        <v>232</v>
      </c>
      <c r="AV448" s="36">
        <f>SUM(AR448:AU448)</f>
        <v>1002</v>
      </c>
      <c r="AW448" s="43">
        <v>209</v>
      </c>
      <c r="AX448" s="43">
        <v>266</v>
      </c>
      <c r="AY448" s="43">
        <v>228</v>
      </c>
      <c r="AZ448" s="43">
        <v>277</v>
      </c>
      <c r="BA448" s="36">
        <f>SUM(AW448:AZ448)</f>
        <v>980</v>
      </c>
      <c r="BB448" s="43">
        <v>260</v>
      </c>
      <c r="BC448" s="43">
        <v>291</v>
      </c>
      <c r="BD448" s="43">
        <v>298</v>
      </c>
      <c r="BE448" s="43">
        <v>340</v>
      </c>
      <c r="BF448" s="36">
        <f>SUM(BB448:BE448)</f>
        <v>1189</v>
      </c>
      <c r="BG448" s="43">
        <v>323</v>
      </c>
      <c r="BH448" s="43">
        <v>321</v>
      </c>
      <c r="BI448" s="43">
        <v>339</v>
      </c>
      <c r="BJ448" s="43">
        <v>340</v>
      </c>
      <c r="BK448" s="36">
        <f>SUM(BG448:BJ448)</f>
        <v>1323</v>
      </c>
      <c r="BL448" s="43">
        <v>341</v>
      </c>
      <c r="BM448" s="43">
        <v>377</v>
      </c>
      <c r="BN448" s="43">
        <v>387</v>
      </c>
      <c r="BO448" s="43">
        <v>79</v>
      </c>
      <c r="BP448" s="36">
        <f>SUM(BL448:BO448)</f>
        <v>1184</v>
      </c>
      <c r="BQ448" s="43">
        <v>280</v>
      </c>
      <c r="BR448" s="43">
        <v>424</v>
      </c>
      <c r="BS448" s="43">
        <v>408</v>
      </c>
      <c r="BT448" s="43">
        <v>418</v>
      </c>
      <c r="BU448" s="36">
        <f>SUM(BQ448:BT448)</f>
        <v>1530</v>
      </c>
      <c r="BV448" s="43">
        <v>481</v>
      </c>
      <c r="BW448" s="43">
        <v>388</v>
      </c>
      <c r="BX448" s="43">
        <v>478</v>
      </c>
      <c r="BY448" s="43">
        <v>549</v>
      </c>
      <c r="BZ448" s="36">
        <f>SUM(BV448:BY448)</f>
        <v>1896</v>
      </c>
      <c r="CA448" s="43">
        <v>500</v>
      </c>
      <c r="CB448" s="43">
        <v>485</v>
      </c>
      <c r="CC448" s="43">
        <v>485</v>
      </c>
      <c r="CD448" s="43">
        <v>462</v>
      </c>
      <c r="CE448" s="36">
        <f>SUM(CA448:CD448)</f>
        <v>1932</v>
      </c>
      <c r="CF448" s="43">
        <v>414</v>
      </c>
      <c r="CG448" s="43">
        <v>521</v>
      </c>
      <c r="CH448" s="43">
        <v>471</v>
      </c>
      <c r="CI448" s="43">
        <v>479</v>
      </c>
      <c r="CJ448" s="36">
        <f>SUM(CF448:CI448)</f>
        <v>1885</v>
      </c>
      <c r="CK448" s="43">
        <v>402</v>
      </c>
      <c r="CL448" s="43">
        <v>460</v>
      </c>
      <c r="CM448" s="43">
        <v>346</v>
      </c>
      <c r="CN448" s="43">
        <v>319</v>
      </c>
      <c r="CO448" s="36">
        <f>SUM(CK448:CN448)</f>
        <v>1527</v>
      </c>
      <c r="CP448" s="43">
        <v>350</v>
      </c>
      <c r="CQ448" s="43">
        <v>389</v>
      </c>
      <c r="CR448" s="43">
        <v>332</v>
      </c>
      <c r="CS448" s="43">
        <v>316</v>
      </c>
      <c r="CT448" s="36">
        <f>SUM(CP448:CS448)</f>
        <v>1387</v>
      </c>
      <c r="CU448" s="43">
        <v>324</v>
      </c>
      <c r="CV448" s="43">
        <f>(CQ448/CQ389+CV451/100/100)*CV389</f>
        <v>387.72743969999999</v>
      </c>
      <c r="CW448" s="43">
        <f>(CR448/CR389+CW451/100/100)*CW389</f>
        <v>337.72058131610731</v>
      </c>
      <c r="CX448" s="43">
        <f>(CS448/CS389+CX451/100/100)*CX389</f>
        <v>314.55606102255638</v>
      </c>
      <c r="CY448" s="36">
        <f>SUM(CU448:CX448)</f>
        <v>1364.0040820386637</v>
      </c>
      <c r="CZ448" s="43">
        <f>(CU448/CU389+CZ451/100/100)*CZ389</f>
        <v>352.658105593985</v>
      </c>
      <c r="DA448" s="43">
        <f>(CV448/CV389+DA451/100/100)*DA389</f>
        <v>428.42110635495982</v>
      </c>
      <c r="DB448" s="43">
        <f>(CW448/CW389+DB451/100/100)*DB389</f>
        <v>373.91682909129361</v>
      </c>
      <c r="DC448" s="43">
        <f>(CX448/CX389+DC451/100/100)*DC389</f>
        <v>351.93003763857632</v>
      </c>
      <c r="DD448" s="36">
        <f>SUM(CZ448:DC448)</f>
        <v>1506.9260786788147</v>
      </c>
      <c r="DE448" s="43">
        <f>(CZ448/CZ389+DE451/100/100)*DE389</f>
        <v>393.73111299193994</v>
      </c>
      <c r="DF448" s="43">
        <f>(DA448/DA389+DF451/100/100)*DF389</f>
        <v>475.7953346953401</v>
      </c>
      <c r="DG448" s="43">
        <f>(DB448/DB389+DG451/100/100)*DG389</f>
        <v>415.89605076421299</v>
      </c>
      <c r="DH448" s="43">
        <f>(DC448/DC389+DH451/100/100)*DH389</f>
        <v>394.88058591402239</v>
      </c>
      <c r="DI448" s="36">
        <f>SUM(DE448:DH448)</f>
        <v>1680.3030843655156</v>
      </c>
    </row>
    <row r="449" spans="1:113" ht="12" customHeight="1">
      <c r="A449" s="219" t="str">
        <f t="shared" si="1336"/>
        <v xml:space="preserve"> </v>
      </c>
      <c r="B449" s="491" t="s">
        <v>171</v>
      </c>
      <c r="C449" s="492"/>
      <c r="D449" s="522"/>
      <c r="E449" s="492"/>
      <c r="F449" s="522"/>
      <c r="G449" s="492"/>
      <c r="H449" s="522"/>
      <c r="I449" s="492"/>
      <c r="J449" s="522"/>
      <c r="K449" s="492"/>
      <c r="L449" s="522"/>
      <c r="M449" s="492"/>
      <c r="N449" s="522"/>
      <c r="O449" s="492"/>
      <c r="P449" s="522"/>
      <c r="Q449" s="492"/>
      <c r="R449" s="378" t="s">
        <v>126</v>
      </c>
      <c r="S449" s="522" t="s">
        <v>126</v>
      </c>
      <c r="T449" s="522" t="s">
        <v>126</v>
      </c>
      <c r="U449" s="522" t="s">
        <v>126</v>
      </c>
      <c r="V449" s="492" t="s">
        <v>126</v>
      </c>
      <c r="W449" s="52">
        <f>+W448/R448-1</f>
        <v>0.48344370860927155</v>
      </c>
      <c r="X449" s="52">
        <f>+X448/S448-1</f>
        <v>0.22608695652173916</v>
      </c>
      <c r="Y449" s="52">
        <f>+Y448/T448-1</f>
        <v>0.17156862745098045</v>
      </c>
      <c r="Z449" s="52">
        <f>+Z448/U448-1</f>
        <v>0.12442396313364057</v>
      </c>
      <c r="AA449" s="112">
        <f>+AA448/V448-1</f>
        <v>0.23316708229426442</v>
      </c>
      <c r="AB449" s="112"/>
      <c r="AC449" s="52">
        <f>+AC448/W448-1</f>
        <v>8.9285714285714191E-2</v>
      </c>
      <c r="AD449" s="52">
        <f>+AD448/X448-1</f>
        <v>0.21631205673758869</v>
      </c>
      <c r="AE449" s="52">
        <f>+AE448/Y448-1</f>
        <v>4.1841004184099972E-3</v>
      </c>
      <c r="AF449" s="52">
        <f>+AF448/Z448-1</f>
        <v>0.22950819672131151</v>
      </c>
      <c r="AG449" s="112">
        <f>+AG448/AA448-1</f>
        <v>0.13953488372093026</v>
      </c>
      <c r="AH449" s="52">
        <f t="shared" ref="AH449:BP449" si="1374">+AH448/AC448-1</f>
        <v>-4.0983606557377095E-2</v>
      </c>
      <c r="AI449" s="52">
        <f t="shared" si="1374"/>
        <v>-0.15451895043731778</v>
      </c>
      <c r="AJ449" s="52">
        <f t="shared" si="1374"/>
        <v>3.7500000000000089E-2</v>
      </c>
      <c r="AK449" s="52">
        <f t="shared" si="1374"/>
        <v>3.3333333333333437E-2</v>
      </c>
      <c r="AL449" s="112">
        <f t="shared" si="1374"/>
        <v>-3.9041703637976877E-2</v>
      </c>
      <c r="AM449" s="52">
        <f t="shared" si="1374"/>
        <v>-0.28632478632478631</v>
      </c>
      <c r="AN449" s="52">
        <f t="shared" si="1374"/>
        <v>-8.6206896551724088E-2</v>
      </c>
      <c r="AO449" s="52">
        <f t="shared" si="1374"/>
        <v>2.8112449799196693E-2</v>
      </c>
      <c r="AP449" s="52">
        <f t="shared" si="1374"/>
        <v>-0.25806451612903225</v>
      </c>
      <c r="AQ449" s="112">
        <f t="shared" si="1374"/>
        <v>-0.1523545706371191</v>
      </c>
      <c r="AR449" s="52">
        <f t="shared" si="1374"/>
        <v>0.67664670658682624</v>
      </c>
      <c r="AS449" s="52">
        <f t="shared" si="1374"/>
        <v>-3.7735849056603765E-3</v>
      </c>
      <c r="AT449" s="52">
        <f t="shared" si="1374"/>
        <v>-0.1171875</v>
      </c>
      <c r="AU449" s="52">
        <f t="shared" si="1374"/>
        <v>8.6956521739129933E-3</v>
      </c>
      <c r="AV449" s="112">
        <f t="shared" si="1374"/>
        <v>9.1503267973856106E-2</v>
      </c>
      <c r="AW449" s="52">
        <f t="shared" si="1374"/>
        <v>-0.25357142857142856</v>
      </c>
      <c r="AX449" s="52">
        <f t="shared" si="1374"/>
        <v>7.575757575757569E-3</v>
      </c>
      <c r="AY449" s="52">
        <f t="shared" si="1374"/>
        <v>8.8495575221239076E-3</v>
      </c>
      <c r="AZ449" s="52">
        <f t="shared" si="1374"/>
        <v>0.19396551724137923</v>
      </c>
      <c r="BA449" s="112">
        <f t="shared" si="1374"/>
        <v>-2.1956087824351322E-2</v>
      </c>
      <c r="BB449" s="52">
        <f t="shared" si="1374"/>
        <v>0.24401913875598091</v>
      </c>
      <c r="BC449" s="52">
        <f t="shared" si="1374"/>
        <v>9.3984962406014949E-2</v>
      </c>
      <c r="BD449" s="52">
        <f t="shared" si="1374"/>
        <v>0.30701754385964919</v>
      </c>
      <c r="BE449" s="52">
        <f t="shared" si="1374"/>
        <v>0.22743682310469304</v>
      </c>
      <c r="BF449" s="112">
        <f t="shared" si="1374"/>
        <v>0.21326530612244898</v>
      </c>
      <c r="BG449" s="52">
        <f t="shared" si="1374"/>
        <v>0.24230769230769234</v>
      </c>
      <c r="BH449" s="52">
        <f t="shared" si="1374"/>
        <v>0.10309278350515472</v>
      </c>
      <c r="BI449" s="52">
        <f t="shared" si="1374"/>
        <v>0.13758389261744974</v>
      </c>
      <c r="BJ449" s="52">
        <f t="shared" si="1374"/>
        <v>0</v>
      </c>
      <c r="BK449" s="112">
        <f t="shared" si="1374"/>
        <v>0.11269974768713209</v>
      </c>
      <c r="BL449" s="52">
        <f t="shared" si="1374"/>
        <v>5.5727554179566541E-2</v>
      </c>
      <c r="BM449" s="52">
        <f t="shared" si="1374"/>
        <v>0.17445482866043616</v>
      </c>
      <c r="BN449" s="52">
        <f t="shared" si="1374"/>
        <v>0.1415929203539823</v>
      </c>
      <c r="BO449" s="52">
        <f t="shared" si="1374"/>
        <v>-0.76764705882352935</v>
      </c>
      <c r="BP449" s="112">
        <f t="shared" si="1374"/>
        <v>-0.1050642479213908</v>
      </c>
      <c r="BQ449" s="52">
        <f t="shared" ref="BQ449:CC449" si="1375">+BQ448/BL448-1</f>
        <v>-0.17888563049853368</v>
      </c>
      <c r="BR449" s="52">
        <f t="shared" si="1375"/>
        <v>0.12466843501326252</v>
      </c>
      <c r="BS449" s="52">
        <f t="shared" si="1375"/>
        <v>5.4263565891472965E-2</v>
      </c>
      <c r="BT449" s="52">
        <f t="shared" si="1375"/>
        <v>4.2911392405063289</v>
      </c>
      <c r="BU449" s="112">
        <f t="shared" si="1375"/>
        <v>0.29222972972972983</v>
      </c>
      <c r="BV449" s="52">
        <f t="shared" si="1375"/>
        <v>0.71785714285714275</v>
      </c>
      <c r="BW449" s="52">
        <f t="shared" si="1375"/>
        <v>-8.4905660377358472E-2</v>
      </c>
      <c r="BX449" s="52">
        <f t="shared" si="1375"/>
        <v>0.17156862745098045</v>
      </c>
      <c r="BY449" s="52">
        <f t="shared" si="1375"/>
        <v>0.3133971291866029</v>
      </c>
      <c r="BZ449" s="112">
        <f t="shared" si="1375"/>
        <v>0.23921568627450984</v>
      </c>
      <c r="CA449" s="52">
        <f t="shared" si="1375"/>
        <v>3.9501039501039559E-2</v>
      </c>
      <c r="CB449" s="52">
        <f t="shared" si="1375"/>
        <v>0.25</v>
      </c>
      <c r="CC449" s="52">
        <f t="shared" si="1375"/>
        <v>1.4644351464435212E-2</v>
      </c>
      <c r="CD449" s="52">
        <f t="shared" ref="CD449" si="1376">+CD448/BY448-1</f>
        <v>-0.15846994535519121</v>
      </c>
      <c r="CE449" s="112">
        <f t="shared" ref="CE449" si="1377">+CE448/BZ448-1</f>
        <v>1.8987341772152E-2</v>
      </c>
      <c r="CF449" s="52">
        <f t="shared" ref="CF449" si="1378">+CF448/CA448-1</f>
        <v>-0.17200000000000004</v>
      </c>
      <c r="CG449" s="52">
        <f t="shared" ref="CG449:CH449" si="1379">+CG448/CB448-1</f>
        <v>7.4226804123711299E-2</v>
      </c>
      <c r="CH449" s="52">
        <f t="shared" si="1379"/>
        <v>-2.8865979381443307E-2</v>
      </c>
      <c r="CI449" s="52">
        <f t="shared" ref="CI449" si="1380">+CI448/CD448-1</f>
        <v>3.6796536796536827E-2</v>
      </c>
      <c r="CJ449" s="112">
        <f t="shared" ref="CJ449:CL449" si="1381">+CJ448/CE448-1</f>
        <v>-2.4327122153209091E-2</v>
      </c>
      <c r="CK449" s="52">
        <f t="shared" si="1381"/>
        <v>-2.8985507246376829E-2</v>
      </c>
      <c r="CL449" s="52">
        <f t="shared" si="1381"/>
        <v>-0.11708253358925147</v>
      </c>
      <c r="CM449" s="52">
        <f t="shared" ref="CM449:CN449" si="1382">+CM448/CH448-1</f>
        <v>-0.26539278131634825</v>
      </c>
      <c r="CN449" s="114">
        <f t="shared" si="1382"/>
        <v>-0.33402922755741127</v>
      </c>
      <c r="CO449" s="112">
        <f t="shared" ref="CO449:CR449" si="1383">+CO448/CJ448-1</f>
        <v>-0.18992042440318302</v>
      </c>
      <c r="CP449" s="52">
        <f t="shared" si="1383"/>
        <v>-0.12935323383084574</v>
      </c>
      <c r="CQ449" s="52">
        <f t="shared" si="1383"/>
        <v>-0.15434782608695652</v>
      </c>
      <c r="CR449" s="52">
        <f t="shared" si="1383"/>
        <v>-4.0462427745664775E-2</v>
      </c>
      <c r="CS449" s="52">
        <f t="shared" ref="CS449" si="1384">+CS448/CN448-1</f>
        <v>-9.4043887147335914E-3</v>
      </c>
      <c r="CT449" s="112">
        <f t="shared" ref="CT449:CU449" si="1385">+CT448/CO448-1</f>
        <v>-9.1683038637851988E-2</v>
      </c>
      <c r="CU449" s="52">
        <f t="shared" si="1385"/>
        <v>-7.4285714285714288E-2</v>
      </c>
      <c r="CV449" s="52">
        <f t="shared" ref="CV449" si="1386">+CV448/CQ448-1</f>
        <v>-3.2713632390746206E-3</v>
      </c>
      <c r="CW449" s="52">
        <f t="shared" ref="CW449" si="1387">+CW448/CR448-1</f>
        <v>1.7230666614781009E-2</v>
      </c>
      <c r="CX449" s="52">
        <f t="shared" ref="CX449" si="1388">+CX448/CS448-1</f>
        <v>-4.569427143808924E-3</v>
      </c>
      <c r="CY449" s="112">
        <f t="shared" ref="CY449" si="1389">+CY448/CT448-1</f>
        <v>-1.6579609200675027E-2</v>
      </c>
      <c r="CZ449" s="52">
        <f t="shared" ref="CZ449" si="1390">+CZ448/CU448-1</f>
        <v>8.8450943191311637E-2</v>
      </c>
      <c r="DA449" s="52">
        <f t="shared" ref="DA449" si="1391">+DA448/CV448-1</f>
        <v>0.10495431194254934</v>
      </c>
      <c r="DB449" s="52">
        <f t="shared" ref="DB449" si="1392">+DB448/CW448-1</f>
        <v>0.10717809271240863</v>
      </c>
      <c r="DC449" s="52">
        <f t="shared" ref="DC449" si="1393">+DC448/CX448-1</f>
        <v>0.11881499435911325</v>
      </c>
      <c r="DD449" s="112">
        <f t="shared" ref="DD449" si="1394">+DD448/CY448-1</f>
        <v>0.10478120888504772</v>
      </c>
      <c r="DE449" s="52">
        <f t="shared" ref="DE449" si="1395">+DE448/CZ448-1</f>
        <v>0.11646693141725839</v>
      </c>
      <c r="DF449" s="52">
        <f t="shared" ref="DF449" si="1396">+DF448/DA448-1</f>
        <v>0.11057865179296122</v>
      </c>
      <c r="DG449" s="52">
        <f t="shared" ref="DG449" si="1397">+DG448/DB448-1</f>
        <v>0.1122688748054983</v>
      </c>
      <c r="DH449" s="52">
        <f t="shared" ref="DH449" si="1398">+DH448/DC448-1</f>
        <v>0.12204285989238373</v>
      </c>
      <c r="DI449" s="112">
        <f t="shared" ref="DI449" si="1399">+DI448/DD448-1</f>
        <v>0.11505342441130728</v>
      </c>
    </row>
    <row r="450" spans="1:113" s="3" customFormat="1" ht="12" customHeight="1">
      <c r="A450" s="490" t="str">
        <f t="shared" si="1336"/>
        <v xml:space="preserve"> </v>
      </c>
      <c r="B450" s="491" t="s">
        <v>170</v>
      </c>
      <c r="C450" s="550"/>
      <c r="D450" s="549"/>
      <c r="E450" s="550"/>
      <c r="F450" s="549"/>
      <c r="G450" s="550"/>
      <c r="H450" s="549"/>
      <c r="I450" s="550"/>
      <c r="J450" s="549"/>
      <c r="K450" s="550"/>
      <c r="L450" s="549"/>
      <c r="M450" s="550"/>
      <c r="N450" s="549"/>
      <c r="O450" s="550"/>
      <c r="P450" s="549"/>
      <c r="Q450" s="550"/>
      <c r="R450" s="111">
        <f t="shared" ref="R450:AA450" si="1400">+R448/R389</f>
        <v>0.20026525198938991</v>
      </c>
      <c r="S450" s="111">
        <f t="shared" si="1400"/>
        <v>0.24287222808870115</v>
      </c>
      <c r="T450" s="111">
        <f t="shared" si="1400"/>
        <v>0.24343675417661098</v>
      </c>
      <c r="U450" s="111">
        <f t="shared" si="1400"/>
        <v>0.22533748701973</v>
      </c>
      <c r="V450" s="229">
        <f t="shared" si="1400"/>
        <v>0.22901199314677329</v>
      </c>
      <c r="W450" s="111">
        <f t="shared" si="1400"/>
        <v>0.22626262626262628</v>
      </c>
      <c r="X450" s="111">
        <f t="shared" si="1400"/>
        <v>0.24628820960698691</v>
      </c>
      <c r="Y450" s="111">
        <f t="shared" si="1400"/>
        <v>0.24044265593561368</v>
      </c>
      <c r="Z450" s="111">
        <f t="shared" si="1400"/>
        <v>0.21981981981981982</v>
      </c>
      <c r="AA450" s="229">
        <f t="shared" si="1400"/>
        <v>0.23330974286388298</v>
      </c>
      <c r="AB450" s="229"/>
      <c r="AC450" s="111">
        <f t="shared" ref="AC450:BH450" si="1401">+AC448/AC389</f>
        <v>0.2230347349177331</v>
      </c>
      <c r="AD450" s="111">
        <f t="shared" si="1401"/>
        <v>0.26103500761035009</v>
      </c>
      <c r="AE450" s="111">
        <f t="shared" si="1401"/>
        <v>0.22598870056497175</v>
      </c>
      <c r="AF450" s="111">
        <f t="shared" si="1401"/>
        <v>0.24232633279483037</v>
      </c>
      <c r="AG450" s="229">
        <f t="shared" si="1401"/>
        <v>0.23937977909940528</v>
      </c>
      <c r="AH450" s="111">
        <f t="shared" si="1401"/>
        <v>0.22075471698113208</v>
      </c>
      <c r="AI450" s="111">
        <f t="shared" si="1401"/>
        <v>0.23387096774193547</v>
      </c>
      <c r="AJ450" s="111">
        <f t="shared" si="1401"/>
        <v>0.22351885098743268</v>
      </c>
      <c r="AK450" s="111">
        <f t="shared" si="1401"/>
        <v>0.23736600306278713</v>
      </c>
      <c r="AL450" s="229">
        <f t="shared" si="1401"/>
        <v>0.22944915254237289</v>
      </c>
      <c r="AM450" s="111">
        <f t="shared" si="1401"/>
        <v>0.15265082266910421</v>
      </c>
      <c r="AN450" s="111">
        <f t="shared" si="1401"/>
        <v>0.20800627943485087</v>
      </c>
      <c r="AO450" s="111">
        <f t="shared" si="1401"/>
        <v>0.22836752899197146</v>
      </c>
      <c r="AP450" s="111">
        <f t="shared" si="1401"/>
        <v>0.19759450171821305</v>
      </c>
      <c r="AQ450" s="229">
        <f t="shared" si="1401"/>
        <v>0.19729206963249515</v>
      </c>
      <c r="AR450" s="111">
        <f t="shared" si="1401"/>
        <v>0.25854108956602029</v>
      </c>
      <c r="AS450" s="111">
        <f t="shared" si="1401"/>
        <v>0.23848238482384823</v>
      </c>
      <c r="AT450" s="111">
        <f t="shared" si="1401"/>
        <v>0.2189922480620155</v>
      </c>
      <c r="AU450" s="111">
        <f t="shared" si="1401"/>
        <v>0.21187214611872146</v>
      </c>
      <c r="AV450" s="229">
        <f t="shared" si="1401"/>
        <v>0.23210562890896455</v>
      </c>
      <c r="AW450" s="111">
        <f t="shared" si="1401"/>
        <v>0.18479221927497791</v>
      </c>
      <c r="AX450" s="111">
        <f t="shared" si="1401"/>
        <v>0.22056384742951907</v>
      </c>
      <c r="AY450" s="111">
        <f t="shared" si="1401"/>
        <v>0.20320855614973263</v>
      </c>
      <c r="AZ450" s="111">
        <f t="shared" si="1401"/>
        <v>0.21674491392801251</v>
      </c>
      <c r="BA450" s="229">
        <f t="shared" si="1401"/>
        <v>0.20688199282246147</v>
      </c>
      <c r="BB450" s="111">
        <f t="shared" si="1401"/>
        <v>0.21867115222876365</v>
      </c>
      <c r="BC450" s="111">
        <f t="shared" si="1401"/>
        <v>0.22859387274155538</v>
      </c>
      <c r="BD450" s="111">
        <f t="shared" si="1401"/>
        <v>0.23501577287066247</v>
      </c>
      <c r="BE450" s="111">
        <f t="shared" si="1401"/>
        <v>0.23676880222841226</v>
      </c>
      <c r="BF450" s="229">
        <f t="shared" si="1401"/>
        <v>0.23015873015873015</v>
      </c>
      <c r="BG450" s="111">
        <f t="shared" si="1401"/>
        <v>0.25433070866141733</v>
      </c>
      <c r="BH450" s="111">
        <f t="shared" si="1401"/>
        <v>0.2473035439137134</v>
      </c>
      <c r="BI450" s="111">
        <f t="shared" ref="BI450:CN450" si="1402">+BI448/BI389</f>
        <v>0.25937260902830911</v>
      </c>
      <c r="BJ450" s="111">
        <f t="shared" si="1402"/>
        <v>0.24655547498187091</v>
      </c>
      <c r="BK450" s="229">
        <f t="shared" si="1402"/>
        <v>0.25180814617434338</v>
      </c>
      <c r="BL450" s="111">
        <f t="shared" si="1402"/>
        <v>0.25353159851301116</v>
      </c>
      <c r="BM450" s="111">
        <f t="shared" si="1402"/>
        <v>0.25681198910081743</v>
      </c>
      <c r="BN450" s="111">
        <f t="shared" si="1402"/>
        <v>0.2736916548797737</v>
      </c>
      <c r="BO450" s="111">
        <f t="shared" si="1402"/>
        <v>9.8626716604244699E-2</v>
      </c>
      <c r="BP450" s="229">
        <f t="shared" si="1402"/>
        <v>0.2354813046937152</v>
      </c>
      <c r="BQ450" s="111">
        <f t="shared" si="1402"/>
        <v>0.25477707006369427</v>
      </c>
      <c r="BR450" s="111">
        <f t="shared" si="1402"/>
        <v>0.28823929299796058</v>
      </c>
      <c r="BS450" s="111">
        <f t="shared" si="1402"/>
        <v>0.3102661596958175</v>
      </c>
      <c r="BT450" s="111">
        <f t="shared" si="1402"/>
        <v>0.28669410150891633</v>
      </c>
      <c r="BU450" s="229">
        <f t="shared" si="1402"/>
        <v>0.28635597978663674</v>
      </c>
      <c r="BV450" s="111">
        <f t="shared" si="1402"/>
        <v>0.32832764505119455</v>
      </c>
      <c r="BW450" s="111">
        <f t="shared" si="1402"/>
        <v>0.28804751299183373</v>
      </c>
      <c r="BX450" s="111">
        <f t="shared" si="1402"/>
        <v>0.32717316906228611</v>
      </c>
      <c r="BY450" s="111">
        <f t="shared" si="1402"/>
        <v>0.32639714625445898</v>
      </c>
      <c r="BZ450" s="229">
        <f t="shared" si="1402"/>
        <v>0.31838790931989924</v>
      </c>
      <c r="CA450" s="52">
        <f t="shared" si="1402"/>
        <v>0.32573289902280128</v>
      </c>
      <c r="CB450" s="52">
        <f t="shared" si="1402"/>
        <v>0.30331457160725456</v>
      </c>
      <c r="CC450" s="52">
        <f t="shared" si="1402"/>
        <v>0.3029356652092442</v>
      </c>
      <c r="CD450" s="52">
        <f t="shared" si="1402"/>
        <v>0.27240566037735847</v>
      </c>
      <c r="CE450" s="112">
        <f t="shared" si="1402"/>
        <v>0.30041984139325145</v>
      </c>
      <c r="CF450" s="52">
        <f t="shared" si="1402"/>
        <v>0.26335877862595419</v>
      </c>
      <c r="CG450" s="52">
        <f t="shared" si="1402"/>
        <v>0.28864265927977839</v>
      </c>
      <c r="CH450" s="52">
        <f t="shared" si="1402"/>
        <v>0.28597449908925321</v>
      </c>
      <c r="CI450" s="52">
        <f t="shared" si="1402"/>
        <v>0.2809384164222874</v>
      </c>
      <c r="CJ450" s="112">
        <f t="shared" si="1402"/>
        <v>0.28013077723287266</v>
      </c>
      <c r="CK450" s="52">
        <f t="shared" si="1402"/>
        <v>0.27496580027359779</v>
      </c>
      <c r="CL450" s="52">
        <f t="shared" si="1402"/>
        <v>0.26376146788990823</v>
      </c>
      <c r="CM450" s="52">
        <f t="shared" si="1402"/>
        <v>0.23537414965986395</v>
      </c>
      <c r="CN450" s="114">
        <f t="shared" si="1402"/>
        <v>0.20253968253968255</v>
      </c>
      <c r="CO450" s="112">
        <f t="shared" ref="CO450:DI450" si="1403">+CO448/CO389</f>
        <v>0.24428091505359142</v>
      </c>
      <c r="CP450" s="52">
        <f t="shared" si="1403"/>
        <v>0.2348993288590604</v>
      </c>
      <c r="CQ450" s="52">
        <f t="shared" si="1403"/>
        <v>0.23335332933413316</v>
      </c>
      <c r="CR450" s="52">
        <f t="shared" si="1403"/>
        <v>0.22281879194630871</v>
      </c>
      <c r="CS450" s="52">
        <f t="shared" si="1403"/>
        <v>0.19799498746867167</v>
      </c>
      <c r="CT450" s="112">
        <f t="shared" si="1403"/>
        <v>0.22216882908857921</v>
      </c>
      <c r="CU450" s="52">
        <f t="shared" si="1403"/>
        <v>0.22146274777853725</v>
      </c>
      <c r="CV450" s="52">
        <f t="shared" si="1403"/>
        <v>0.23835332933413317</v>
      </c>
      <c r="CW450" s="52">
        <f t="shared" si="1403"/>
        <v>0.23281879194630872</v>
      </c>
      <c r="CX450" s="52">
        <f t="shared" si="1403"/>
        <v>0.20799498746867168</v>
      </c>
      <c r="CY450" s="112">
        <f t="shared" si="1403"/>
        <v>0.2253587506091857</v>
      </c>
      <c r="CZ450" s="52">
        <f t="shared" si="1403"/>
        <v>0.24396274777853724</v>
      </c>
      <c r="DA450" s="52">
        <f t="shared" si="1403"/>
        <v>0.26085332933413319</v>
      </c>
      <c r="DB450" s="52">
        <f t="shared" si="1403"/>
        <v>0.25531879194630874</v>
      </c>
      <c r="DC450" s="52">
        <f t="shared" si="1403"/>
        <v>0.23049498746867164</v>
      </c>
      <c r="DD450" s="112">
        <f t="shared" si="1403"/>
        <v>0.24787911147156433</v>
      </c>
      <c r="DE450" s="52">
        <f t="shared" si="1403"/>
        <v>0.26646274777853723</v>
      </c>
      <c r="DF450" s="52">
        <f t="shared" si="1403"/>
        <v>0.28335332933413321</v>
      </c>
      <c r="DG450" s="52">
        <f t="shared" si="1403"/>
        <v>0.27781879194630876</v>
      </c>
      <c r="DH450" s="52">
        <f t="shared" si="1403"/>
        <v>0.25299498746867166</v>
      </c>
      <c r="DI450" s="112">
        <f t="shared" si="1403"/>
        <v>0.27037952281092664</v>
      </c>
    </row>
    <row r="451" spans="1:113" s="3" customFormat="1" ht="12" customHeight="1">
      <c r="A451" s="490" t="str">
        <f t="shared" si="1336"/>
        <v xml:space="preserve"> </v>
      </c>
      <c r="B451" s="491" t="s">
        <v>174</v>
      </c>
      <c r="C451" s="571"/>
      <c r="D451" s="572"/>
      <c r="E451" s="571"/>
      <c r="F451" s="572"/>
      <c r="G451" s="571"/>
      <c r="H451" s="572"/>
      <c r="I451" s="571"/>
      <c r="J451" s="572"/>
      <c r="K451" s="571"/>
      <c r="L451" s="572"/>
      <c r="M451" s="571"/>
      <c r="N451" s="572"/>
      <c r="O451" s="571"/>
      <c r="P451" s="572"/>
      <c r="Q451" s="571"/>
      <c r="R451" s="573" t="s">
        <v>126</v>
      </c>
      <c r="S451" s="572" t="s">
        <v>126</v>
      </c>
      <c r="T451" s="572" t="s">
        <v>126</v>
      </c>
      <c r="U451" s="572" t="s">
        <v>126</v>
      </c>
      <c r="V451" s="571" t="s">
        <v>126</v>
      </c>
      <c r="W451" s="572">
        <f>+(W450-R450)*100*100</f>
        <v>259.97374273236369</v>
      </c>
      <c r="X451" s="572">
        <f>+(X450-S450)*100*100</f>
        <v>34.159815182857599</v>
      </c>
      <c r="Y451" s="572">
        <f>+(Y450-T450)*100*100</f>
        <v>-29.94098240997306</v>
      </c>
      <c r="Z451" s="572">
        <f>+(Z450-U450)*100*100</f>
        <v>-55.176671999101757</v>
      </c>
      <c r="AA451" s="571">
        <f>+(AA450-V450)*100*100</f>
        <v>42.977497171096942</v>
      </c>
      <c r="AB451" s="571"/>
      <c r="AC451" s="572">
        <f>+(AC450-W450)*100*100</f>
        <v>-32.278913448931803</v>
      </c>
      <c r="AD451" s="572">
        <f>+(AD450-X450)*100*100</f>
        <v>147.46798003363176</v>
      </c>
      <c r="AE451" s="572">
        <f>+(AE450-Y450)*100*100</f>
        <v>-144.53955370641924</v>
      </c>
      <c r="AF451" s="572">
        <f>+(AF450-Z450)*100*100</f>
        <v>225.06512975010554</v>
      </c>
      <c r="AG451" s="571">
        <f>+(AG450-AA450)*100*100</f>
        <v>60.700362355222971</v>
      </c>
      <c r="AH451" s="572">
        <f t="shared" ref="AH451:CC451" si="1404">+(AH450-AC450)*100*100</f>
        <v>-22.800179366010141</v>
      </c>
      <c r="AI451" s="572">
        <f t="shared" si="1404"/>
        <v>-271.64039868414619</v>
      </c>
      <c r="AJ451" s="572">
        <f t="shared" si="1404"/>
        <v>-24.698495775390683</v>
      </c>
      <c r="AK451" s="572">
        <f t="shared" si="1404"/>
        <v>-49.603297320432446</v>
      </c>
      <c r="AL451" s="571">
        <f t="shared" si="1404"/>
        <v>-99.306265570323902</v>
      </c>
      <c r="AM451" s="572">
        <f t="shared" si="1404"/>
        <v>-681.03894312027876</v>
      </c>
      <c r="AN451" s="572">
        <f t="shared" si="1404"/>
        <v>-258.646883070846</v>
      </c>
      <c r="AO451" s="572">
        <f t="shared" si="1404"/>
        <v>48.48678004538781</v>
      </c>
      <c r="AP451" s="572">
        <f t="shared" si="1404"/>
        <v>-397.71501344574079</v>
      </c>
      <c r="AQ451" s="571">
        <f t="shared" si="1404"/>
        <v>-321.57082909877732</v>
      </c>
      <c r="AR451" s="572">
        <f t="shared" si="1404"/>
        <v>1058.9026689691607</v>
      </c>
      <c r="AS451" s="572">
        <f t="shared" si="1404"/>
        <v>304.76105388997365</v>
      </c>
      <c r="AT451" s="572">
        <f t="shared" si="1404"/>
        <v>-93.752809299559587</v>
      </c>
      <c r="AU451" s="572">
        <f t="shared" si="1404"/>
        <v>142.7764440050841</v>
      </c>
      <c r="AV451" s="571">
        <f t="shared" si="1404"/>
        <v>348.13559276469397</v>
      </c>
      <c r="AW451" s="572">
        <f t="shared" si="1404"/>
        <v>-737.48870291042385</v>
      </c>
      <c r="AX451" s="572">
        <f t="shared" si="1404"/>
        <v>-179.18537394329164</v>
      </c>
      <c r="AY451" s="572">
        <f t="shared" si="1404"/>
        <v>-157.83691912282879</v>
      </c>
      <c r="AZ451" s="572">
        <f t="shared" si="1404"/>
        <v>48.727678092910509</v>
      </c>
      <c r="BA451" s="571">
        <f t="shared" si="1404"/>
        <v>-252.23636086503075</v>
      </c>
      <c r="BB451" s="572">
        <f t="shared" si="1404"/>
        <v>338.78932953785744</v>
      </c>
      <c r="BC451" s="572">
        <f t="shared" si="1404"/>
        <v>80.300253120363095</v>
      </c>
      <c r="BD451" s="572">
        <f t="shared" si="1404"/>
        <v>318.07216720929841</v>
      </c>
      <c r="BE451" s="572">
        <f t="shared" si="1404"/>
        <v>200.23888300399753</v>
      </c>
      <c r="BF451" s="598">
        <f>+(BF450-BA450)*100*100</f>
        <v>232.76737336268673</v>
      </c>
      <c r="BG451" s="572">
        <f t="shared" si="1404"/>
        <v>356.5955643265367</v>
      </c>
      <c r="BH451" s="572">
        <f t="shared" si="1404"/>
        <v>187.09671172158022</v>
      </c>
      <c r="BI451" s="572">
        <f t="shared" si="1404"/>
        <v>243.56836157646637</v>
      </c>
      <c r="BJ451" s="572">
        <f t="shared" si="1404"/>
        <v>97.866727534586531</v>
      </c>
      <c r="BK451" s="598">
        <f>+(BK450-BF450)*100*100</f>
        <v>216.49416015613235</v>
      </c>
      <c r="BL451" s="599">
        <f t="shared" si="1404"/>
        <v>-7.9911014840616801</v>
      </c>
      <c r="BM451" s="599">
        <f t="shared" si="1404"/>
        <v>95.084451871040315</v>
      </c>
      <c r="BN451" s="599">
        <f t="shared" si="1404"/>
        <v>143.19045851464597</v>
      </c>
      <c r="BO451" s="599">
        <f t="shared" si="1404"/>
        <v>-1479.287583776262</v>
      </c>
      <c r="BP451" s="598">
        <f>+(BP450-BK450)*100*100</f>
        <v>-163.26841480628184</v>
      </c>
      <c r="BQ451" s="599">
        <f t="shared" si="1404"/>
        <v>12.454715506831082</v>
      </c>
      <c r="BR451" s="599">
        <f t="shared" si="1404"/>
        <v>314.2730389714315</v>
      </c>
      <c r="BS451" s="599">
        <f t="shared" si="1404"/>
        <v>365.74504816043793</v>
      </c>
      <c r="BT451" s="599">
        <f t="shared" si="1404"/>
        <v>1880.6738490467162</v>
      </c>
      <c r="BU451" s="598">
        <f>+(BU450-BP450)*100*100</f>
        <v>508.74675092921535</v>
      </c>
      <c r="BV451" s="599">
        <f t="shared" si="1404"/>
        <v>735.50574987500283</v>
      </c>
      <c r="BW451" s="599">
        <f t="shared" si="1404"/>
        <v>-1.9178000612685153</v>
      </c>
      <c r="BX451" s="599">
        <f t="shared" si="1404"/>
        <v>169.07009366468606</v>
      </c>
      <c r="BY451" s="599">
        <f t="shared" si="1404"/>
        <v>397.0304474554265</v>
      </c>
      <c r="BZ451" s="598">
        <f>+(BZ450-BU450)*100*100</f>
        <v>320.31929533262502</v>
      </c>
      <c r="CA451" s="599">
        <f t="shared" si="1404"/>
        <v>-25.947460283932688</v>
      </c>
      <c r="CB451" s="599">
        <f t="shared" si="1404"/>
        <v>152.67058615420825</v>
      </c>
      <c r="CC451" s="599">
        <f t="shared" si="1404"/>
        <v>-242.37503853041909</v>
      </c>
      <c r="CD451" s="599">
        <f t="shared" ref="CD451" si="1405">+(CD450-BY450)*100*100</f>
        <v>-539.91485877100502</v>
      </c>
      <c r="CE451" s="598">
        <f>+(CE450-BZ450)*100*100</f>
        <v>-179.68067926647791</v>
      </c>
      <c r="CF451" s="599">
        <f t="shared" ref="CF451:CU451" si="1406">+(CF450-CA450)*100*100</f>
        <v>-623.74120396847093</v>
      </c>
      <c r="CG451" s="599">
        <f t="shared" si="1406"/>
        <v>-146.71912327476167</v>
      </c>
      <c r="CH451" s="599">
        <f t="shared" si="1406"/>
        <v>-169.61166119990989</v>
      </c>
      <c r="CI451" s="599">
        <f t="shared" si="1406"/>
        <v>85.327560449289237</v>
      </c>
      <c r="CJ451" s="598">
        <f>+(CJ450-CE450)*100*100</f>
        <v>-202.89064160378788</v>
      </c>
      <c r="CK451" s="599">
        <f t="shared" si="1406"/>
        <v>116.070216476436</v>
      </c>
      <c r="CL451" s="599">
        <f t="shared" si="1406"/>
        <v>-248.81191389870159</v>
      </c>
      <c r="CM451" s="599">
        <f t="shared" si="1406"/>
        <v>-506.00349429389257</v>
      </c>
      <c r="CN451" s="599">
        <f t="shared" si="1406"/>
        <v>-783.98733882604847</v>
      </c>
      <c r="CO451" s="598">
        <f>+(CO450-CJ450)*100*100</f>
        <v>-358.4986217928124</v>
      </c>
      <c r="CP451" s="599">
        <f t="shared" si="1406"/>
        <v>-400.66471414537392</v>
      </c>
      <c r="CQ451" s="599">
        <f t="shared" si="1406"/>
        <v>-304.08138555775065</v>
      </c>
      <c r="CR451" s="599">
        <f t="shared" si="1406"/>
        <v>-125.5535771355523</v>
      </c>
      <c r="CS451" s="599">
        <f t="shared" si="1406"/>
        <v>-45.446950710108794</v>
      </c>
      <c r="CT451" s="598">
        <f>+(CT450-CO450)*100*100</f>
        <v>-221.12085965012213</v>
      </c>
      <c r="CU451" s="599">
        <f t="shared" si="1406"/>
        <v>-134.36581080523146</v>
      </c>
      <c r="CV451" s="600">
        <v>50</v>
      </c>
      <c r="CW451" s="600">
        <v>100</v>
      </c>
      <c r="CX451" s="600">
        <v>100</v>
      </c>
      <c r="CY451" s="598">
        <f>+(CY450-CT450)*100*100</f>
        <v>31.899215206064866</v>
      </c>
      <c r="CZ451" s="600">
        <v>225</v>
      </c>
      <c r="DA451" s="600">
        <v>225</v>
      </c>
      <c r="DB451" s="600">
        <v>225</v>
      </c>
      <c r="DC451" s="600">
        <v>225</v>
      </c>
      <c r="DD451" s="598">
        <f>+(DD450-CY450)*100*100</f>
        <v>225.20360862378629</v>
      </c>
      <c r="DE451" s="600">
        <v>225</v>
      </c>
      <c r="DF451" s="600">
        <v>225</v>
      </c>
      <c r="DG451" s="600">
        <v>225</v>
      </c>
      <c r="DH451" s="600">
        <v>225</v>
      </c>
      <c r="DI451" s="598">
        <f>+(DI450-DD450)*100*100</f>
        <v>225.00411339362313</v>
      </c>
    </row>
    <row r="452" spans="1:113" ht="12" customHeight="1">
      <c r="A452" s="219"/>
      <c r="B452" s="17"/>
      <c r="C452" s="79"/>
      <c r="D452" s="6"/>
      <c r="E452" s="79"/>
      <c r="F452" s="6"/>
      <c r="G452" s="79"/>
      <c r="H452" s="6"/>
      <c r="I452" s="79"/>
      <c r="J452" s="6"/>
      <c r="K452" s="79"/>
      <c r="L452" s="6"/>
      <c r="M452" s="79"/>
      <c r="N452" s="6"/>
      <c r="O452" s="79"/>
      <c r="P452" s="6"/>
      <c r="Q452" s="79"/>
      <c r="R452" s="6"/>
      <c r="S452" s="6"/>
      <c r="T452" s="6"/>
      <c r="U452" s="6"/>
      <c r="V452" s="79"/>
      <c r="W452" s="6"/>
      <c r="X452" s="6"/>
      <c r="Y452" s="6"/>
      <c r="Z452" s="6"/>
      <c r="AA452" s="79"/>
      <c r="AB452" s="79"/>
      <c r="AC452" s="6"/>
      <c r="AD452" s="6"/>
      <c r="AE452" s="6"/>
      <c r="AF452" s="6"/>
      <c r="AG452" s="79"/>
      <c r="AH452" s="6"/>
      <c r="AI452" s="6"/>
      <c r="AJ452" s="6"/>
      <c r="AK452" s="6"/>
      <c r="AL452" s="79"/>
      <c r="AM452" s="6"/>
      <c r="AN452" s="6"/>
      <c r="AO452" s="6"/>
      <c r="AP452" s="6"/>
      <c r="AQ452" s="79"/>
      <c r="AR452" s="6"/>
      <c r="AS452" s="6"/>
      <c r="AT452" s="6"/>
      <c r="AU452" s="6"/>
      <c r="AV452" s="79"/>
      <c r="AW452" s="6"/>
      <c r="AX452" s="6"/>
      <c r="AY452" s="6"/>
      <c r="AZ452" s="6"/>
      <c r="BA452" s="79"/>
      <c r="BB452" s="6"/>
      <c r="BC452" s="6"/>
      <c r="BD452" s="6"/>
      <c r="BE452" s="6"/>
      <c r="BF452" s="79"/>
      <c r="BG452" s="6"/>
      <c r="BH452" s="6"/>
      <c r="BI452" s="6"/>
      <c r="BJ452" s="6"/>
      <c r="BK452" s="79"/>
      <c r="BL452" s="6"/>
      <c r="BM452" s="6"/>
      <c r="BN452" s="6"/>
      <c r="BO452" s="6"/>
      <c r="BP452" s="79"/>
      <c r="BQ452" s="6"/>
      <c r="BR452" s="6"/>
      <c r="BS452" s="6"/>
      <c r="BT452" s="6"/>
      <c r="BU452" s="79"/>
      <c r="BV452" s="6"/>
      <c r="BW452" s="6"/>
      <c r="BX452" s="6"/>
      <c r="BY452" s="6"/>
      <c r="BZ452" s="79"/>
      <c r="CA452" s="6"/>
      <c r="CB452" s="6"/>
      <c r="CC452" s="6"/>
      <c r="CD452" s="6"/>
      <c r="CE452" s="79"/>
      <c r="CF452" s="6"/>
      <c r="CG452" s="6"/>
      <c r="CH452" s="6"/>
      <c r="CI452" s="6"/>
      <c r="CJ452" s="79"/>
      <c r="CK452" s="6"/>
      <c r="CL452" s="6"/>
      <c r="CM452" s="6"/>
      <c r="CN452" s="6"/>
      <c r="CO452" s="79"/>
      <c r="CP452" s="6"/>
      <c r="CQ452" s="6"/>
      <c r="CR452" s="6"/>
      <c r="CS452" s="6"/>
      <c r="CT452" s="79"/>
      <c r="CU452" s="6"/>
      <c r="CV452" s="6"/>
      <c r="CW452" s="6"/>
      <c r="CX452" s="6"/>
      <c r="CY452" s="79"/>
      <c r="CZ452" s="6"/>
      <c r="DA452" s="6"/>
      <c r="DB452" s="6"/>
      <c r="DC452" s="6"/>
      <c r="DD452" s="79"/>
      <c r="DE452" s="6"/>
      <c r="DF452" s="6"/>
      <c r="DG452" s="6"/>
      <c r="DH452" s="6"/>
      <c r="DI452" s="79"/>
    </row>
    <row r="453" spans="1:113" ht="12" customHeight="1">
      <c r="A453" s="219"/>
      <c r="B453" s="17" t="s">
        <v>413</v>
      </c>
      <c r="C453" s="79"/>
      <c r="D453" s="6"/>
      <c r="E453" s="79"/>
      <c r="F453" s="6"/>
      <c r="G453" s="79"/>
      <c r="H453" s="6"/>
      <c r="I453" s="79"/>
      <c r="J453" s="6"/>
      <c r="K453" s="79"/>
      <c r="L453" s="6"/>
      <c r="M453" s="79"/>
      <c r="N453" s="6"/>
      <c r="O453" s="79"/>
      <c r="P453" s="6"/>
      <c r="Q453" s="79"/>
      <c r="R453" s="6"/>
      <c r="S453" s="6"/>
      <c r="T453" s="6"/>
      <c r="U453" s="6"/>
      <c r="V453" s="79"/>
      <c r="W453" s="6"/>
      <c r="X453" s="6"/>
      <c r="Y453" s="6"/>
      <c r="Z453" s="6"/>
      <c r="AA453" s="79"/>
      <c r="AB453" s="79"/>
      <c r="AC453" s="6"/>
      <c r="AD453" s="6"/>
      <c r="AE453" s="6"/>
      <c r="AF453" s="6"/>
      <c r="AG453" s="79"/>
      <c r="AH453" s="6"/>
      <c r="AI453" s="6"/>
      <c r="AJ453" s="6"/>
      <c r="AK453" s="6"/>
      <c r="AL453" s="79"/>
      <c r="AM453" s="6"/>
      <c r="AN453" s="6"/>
      <c r="AO453" s="6"/>
      <c r="AP453" s="6"/>
      <c r="AQ453" s="79"/>
      <c r="AR453" s="6"/>
      <c r="AS453" s="6"/>
      <c r="AT453" s="6"/>
      <c r="AU453" s="6"/>
      <c r="AV453" s="79"/>
      <c r="AW453" s="6"/>
      <c r="AX453" s="6"/>
      <c r="AY453" s="6"/>
      <c r="AZ453" s="6"/>
      <c r="BA453" s="79"/>
      <c r="BB453" s="6"/>
      <c r="BC453" s="6"/>
      <c r="BD453" s="6"/>
      <c r="BE453" s="6"/>
      <c r="BF453" s="79"/>
      <c r="BG453" s="6"/>
      <c r="BH453" s="6"/>
      <c r="BI453" s="6"/>
      <c r="BJ453" s="6"/>
      <c r="BK453" s="79"/>
      <c r="BL453" s="6"/>
      <c r="BM453" s="6"/>
      <c r="BN453" s="6"/>
      <c r="BO453" s="6"/>
      <c r="BP453" s="79"/>
      <c r="BQ453" s="6"/>
      <c r="BR453" s="6"/>
      <c r="BS453" s="6"/>
      <c r="BT453" s="6"/>
      <c r="BU453" s="79"/>
      <c r="BV453" s="6"/>
      <c r="BW453" s="6"/>
      <c r="BX453" s="6"/>
      <c r="BY453" s="6"/>
      <c r="BZ453" s="79"/>
      <c r="CA453" s="6"/>
      <c r="CB453" s="6"/>
      <c r="CC453" s="6"/>
      <c r="CD453" s="6"/>
      <c r="CE453" s="36">
        <v>42</v>
      </c>
      <c r="CF453" s="43"/>
      <c r="CG453" s="43"/>
      <c r="CH453" s="43"/>
      <c r="CI453" s="43"/>
      <c r="CJ453" s="36">
        <v>51</v>
      </c>
      <c r="CK453" s="43">
        <v>11</v>
      </c>
      <c r="CL453" s="43">
        <v>13</v>
      </c>
      <c r="CM453" s="43">
        <v>12</v>
      </c>
      <c r="CN453" s="43">
        <f t="shared" ref="CN453" si="1407">CO453-CM453-CL453-CK453</f>
        <v>14</v>
      </c>
      <c r="CO453" s="36">
        <v>50</v>
      </c>
      <c r="CP453" s="43">
        <v>16</v>
      </c>
      <c r="CQ453" s="43">
        <v>13</v>
      </c>
      <c r="CR453" s="43">
        <v>13</v>
      </c>
      <c r="CS453" s="43">
        <f t="shared" ref="CS453:CS454" si="1408">CT453-CR453-CQ453-CP453</f>
        <v>12</v>
      </c>
      <c r="CT453" s="36">
        <v>54</v>
      </c>
      <c r="CU453" s="43"/>
      <c r="CV453" s="43"/>
      <c r="CW453" s="43"/>
      <c r="CX453" s="43"/>
      <c r="CY453" s="36"/>
      <c r="CZ453" s="43"/>
      <c r="DA453" s="43"/>
      <c r="DB453" s="43"/>
      <c r="DC453" s="43"/>
      <c r="DD453" s="36"/>
      <c r="DE453" s="43"/>
      <c r="DF453" s="43"/>
      <c r="DG453" s="43"/>
      <c r="DH453" s="43"/>
      <c r="DI453" s="36"/>
    </row>
    <row r="454" spans="1:113" ht="12" customHeight="1">
      <c r="A454" s="219"/>
      <c r="B454" s="17" t="s">
        <v>414</v>
      </c>
      <c r="C454" s="79"/>
      <c r="D454" s="6"/>
      <c r="E454" s="79"/>
      <c r="F454" s="6"/>
      <c r="G454" s="79"/>
      <c r="H454" s="6"/>
      <c r="I454" s="79"/>
      <c r="J454" s="6"/>
      <c r="K454" s="79"/>
      <c r="L454" s="6"/>
      <c r="M454" s="79"/>
      <c r="N454" s="6"/>
      <c r="O454" s="79"/>
      <c r="P454" s="6"/>
      <c r="Q454" s="79"/>
      <c r="R454" s="6"/>
      <c r="S454" s="6"/>
      <c r="T454" s="6"/>
      <c r="U454" s="6"/>
      <c r="V454" s="79"/>
      <c r="W454" s="6"/>
      <c r="X454" s="6"/>
      <c r="Y454" s="6"/>
      <c r="Z454" s="6"/>
      <c r="AA454" s="79"/>
      <c r="AB454" s="79"/>
      <c r="AC454" s="6"/>
      <c r="AD454" s="6"/>
      <c r="AE454" s="6"/>
      <c r="AF454" s="6"/>
      <c r="AG454" s="79"/>
      <c r="AH454" s="6"/>
      <c r="AI454" s="6"/>
      <c r="AJ454" s="6"/>
      <c r="AK454" s="6"/>
      <c r="AL454" s="79"/>
      <c r="AM454" s="6"/>
      <c r="AN454" s="6"/>
      <c r="AO454" s="6"/>
      <c r="AP454" s="6"/>
      <c r="AQ454" s="79"/>
      <c r="AR454" s="6"/>
      <c r="AS454" s="6"/>
      <c r="AT454" s="6"/>
      <c r="AU454" s="6"/>
      <c r="AV454" s="79"/>
      <c r="AW454" s="6"/>
      <c r="AX454" s="6"/>
      <c r="AY454" s="6"/>
      <c r="AZ454" s="6"/>
      <c r="BA454" s="79"/>
      <c r="BB454" s="6"/>
      <c r="BC454" s="6"/>
      <c r="BD454" s="6"/>
      <c r="BE454" s="6"/>
      <c r="BF454" s="79"/>
      <c r="BG454" s="6"/>
      <c r="BH454" s="6"/>
      <c r="BI454" s="6"/>
      <c r="BJ454" s="6"/>
      <c r="BK454" s="79"/>
      <c r="BL454" s="6"/>
      <c r="BM454" s="6"/>
      <c r="BN454" s="6"/>
      <c r="BO454" s="6"/>
      <c r="BP454" s="79"/>
      <c r="BQ454" s="6"/>
      <c r="BR454" s="6"/>
      <c r="BS454" s="6"/>
      <c r="BT454" s="6"/>
      <c r="BU454" s="79"/>
      <c r="BV454" s="6"/>
      <c r="BW454" s="6"/>
      <c r="BX454" s="6"/>
      <c r="BY454" s="6"/>
      <c r="BZ454" s="79"/>
      <c r="CA454" s="6"/>
      <c r="CB454" s="6"/>
      <c r="CC454" s="6"/>
      <c r="CD454" s="6"/>
      <c r="CE454" s="36">
        <v>894</v>
      </c>
      <c r="CF454" s="43"/>
      <c r="CG454" s="43"/>
      <c r="CH454" s="43"/>
      <c r="CI454" s="43"/>
      <c r="CJ454" s="36">
        <v>810</v>
      </c>
      <c r="CK454" s="39" t="s">
        <v>126</v>
      </c>
      <c r="CL454" s="39" t="s">
        <v>126</v>
      </c>
      <c r="CM454" s="39" t="s">
        <v>126</v>
      </c>
      <c r="CN454" s="39" t="s">
        <v>126</v>
      </c>
      <c r="CO454" s="36">
        <v>905</v>
      </c>
      <c r="CP454" s="43">
        <v>1066</v>
      </c>
      <c r="CQ454" s="43">
        <v>1001</v>
      </c>
      <c r="CR454" s="7">
        <v>1011</v>
      </c>
      <c r="CS454" s="43">
        <f t="shared" si="1408"/>
        <v>-2114</v>
      </c>
      <c r="CT454" s="36">
        <v>964</v>
      </c>
      <c r="CU454" s="43"/>
      <c r="CV454" s="43"/>
      <c r="CW454" s="43"/>
      <c r="CX454" s="43"/>
      <c r="CY454" s="36"/>
      <c r="CZ454" s="43"/>
      <c r="DA454" s="43"/>
      <c r="DB454" s="43"/>
      <c r="DC454" s="43"/>
      <c r="DD454" s="36"/>
      <c r="DE454" s="43"/>
      <c r="DF454" s="43"/>
      <c r="DG454" s="43"/>
      <c r="DH454" s="43"/>
      <c r="DI454" s="36"/>
    </row>
    <row r="455" spans="1:113" ht="12" customHeight="1">
      <c r="A455" s="219"/>
      <c r="B455" s="491" t="s">
        <v>348</v>
      </c>
      <c r="C455" s="79"/>
      <c r="D455" s="6"/>
      <c r="E455" s="79"/>
      <c r="F455" s="6"/>
      <c r="G455" s="79"/>
      <c r="H455" s="6"/>
      <c r="I455" s="79"/>
      <c r="J455" s="6"/>
      <c r="K455" s="79"/>
      <c r="L455" s="6"/>
      <c r="M455" s="79"/>
      <c r="N455" s="6"/>
      <c r="O455" s="79"/>
      <c r="P455" s="6"/>
      <c r="Q455" s="79"/>
      <c r="R455" s="6"/>
      <c r="S455" s="6"/>
      <c r="T455" s="6"/>
      <c r="U455" s="6"/>
      <c r="V455" s="79"/>
      <c r="W455" s="6"/>
      <c r="X455" s="6"/>
      <c r="Y455" s="6"/>
      <c r="Z455" s="6"/>
      <c r="AA455" s="79"/>
      <c r="AB455" s="79"/>
      <c r="AC455" s="6"/>
      <c r="AD455" s="6"/>
      <c r="AE455" s="6"/>
      <c r="AF455" s="6"/>
      <c r="AG455" s="79"/>
      <c r="AH455" s="6"/>
      <c r="AI455" s="6"/>
      <c r="AJ455" s="6"/>
      <c r="AK455" s="6"/>
      <c r="AL455" s="79"/>
      <c r="AM455" s="6"/>
      <c r="AN455" s="6"/>
      <c r="AO455" s="6"/>
      <c r="AP455" s="6"/>
      <c r="AQ455" s="79"/>
      <c r="AR455" s="6"/>
      <c r="AS455" s="6"/>
      <c r="AT455" s="6"/>
      <c r="AU455" s="6"/>
      <c r="AV455" s="79"/>
      <c r="AW455" s="6"/>
      <c r="AX455" s="6"/>
      <c r="AY455" s="6"/>
      <c r="AZ455" s="6"/>
      <c r="BA455" s="79"/>
      <c r="BB455" s="6"/>
      <c r="BC455" s="6"/>
      <c r="BD455" s="6"/>
      <c r="BE455" s="6"/>
      <c r="BF455" s="79"/>
      <c r="BG455" s="6"/>
      <c r="BH455" s="6"/>
      <c r="BI455" s="6"/>
      <c r="BJ455" s="6"/>
      <c r="BK455" s="79"/>
      <c r="BL455" s="6"/>
      <c r="BM455" s="6"/>
      <c r="BN455" s="6"/>
      <c r="BO455" s="6"/>
      <c r="BP455" s="79"/>
      <c r="BQ455" s="6"/>
      <c r="BR455" s="6"/>
      <c r="BS455" s="6"/>
      <c r="BT455" s="6"/>
      <c r="BU455" s="79"/>
      <c r="BV455" s="6"/>
      <c r="BW455" s="6"/>
      <c r="BX455" s="6"/>
      <c r="BY455" s="6"/>
      <c r="BZ455" s="79"/>
      <c r="CA455" s="6"/>
      <c r="CB455" s="6"/>
      <c r="CC455" s="6"/>
      <c r="CD455" s="6"/>
      <c r="CE455" s="232" t="s">
        <v>126</v>
      </c>
      <c r="CF455" s="27"/>
      <c r="CG455" s="27"/>
      <c r="CH455" s="27"/>
      <c r="CI455" s="27"/>
      <c r="CJ455" s="112">
        <f>CJ454/CE454-1</f>
        <v>-9.3959731543624136E-2</v>
      </c>
      <c r="CK455" s="39" t="s">
        <v>126</v>
      </c>
      <c r="CL455" s="39" t="s">
        <v>126</v>
      </c>
      <c r="CM455" s="39" t="s">
        <v>126</v>
      </c>
      <c r="CN455" s="39" t="s">
        <v>126</v>
      </c>
      <c r="CO455" s="112">
        <f>CO454/CJ454-1</f>
        <v>0.11728395061728403</v>
      </c>
      <c r="CP455" s="213" t="s">
        <v>126</v>
      </c>
      <c r="CQ455" s="213" t="s">
        <v>126</v>
      </c>
      <c r="CR455" s="213" t="s">
        <v>126</v>
      </c>
      <c r="CS455" s="39" t="s">
        <v>126</v>
      </c>
      <c r="CT455" s="112">
        <f>CT454/CO454-1</f>
        <v>6.519337016574589E-2</v>
      </c>
      <c r="CU455" s="627"/>
      <c r="CV455" s="27"/>
      <c r="CW455" s="27"/>
      <c r="CX455" s="27"/>
      <c r="CY455" s="112"/>
      <c r="CZ455" s="27"/>
      <c r="DA455" s="27"/>
      <c r="DB455" s="27"/>
      <c r="DC455" s="27"/>
      <c r="DD455" s="112"/>
      <c r="DE455" s="27"/>
      <c r="DF455" s="27"/>
      <c r="DG455" s="27"/>
      <c r="DH455" s="27"/>
      <c r="DI455" s="112"/>
    </row>
    <row r="456" spans="1:113" ht="12" customHeight="1">
      <c r="A456" s="219"/>
      <c r="B456" s="17"/>
      <c r="C456" s="79"/>
      <c r="D456" s="6"/>
      <c r="E456" s="79"/>
      <c r="F456" s="6"/>
      <c r="G456" s="79"/>
      <c r="H456" s="6"/>
      <c r="I456" s="79"/>
      <c r="J456" s="6"/>
      <c r="K456" s="79"/>
      <c r="L456" s="6"/>
      <c r="M456" s="79"/>
      <c r="N456" s="6"/>
      <c r="O456" s="79"/>
      <c r="P456" s="6"/>
      <c r="Q456" s="79"/>
      <c r="R456" s="6"/>
      <c r="S456" s="6"/>
      <c r="T456" s="6"/>
      <c r="U456" s="6"/>
      <c r="V456" s="79"/>
      <c r="W456" s="6"/>
      <c r="X456" s="6"/>
      <c r="Y456" s="6"/>
      <c r="Z456" s="6"/>
      <c r="AA456" s="79"/>
      <c r="AB456" s="79"/>
      <c r="AC456" s="6"/>
      <c r="AD456" s="6"/>
      <c r="AE456" s="6"/>
      <c r="AF456" s="6"/>
      <c r="AG456" s="79"/>
      <c r="AH456" s="6"/>
      <c r="AI456" s="6"/>
      <c r="AJ456" s="6"/>
      <c r="AK456" s="6"/>
      <c r="AL456" s="79"/>
      <c r="AM456" s="6"/>
      <c r="AN456" s="6"/>
      <c r="AO456" s="6"/>
      <c r="AP456" s="6"/>
      <c r="AQ456" s="79"/>
      <c r="AR456" s="6"/>
      <c r="AS456" s="6"/>
      <c r="AT456" s="6"/>
      <c r="AU456" s="6"/>
      <c r="AV456" s="79"/>
      <c r="AW456" s="6"/>
      <c r="AX456" s="6"/>
      <c r="AY456" s="6"/>
      <c r="AZ456" s="6"/>
      <c r="BA456" s="79"/>
      <c r="BB456" s="6"/>
      <c r="BC456" s="6"/>
      <c r="BD456" s="6"/>
      <c r="BE456" s="6"/>
      <c r="BF456" s="79"/>
      <c r="BG456" s="6"/>
      <c r="BH456" s="6"/>
      <c r="BI456" s="6"/>
      <c r="BJ456" s="6"/>
      <c r="BK456" s="79"/>
      <c r="BL456" s="6"/>
      <c r="BM456" s="6"/>
      <c r="BN456" s="6"/>
      <c r="BO456" s="6"/>
      <c r="BP456" s="79"/>
      <c r="BQ456" s="6"/>
      <c r="BR456" s="6"/>
      <c r="BS456" s="6"/>
      <c r="BT456" s="6"/>
      <c r="BU456" s="79"/>
      <c r="BV456" s="6"/>
      <c r="BW456" s="6"/>
      <c r="BX456" s="6"/>
      <c r="BY456" s="6"/>
      <c r="BZ456" s="79"/>
      <c r="CA456" s="6"/>
      <c r="CB456" s="6"/>
      <c r="CC456" s="6"/>
      <c r="CD456" s="6"/>
      <c r="CE456" s="79"/>
      <c r="CF456" s="6"/>
      <c r="CG456" s="6"/>
      <c r="CH456" s="6"/>
      <c r="CI456" s="6"/>
      <c r="CJ456" s="79"/>
      <c r="CK456" s="6"/>
      <c r="CL456" s="6"/>
      <c r="CM456" s="6"/>
      <c r="CN456" s="6"/>
      <c r="CO456" s="79"/>
      <c r="CP456" s="6"/>
      <c r="CQ456" s="6"/>
      <c r="CR456" s="6"/>
      <c r="CS456" s="6"/>
      <c r="CT456" s="79"/>
      <c r="CU456" s="6"/>
      <c r="CV456" s="6"/>
      <c r="CW456" s="6"/>
      <c r="CX456" s="6"/>
      <c r="CY456" s="79"/>
      <c r="CZ456" s="6"/>
      <c r="DA456" s="6"/>
      <c r="DB456" s="6"/>
      <c r="DC456" s="6"/>
      <c r="DD456" s="79"/>
      <c r="DE456" s="6"/>
      <c r="DF456" s="6"/>
      <c r="DG456" s="6"/>
      <c r="DH456" s="6"/>
      <c r="DI456" s="79"/>
    </row>
    <row r="457" spans="1:113" ht="12" customHeight="1">
      <c r="A457" s="5" t="str">
        <f t="shared" si="1336"/>
        <v xml:space="preserve"> </v>
      </c>
      <c r="B457" s="61" t="s">
        <v>125</v>
      </c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37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90"/>
      <c r="AP457" s="90"/>
      <c r="AQ457" s="89"/>
      <c r="AR457" s="89"/>
      <c r="AS457" s="89"/>
      <c r="AT457" s="90"/>
      <c r="AU457" s="90"/>
      <c r="AV457" s="90"/>
      <c r="AW457" s="89"/>
      <c r="AX457" s="89"/>
      <c r="AY457" s="90"/>
      <c r="AZ457" s="90"/>
      <c r="BA457" s="90"/>
      <c r="BB457" s="89"/>
      <c r="BC457" s="89"/>
      <c r="BD457" s="90"/>
      <c r="BE457" s="90"/>
      <c r="BF457" s="90"/>
      <c r="BG457" s="89"/>
      <c r="BH457" s="89"/>
      <c r="BI457" s="90"/>
      <c r="BJ457" s="90"/>
      <c r="BK457" s="90"/>
      <c r="BL457" s="89"/>
      <c r="BM457" s="89"/>
      <c r="BN457" s="90"/>
      <c r="BO457" s="90"/>
      <c r="BP457" s="90"/>
      <c r="BQ457" s="89"/>
      <c r="BR457" s="89"/>
      <c r="BS457" s="90"/>
      <c r="BT457" s="90"/>
      <c r="BU457" s="90"/>
      <c r="BV457" s="89"/>
      <c r="BW457" s="89"/>
      <c r="BX457" s="90"/>
      <c r="BY457" s="90"/>
      <c r="BZ457" s="90"/>
      <c r="CA457" s="89"/>
      <c r="CB457" s="89"/>
      <c r="CC457" s="90"/>
      <c r="CD457" s="90"/>
      <c r="CE457" s="90"/>
      <c r="CF457" s="89"/>
      <c r="CG457" s="89"/>
      <c r="CH457" s="90"/>
      <c r="CI457" s="90"/>
      <c r="CJ457" s="90"/>
      <c r="CK457" s="89"/>
      <c r="CL457" s="89"/>
      <c r="CM457" s="90"/>
      <c r="CN457" s="90"/>
      <c r="CO457" s="90"/>
      <c r="CP457" s="89"/>
      <c r="CQ457" s="89"/>
      <c r="CR457" s="90"/>
      <c r="CS457" s="90"/>
      <c r="CT457" s="90"/>
      <c r="CU457" s="89"/>
      <c r="CV457" s="47"/>
      <c r="CW457" s="208"/>
      <c r="CX457" s="89"/>
      <c r="CY457" s="47"/>
      <c r="CZ457" s="89"/>
      <c r="DA457" s="47"/>
      <c r="DB457" s="89"/>
      <c r="DC457" s="47"/>
      <c r="DD457" s="89"/>
      <c r="DE457" s="47"/>
      <c r="DF457" s="89"/>
      <c r="DG457" s="90"/>
      <c r="DH457" s="90"/>
      <c r="DI457" s="182"/>
    </row>
    <row r="458" spans="1:113" s="7" customFormat="1" ht="12" customHeight="1">
      <c r="A458" s="239" t="str">
        <f t="shared" si="1336"/>
        <v xml:space="preserve"> </v>
      </c>
      <c r="B458" s="20" t="s">
        <v>186</v>
      </c>
      <c r="C458" s="36"/>
      <c r="D458" s="43"/>
      <c r="E458" s="36"/>
      <c r="F458" s="43"/>
      <c r="G458" s="36"/>
      <c r="H458" s="43"/>
      <c r="I458" s="36"/>
      <c r="J458" s="43"/>
      <c r="K458" s="36"/>
      <c r="L458" s="43"/>
      <c r="M458" s="36"/>
      <c r="N458" s="43"/>
      <c r="O458" s="36"/>
      <c r="P458" s="43"/>
      <c r="Q458" s="36"/>
      <c r="R458" s="43">
        <v>31</v>
      </c>
      <c r="S458" s="43">
        <v>24</v>
      </c>
      <c r="T458" s="43">
        <v>22</v>
      </c>
      <c r="U458" s="43">
        <v>29</v>
      </c>
      <c r="V458" s="36">
        <f>SUM(R458:U458)</f>
        <v>106</v>
      </c>
      <c r="W458" s="43">
        <v>33</v>
      </c>
      <c r="X458" s="43">
        <v>25</v>
      </c>
      <c r="Y458" s="43">
        <v>27</v>
      </c>
      <c r="Z458" s="43">
        <v>26</v>
      </c>
      <c r="AA458" s="36">
        <f>SUM(W458:Z458)</f>
        <v>111</v>
      </c>
      <c r="AB458" s="36"/>
      <c r="AC458" s="43">
        <v>27</v>
      </c>
      <c r="AD458" s="43">
        <v>28</v>
      </c>
      <c r="AE458" s="43">
        <v>29</v>
      </c>
      <c r="AF458" s="43">
        <v>31</v>
      </c>
      <c r="AG458" s="36">
        <f>SUM(AC458:AF458)</f>
        <v>115</v>
      </c>
      <c r="AH458" s="43">
        <v>32</v>
      </c>
      <c r="AI458" s="43">
        <v>31</v>
      </c>
      <c r="AJ458" s="43">
        <v>26</v>
      </c>
      <c r="AK458" s="43">
        <v>36</v>
      </c>
      <c r="AL458" s="36">
        <f>SUM(AH458:AK458)</f>
        <v>125</v>
      </c>
      <c r="AM458" s="43">
        <v>29</v>
      </c>
      <c r="AN458" s="43">
        <v>28</v>
      </c>
      <c r="AO458" s="43">
        <v>28</v>
      </c>
      <c r="AP458" s="43">
        <v>30</v>
      </c>
      <c r="AQ458" s="36">
        <f>SUM(AM458:AP458)</f>
        <v>115</v>
      </c>
      <c r="AR458" s="43">
        <v>26</v>
      </c>
      <c r="AS458" s="43">
        <v>18</v>
      </c>
      <c r="AT458" s="43">
        <v>17</v>
      </c>
      <c r="AU458" s="43">
        <v>12</v>
      </c>
      <c r="AV458" s="36">
        <f>SUM(AR458:AU458)</f>
        <v>73</v>
      </c>
      <c r="AW458" s="43">
        <v>15</v>
      </c>
      <c r="AX458" s="43">
        <v>21</v>
      </c>
      <c r="AY458" s="43">
        <v>19</v>
      </c>
      <c r="AZ458" s="43">
        <v>18</v>
      </c>
      <c r="BA458" s="36">
        <f>SUM(AW458:AZ458)</f>
        <v>73</v>
      </c>
      <c r="BB458" s="43">
        <v>20</v>
      </c>
      <c r="BC458" s="43">
        <v>23</v>
      </c>
      <c r="BD458" s="43">
        <v>21</v>
      </c>
      <c r="BE458" s="43">
        <v>24</v>
      </c>
      <c r="BF458" s="36">
        <f>SUM(BB458:BE458)</f>
        <v>88</v>
      </c>
      <c r="BG458" s="43">
        <v>16</v>
      </c>
      <c r="BH458" s="43">
        <v>9</v>
      </c>
      <c r="BI458" s="43">
        <v>8</v>
      </c>
      <c r="BJ458" s="43">
        <v>9</v>
      </c>
      <c r="BK458" s="36">
        <f>SUM(BG458:BJ458)</f>
        <v>42</v>
      </c>
      <c r="BL458" s="43">
        <v>6</v>
      </c>
      <c r="BM458" s="43">
        <v>10</v>
      </c>
      <c r="BN458" s="43">
        <v>8</v>
      </c>
      <c r="BO458" s="43">
        <v>6</v>
      </c>
      <c r="BP458" s="36">
        <f>SUM(BL458:BO458)</f>
        <v>30</v>
      </c>
      <c r="BQ458" s="43">
        <v>4</v>
      </c>
      <c r="BR458" s="43">
        <v>8</v>
      </c>
      <c r="BS458" s="43">
        <v>6</v>
      </c>
      <c r="BT458" s="43">
        <v>7</v>
      </c>
      <c r="BU458" s="36">
        <f>SUM(BQ458:BT458)</f>
        <v>25</v>
      </c>
      <c r="BV458" s="43">
        <v>7</v>
      </c>
      <c r="BW458" s="43">
        <v>6</v>
      </c>
      <c r="BX458" s="43">
        <v>41</v>
      </c>
      <c r="BY458" s="43">
        <v>48</v>
      </c>
      <c r="BZ458" s="36">
        <f>SUM(BV458:BY458)</f>
        <v>102</v>
      </c>
      <c r="CA458" s="43">
        <v>14</v>
      </c>
      <c r="CB458" s="43">
        <v>18</v>
      </c>
      <c r="CC458" s="43">
        <v>12</v>
      </c>
      <c r="CD458" s="43">
        <v>14</v>
      </c>
      <c r="CE458" s="36">
        <f>SUM(CA458:CD458)</f>
        <v>58</v>
      </c>
      <c r="CF458" s="43">
        <v>13</v>
      </c>
      <c r="CG458" s="43">
        <v>12</v>
      </c>
      <c r="CH458" s="43">
        <v>9</v>
      </c>
      <c r="CI458" s="43">
        <v>11</v>
      </c>
      <c r="CJ458" s="36">
        <f>SUM(CF458:CI458)</f>
        <v>45</v>
      </c>
      <c r="CK458" s="369">
        <v>14</v>
      </c>
      <c r="CL458" s="43">
        <v>13</v>
      </c>
      <c r="CM458" s="43">
        <v>12</v>
      </c>
      <c r="CN458" s="43">
        <v>9</v>
      </c>
      <c r="CO458" s="36">
        <f>SUM(CK458:CN458)</f>
        <v>48</v>
      </c>
      <c r="CP458" s="43">
        <v>9</v>
      </c>
      <c r="CQ458" s="43">
        <v>9</v>
      </c>
      <c r="CR458" s="43">
        <v>7</v>
      </c>
      <c r="CS458" s="43">
        <v>24</v>
      </c>
      <c r="CT458" s="36">
        <f>SUM(CP458:CS458)</f>
        <v>49</v>
      </c>
      <c r="CU458" s="43">
        <v>6</v>
      </c>
      <c r="CV458" s="43">
        <f>+CQ458*(1+CV459)</f>
        <v>9</v>
      </c>
      <c r="CW458" s="43">
        <f>+CR458*(1+CW459)</f>
        <v>7</v>
      </c>
      <c r="CX458" s="43">
        <f>+CS458*(1+CX459)</f>
        <v>24</v>
      </c>
      <c r="CY458" s="36">
        <f>SUM(CU458:CX458)</f>
        <v>46</v>
      </c>
      <c r="CZ458" s="43">
        <f>+CU458*(1+CZ459)</f>
        <v>6</v>
      </c>
      <c r="DA458" s="43">
        <f>+CV458*(1+DA459)</f>
        <v>9</v>
      </c>
      <c r="DB458" s="43">
        <f>+CW458*(1+DB459)</f>
        <v>7</v>
      </c>
      <c r="DC458" s="43">
        <f>+CX458*(1+DC459)</f>
        <v>24</v>
      </c>
      <c r="DD458" s="36">
        <f>SUM(CZ458:DC458)</f>
        <v>46</v>
      </c>
      <c r="DE458" s="43">
        <f>+CZ458*(1+DE459)</f>
        <v>6</v>
      </c>
      <c r="DF458" s="43">
        <f>+DA458*(1+DF459)</f>
        <v>9</v>
      </c>
      <c r="DG458" s="43">
        <f>+DB458*(1+DG459)</f>
        <v>7</v>
      </c>
      <c r="DH458" s="43">
        <f>+DC458*(1+DH459)</f>
        <v>24</v>
      </c>
      <c r="DI458" s="36">
        <f>SUM(DE458:DH458)</f>
        <v>46</v>
      </c>
    </row>
    <row r="459" spans="1:113" ht="12" customHeight="1">
      <c r="A459" s="219" t="str">
        <f t="shared" si="1336"/>
        <v xml:space="preserve"> </v>
      </c>
      <c r="B459" s="491" t="s">
        <v>171</v>
      </c>
      <c r="C459" s="492"/>
      <c r="D459" s="522"/>
      <c r="E459" s="492"/>
      <c r="F459" s="522"/>
      <c r="G459" s="492"/>
      <c r="H459" s="522"/>
      <c r="I459" s="492"/>
      <c r="J459" s="522"/>
      <c r="K459" s="492"/>
      <c r="L459" s="522"/>
      <c r="M459" s="492"/>
      <c r="N459" s="522"/>
      <c r="O459" s="492"/>
      <c r="P459" s="522"/>
      <c r="Q459" s="492"/>
      <c r="R459" s="378" t="s">
        <v>126</v>
      </c>
      <c r="S459" s="522" t="s">
        <v>126</v>
      </c>
      <c r="T459" s="522" t="s">
        <v>126</v>
      </c>
      <c r="U459" s="522" t="s">
        <v>126</v>
      </c>
      <c r="V459" s="492" t="s">
        <v>126</v>
      </c>
      <c r="W459" s="52">
        <f>+W458/R458-1</f>
        <v>6.4516129032258007E-2</v>
      </c>
      <c r="X459" s="52">
        <f>+X458/S458-1</f>
        <v>4.1666666666666741E-2</v>
      </c>
      <c r="Y459" s="52">
        <f>+Y458/T458-1</f>
        <v>0.22727272727272729</v>
      </c>
      <c r="Z459" s="52">
        <f>+Z458/U458-1</f>
        <v>-0.10344827586206895</v>
      </c>
      <c r="AA459" s="112">
        <f>+AA458/V458-1</f>
        <v>4.7169811320754818E-2</v>
      </c>
      <c r="AB459" s="112"/>
      <c r="AC459" s="52">
        <f>+AC458/W458-1</f>
        <v>-0.18181818181818177</v>
      </c>
      <c r="AD459" s="52">
        <f>+AD458/X458-1</f>
        <v>0.12000000000000011</v>
      </c>
      <c r="AE459" s="52">
        <f>+AE458/Y458-1</f>
        <v>7.4074074074074181E-2</v>
      </c>
      <c r="AF459" s="52">
        <f>+AF458/Z458-1</f>
        <v>0.19230769230769229</v>
      </c>
      <c r="AG459" s="112">
        <f>+AG458/AA458-1</f>
        <v>3.6036036036036112E-2</v>
      </c>
      <c r="AH459" s="52">
        <f t="shared" ref="AH459:CC459" si="1409">+AH458/AC458-1</f>
        <v>0.18518518518518512</v>
      </c>
      <c r="AI459" s="52">
        <f t="shared" si="1409"/>
        <v>0.10714285714285721</v>
      </c>
      <c r="AJ459" s="52">
        <f t="shared" si="1409"/>
        <v>-0.10344827586206895</v>
      </c>
      <c r="AK459" s="52">
        <f t="shared" si="1409"/>
        <v>0.16129032258064524</v>
      </c>
      <c r="AL459" s="112">
        <f t="shared" si="1409"/>
        <v>8.6956521739130377E-2</v>
      </c>
      <c r="AM459" s="52">
        <f t="shared" si="1409"/>
        <v>-9.375E-2</v>
      </c>
      <c r="AN459" s="52">
        <f t="shared" si="1409"/>
        <v>-9.6774193548387122E-2</v>
      </c>
      <c r="AO459" s="52">
        <f t="shared" si="1409"/>
        <v>7.6923076923076872E-2</v>
      </c>
      <c r="AP459" s="52">
        <f t="shared" si="1409"/>
        <v>-0.16666666666666663</v>
      </c>
      <c r="AQ459" s="112">
        <f t="shared" si="1409"/>
        <v>-7.999999999999996E-2</v>
      </c>
      <c r="AR459" s="52">
        <f t="shared" si="1409"/>
        <v>-0.10344827586206895</v>
      </c>
      <c r="AS459" s="52">
        <f t="shared" si="1409"/>
        <v>-0.3571428571428571</v>
      </c>
      <c r="AT459" s="52">
        <f t="shared" si="1409"/>
        <v>-0.3928571428571429</v>
      </c>
      <c r="AU459" s="52">
        <f t="shared" si="1409"/>
        <v>-0.6</v>
      </c>
      <c r="AV459" s="112">
        <f t="shared" si="1409"/>
        <v>-0.36521739130434783</v>
      </c>
      <c r="AW459" s="52">
        <f t="shared" si="1409"/>
        <v>-0.42307692307692313</v>
      </c>
      <c r="AX459" s="52">
        <f t="shared" si="1409"/>
        <v>0.16666666666666674</v>
      </c>
      <c r="AY459" s="52">
        <f t="shared" si="1409"/>
        <v>0.11764705882352944</v>
      </c>
      <c r="AZ459" s="52">
        <f t="shared" si="1409"/>
        <v>0.5</v>
      </c>
      <c r="BA459" s="112">
        <f t="shared" si="1409"/>
        <v>0</v>
      </c>
      <c r="BB459" s="52">
        <f t="shared" si="1409"/>
        <v>0.33333333333333326</v>
      </c>
      <c r="BC459" s="52">
        <f t="shared" si="1409"/>
        <v>9.5238095238095344E-2</v>
      </c>
      <c r="BD459" s="52">
        <f t="shared" si="1409"/>
        <v>0.10526315789473695</v>
      </c>
      <c r="BE459" s="52">
        <f t="shared" si="1409"/>
        <v>0.33333333333333326</v>
      </c>
      <c r="BF459" s="112">
        <f>+BF458/BA458-1</f>
        <v>0.20547945205479445</v>
      </c>
      <c r="BG459" s="52">
        <f t="shared" si="1409"/>
        <v>-0.19999999999999996</v>
      </c>
      <c r="BH459" s="52">
        <f t="shared" si="1409"/>
        <v>-0.60869565217391308</v>
      </c>
      <c r="BI459" s="52">
        <f t="shared" si="1409"/>
        <v>-0.61904761904761907</v>
      </c>
      <c r="BJ459" s="52">
        <f t="shared" si="1409"/>
        <v>-0.625</v>
      </c>
      <c r="BK459" s="112">
        <f>+BK458/BF458-1</f>
        <v>-0.52272727272727271</v>
      </c>
      <c r="BL459" s="52">
        <f t="shared" si="1409"/>
        <v>-0.625</v>
      </c>
      <c r="BM459" s="52">
        <f t="shared" si="1409"/>
        <v>0.11111111111111116</v>
      </c>
      <c r="BN459" s="52">
        <f t="shared" si="1409"/>
        <v>0</v>
      </c>
      <c r="BO459" s="52">
        <f t="shared" si="1409"/>
        <v>-0.33333333333333337</v>
      </c>
      <c r="BP459" s="112">
        <f>+BP458/BK458-1</f>
        <v>-0.2857142857142857</v>
      </c>
      <c r="BQ459" s="52">
        <f t="shared" si="1409"/>
        <v>-0.33333333333333337</v>
      </c>
      <c r="BR459" s="52">
        <f t="shared" si="1409"/>
        <v>-0.19999999999999996</v>
      </c>
      <c r="BS459" s="52">
        <f t="shared" si="1409"/>
        <v>-0.25</v>
      </c>
      <c r="BT459" s="52">
        <f t="shared" si="1409"/>
        <v>0.16666666666666674</v>
      </c>
      <c r="BU459" s="112">
        <f>+BU458/BP458-1</f>
        <v>-0.16666666666666663</v>
      </c>
      <c r="BV459" s="52">
        <f t="shared" si="1409"/>
        <v>0.75</v>
      </c>
      <c r="BW459" s="52">
        <f t="shared" si="1409"/>
        <v>-0.25</v>
      </c>
      <c r="BX459" s="52">
        <f t="shared" si="1409"/>
        <v>5.833333333333333</v>
      </c>
      <c r="BY459" s="52">
        <f t="shared" si="1409"/>
        <v>5.8571428571428568</v>
      </c>
      <c r="BZ459" s="112">
        <f>+BZ458/BU458-1</f>
        <v>3.08</v>
      </c>
      <c r="CA459" s="52">
        <f t="shared" si="1409"/>
        <v>1</v>
      </c>
      <c r="CB459" s="52">
        <f t="shared" si="1409"/>
        <v>2</v>
      </c>
      <c r="CC459" s="52">
        <f t="shared" si="1409"/>
        <v>-0.70731707317073167</v>
      </c>
      <c r="CD459" s="52">
        <f t="shared" ref="CD459" si="1410">+CD458/BY458-1</f>
        <v>-0.70833333333333326</v>
      </c>
      <c r="CE459" s="112">
        <f>+CE458/BZ458-1</f>
        <v>-0.43137254901960786</v>
      </c>
      <c r="CF459" s="52">
        <f t="shared" ref="CF459:CK459" si="1411">+CF458/CA458-1</f>
        <v>-7.1428571428571397E-2</v>
      </c>
      <c r="CG459" s="52">
        <f t="shared" si="1411"/>
        <v>-0.33333333333333337</v>
      </c>
      <c r="CH459" s="52">
        <f t="shared" si="1411"/>
        <v>-0.25</v>
      </c>
      <c r="CI459" s="114">
        <f t="shared" si="1411"/>
        <v>-0.2142857142857143</v>
      </c>
      <c r="CJ459" s="112">
        <f>+CJ458/CE458-1</f>
        <v>-0.22413793103448276</v>
      </c>
      <c r="CK459" s="52">
        <f t="shared" si="1411"/>
        <v>7.6923076923076872E-2</v>
      </c>
      <c r="CL459" s="52">
        <f t="shared" ref="CL459:CN459" si="1412">+CL458/CG458-1</f>
        <v>8.3333333333333259E-2</v>
      </c>
      <c r="CM459" s="52">
        <f t="shared" si="1412"/>
        <v>0.33333333333333326</v>
      </c>
      <c r="CN459" s="52">
        <f t="shared" si="1412"/>
        <v>-0.18181818181818177</v>
      </c>
      <c r="CO459" s="112">
        <f>+CO458/CJ458-1</f>
        <v>6.6666666666666652E-2</v>
      </c>
      <c r="CP459" s="52">
        <f t="shared" ref="CP459:CU459" si="1413">+CP458/CK458-1</f>
        <v>-0.3571428571428571</v>
      </c>
      <c r="CQ459" s="52">
        <f t="shared" si="1413"/>
        <v>-0.30769230769230771</v>
      </c>
      <c r="CR459" s="52">
        <f t="shared" si="1413"/>
        <v>-0.41666666666666663</v>
      </c>
      <c r="CS459" s="52">
        <f t="shared" si="1413"/>
        <v>1.6666666666666665</v>
      </c>
      <c r="CT459" s="112">
        <f>+CT458/CO458-1</f>
        <v>2.0833333333333259E-2</v>
      </c>
      <c r="CU459" s="52">
        <f t="shared" si="1413"/>
        <v>-0.33333333333333337</v>
      </c>
      <c r="CV459" s="53">
        <v>0</v>
      </c>
      <c r="CW459" s="53">
        <v>0</v>
      </c>
      <c r="CX459" s="53">
        <v>0</v>
      </c>
      <c r="CY459" s="112">
        <f>+CY458/CT458-1</f>
        <v>-6.1224489795918324E-2</v>
      </c>
      <c r="CZ459" s="53">
        <v>0</v>
      </c>
      <c r="DA459" s="53">
        <v>0</v>
      </c>
      <c r="DB459" s="53">
        <v>0</v>
      </c>
      <c r="DC459" s="53">
        <v>0</v>
      </c>
      <c r="DD459" s="112">
        <f>+DD458/CY458-1</f>
        <v>0</v>
      </c>
      <c r="DE459" s="53">
        <v>0</v>
      </c>
      <c r="DF459" s="53">
        <v>0</v>
      </c>
      <c r="DG459" s="53">
        <v>0</v>
      </c>
      <c r="DH459" s="53">
        <v>0</v>
      </c>
      <c r="DI459" s="112">
        <f>+DI458/DD458-1</f>
        <v>0</v>
      </c>
    </row>
    <row r="460" spans="1:113" ht="12" hidden="1" customHeight="1" outlineLevel="1">
      <c r="A460" s="219"/>
      <c r="B460" s="17"/>
      <c r="C460" s="79"/>
      <c r="D460" s="6"/>
      <c r="E460" s="79"/>
      <c r="F460" s="6"/>
      <c r="G460" s="79"/>
      <c r="H460" s="6"/>
      <c r="I460" s="79"/>
      <c r="J460" s="6"/>
      <c r="K460" s="79"/>
      <c r="L460" s="6"/>
      <c r="M460" s="79"/>
      <c r="N460" s="6"/>
      <c r="O460" s="79"/>
      <c r="P460" s="6"/>
      <c r="Q460" s="79"/>
      <c r="R460" s="6"/>
      <c r="S460" s="6"/>
      <c r="T460" s="6"/>
      <c r="U460" s="6"/>
      <c r="V460" s="79"/>
      <c r="W460" s="6"/>
      <c r="X460" s="6"/>
      <c r="Y460" s="6"/>
      <c r="Z460" s="6"/>
      <c r="AA460" s="79"/>
      <c r="AB460" s="79"/>
      <c r="AC460" s="6"/>
      <c r="AD460" s="6"/>
      <c r="AE460" s="6"/>
      <c r="AF460" s="6"/>
      <c r="AG460" s="79"/>
      <c r="AH460" s="6"/>
      <c r="AI460" s="6"/>
      <c r="AJ460" s="6"/>
      <c r="AK460" s="6"/>
      <c r="AL460" s="79"/>
      <c r="AM460" s="6"/>
      <c r="AN460" s="6"/>
      <c r="AO460" s="6"/>
      <c r="AP460" s="6"/>
      <c r="AQ460" s="79"/>
      <c r="AR460" s="6"/>
      <c r="AS460" s="6"/>
      <c r="AT460" s="6"/>
      <c r="AU460" s="6"/>
      <c r="AV460" s="79"/>
      <c r="AW460" s="6"/>
      <c r="AX460" s="6"/>
      <c r="AY460" s="6"/>
      <c r="AZ460" s="6"/>
      <c r="BA460" s="79"/>
      <c r="BB460" s="6"/>
      <c r="BC460" s="6"/>
      <c r="BD460" s="6"/>
      <c r="BE460" s="6"/>
      <c r="BF460" s="79"/>
      <c r="BG460" s="6"/>
      <c r="BH460" s="6"/>
      <c r="BI460" s="6"/>
      <c r="BJ460" s="6"/>
      <c r="BK460" s="79"/>
      <c r="BL460" s="6"/>
      <c r="BM460" s="6"/>
      <c r="BN460" s="6"/>
      <c r="BO460" s="6"/>
      <c r="BP460" s="79"/>
      <c r="BQ460" s="6"/>
      <c r="BR460" s="6"/>
      <c r="BS460" s="6"/>
      <c r="BT460" s="6"/>
      <c r="BU460" s="79"/>
      <c r="BV460" s="6"/>
      <c r="BW460" s="6"/>
      <c r="BX460" s="6"/>
      <c r="BY460" s="6"/>
      <c r="BZ460" s="79"/>
      <c r="CA460" s="6"/>
      <c r="CB460" s="6"/>
      <c r="CC460" s="6"/>
      <c r="CD460" s="6"/>
      <c r="CE460" s="79"/>
      <c r="CF460" s="6"/>
      <c r="CG460" s="6"/>
      <c r="CH460" s="6"/>
      <c r="CI460" s="6"/>
      <c r="CJ460" s="79"/>
      <c r="CK460" s="6"/>
      <c r="CL460" s="6"/>
      <c r="CM460" s="6"/>
      <c r="CN460" s="6"/>
      <c r="CO460" s="79"/>
      <c r="CP460" s="6"/>
      <c r="CS460" s="591"/>
      <c r="CT460" s="590"/>
      <c r="CU460" s="591"/>
      <c r="CV460" s="591"/>
      <c r="CW460" s="591"/>
      <c r="CX460" s="591"/>
      <c r="CY460" s="590"/>
      <c r="CZ460" s="591"/>
      <c r="DA460" s="591"/>
      <c r="DB460" s="6"/>
      <c r="DC460" s="6"/>
      <c r="DD460" s="79"/>
      <c r="DE460" s="591"/>
      <c r="DF460" s="591"/>
      <c r="DG460" s="6"/>
      <c r="DH460" s="6"/>
      <c r="DI460" s="79"/>
    </row>
    <row r="461" spans="1:113" ht="12" hidden="1" customHeight="1" outlineLevel="1">
      <c r="A461" s="219"/>
      <c r="B461" s="17" t="s">
        <v>421</v>
      </c>
      <c r="C461" s="79"/>
      <c r="D461" s="6"/>
      <c r="E461" s="79"/>
      <c r="F461" s="6"/>
      <c r="G461" s="79"/>
      <c r="H461" s="6"/>
      <c r="I461" s="79"/>
      <c r="J461" s="6"/>
      <c r="K461" s="79"/>
      <c r="L461" s="6"/>
      <c r="M461" s="79"/>
      <c r="N461" s="6"/>
      <c r="O461" s="79"/>
      <c r="P461" s="6"/>
      <c r="Q461" s="79"/>
      <c r="R461" s="6"/>
      <c r="S461" s="6"/>
      <c r="T461" s="6"/>
      <c r="U461" s="6"/>
      <c r="V461" s="79"/>
      <c r="W461" s="6"/>
      <c r="X461" s="6"/>
      <c r="Y461" s="6"/>
      <c r="Z461" s="6"/>
      <c r="AA461" s="79"/>
      <c r="AB461" s="79"/>
      <c r="AC461" s="6"/>
      <c r="AD461" s="6"/>
      <c r="AE461" s="6"/>
      <c r="AF461" s="6"/>
      <c r="AG461" s="79"/>
      <c r="AH461" s="6"/>
      <c r="AI461" s="6"/>
      <c r="AJ461" s="6"/>
      <c r="AK461" s="6"/>
      <c r="AL461" s="79"/>
      <c r="AM461" s="6"/>
      <c r="AN461" s="6"/>
      <c r="AO461" s="6"/>
      <c r="AP461" s="6"/>
      <c r="AQ461" s="79"/>
      <c r="AR461" s="6"/>
      <c r="AS461" s="6"/>
      <c r="AT461" s="6"/>
      <c r="AU461" s="6"/>
      <c r="AV461" s="79"/>
      <c r="AW461" s="6"/>
      <c r="AX461" s="6"/>
      <c r="AY461" s="6"/>
      <c r="AZ461" s="6"/>
      <c r="BA461" s="79"/>
      <c r="BB461" s="6"/>
      <c r="BC461" s="6"/>
      <c r="BD461" s="6"/>
      <c r="BE461" s="6"/>
      <c r="BF461" s="79"/>
      <c r="BG461" s="6"/>
      <c r="BH461" s="6"/>
      <c r="BI461" s="6"/>
      <c r="BJ461" s="6"/>
      <c r="BK461" s="79"/>
      <c r="BL461" s="6"/>
      <c r="BM461" s="6"/>
      <c r="BN461" s="6"/>
      <c r="BO461" s="6"/>
      <c r="BP461" s="79"/>
      <c r="BQ461" s="6"/>
      <c r="BR461" s="6"/>
      <c r="BS461" s="6"/>
      <c r="BT461" s="6"/>
      <c r="BU461" s="79"/>
      <c r="BV461" s="6"/>
      <c r="BW461" s="6"/>
      <c r="BX461" s="6"/>
      <c r="BY461" s="6"/>
      <c r="BZ461" s="79"/>
      <c r="CA461" s="6"/>
      <c r="CB461" s="6"/>
      <c r="CC461" s="6"/>
      <c r="CD461" s="6"/>
      <c r="CE461" s="36">
        <v>-458</v>
      </c>
      <c r="CF461" s="43"/>
      <c r="CG461" s="43"/>
      <c r="CH461" s="43"/>
      <c r="CI461" s="43"/>
      <c r="CJ461" s="36">
        <v>-557</v>
      </c>
      <c r="CK461" s="43">
        <v>-139</v>
      </c>
      <c r="CL461" s="43">
        <v>-134</v>
      </c>
      <c r="CM461" s="43">
        <v>-136</v>
      </c>
      <c r="CN461" s="43">
        <f>CO461-CM461-CL461-CK461</f>
        <v>-177</v>
      </c>
      <c r="CO461" s="36">
        <v>-586</v>
      </c>
      <c r="CP461" s="43">
        <v>-159</v>
      </c>
      <c r="CQ461" s="43">
        <v>-143</v>
      </c>
      <c r="CR461" s="43">
        <v>-153</v>
      </c>
      <c r="CS461" s="43">
        <f>CT461-CR461-CQ461-CP461</f>
        <v>-149</v>
      </c>
      <c r="CT461" s="36">
        <v>-604</v>
      </c>
      <c r="CU461" s="43"/>
      <c r="CV461" s="43"/>
      <c r="CW461" s="43"/>
      <c r="CX461" s="43"/>
      <c r="CY461" s="36"/>
      <c r="CZ461" s="43"/>
      <c r="DA461" s="43"/>
      <c r="DB461" s="43"/>
      <c r="DC461" s="43"/>
      <c r="DD461" s="36"/>
      <c r="DE461" s="43"/>
      <c r="DF461" s="43"/>
      <c r="DG461" s="43"/>
      <c r="DH461" s="43"/>
      <c r="DI461" s="36"/>
    </row>
    <row r="462" spans="1:113" ht="12" hidden="1" customHeight="1" outlineLevel="1">
      <c r="A462" s="219"/>
      <c r="B462" s="491" t="s">
        <v>348</v>
      </c>
      <c r="C462" s="79"/>
      <c r="D462" s="6"/>
      <c r="E462" s="79"/>
      <c r="F462" s="6"/>
      <c r="G462" s="79"/>
      <c r="H462" s="6"/>
      <c r="I462" s="79"/>
      <c r="J462" s="6"/>
      <c r="K462" s="79"/>
      <c r="L462" s="6"/>
      <c r="M462" s="79"/>
      <c r="N462" s="6"/>
      <c r="O462" s="79"/>
      <c r="P462" s="6"/>
      <c r="Q462" s="79"/>
      <c r="R462" s="6"/>
      <c r="S462" s="6"/>
      <c r="T462" s="6"/>
      <c r="U462" s="6"/>
      <c r="V462" s="79"/>
      <c r="W462" s="6"/>
      <c r="X462" s="6"/>
      <c r="Y462" s="6"/>
      <c r="Z462" s="6"/>
      <c r="AA462" s="79"/>
      <c r="AB462" s="79"/>
      <c r="AC462" s="6"/>
      <c r="AD462" s="6"/>
      <c r="AE462" s="6"/>
      <c r="AF462" s="6"/>
      <c r="AG462" s="79"/>
      <c r="AH462" s="6"/>
      <c r="AI462" s="6"/>
      <c r="AJ462" s="6"/>
      <c r="AK462" s="6"/>
      <c r="AL462" s="79"/>
      <c r="AM462" s="6"/>
      <c r="AN462" s="6"/>
      <c r="AO462" s="6"/>
      <c r="AP462" s="6"/>
      <c r="AQ462" s="79"/>
      <c r="AR462" s="6"/>
      <c r="AS462" s="6"/>
      <c r="AT462" s="6"/>
      <c r="AU462" s="6"/>
      <c r="AV462" s="79"/>
      <c r="AW462" s="6"/>
      <c r="AX462" s="6"/>
      <c r="AY462" s="6"/>
      <c r="AZ462" s="6"/>
      <c r="BA462" s="79"/>
      <c r="BB462" s="6"/>
      <c r="BC462" s="6"/>
      <c r="BD462" s="6"/>
      <c r="BE462" s="6"/>
      <c r="BF462" s="79"/>
      <c r="BG462" s="6"/>
      <c r="BH462" s="6"/>
      <c r="BI462" s="6"/>
      <c r="BJ462" s="6"/>
      <c r="BK462" s="79"/>
      <c r="BL462" s="6"/>
      <c r="BM462" s="6"/>
      <c r="BN462" s="6"/>
      <c r="BO462" s="6"/>
      <c r="BP462" s="79"/>
      <c r="BQ462" s="6"/>
      <c r="BR462" s="6"/>
      <c r="BS462" s="6"/>
      <c r="BT462" s="6"/>
      <c r="BU462" s="79"/>
      <c r="BV462" s="6"/>
      <c r="BW462" s="6"/>
      <c r="BX462" s="6"/>
      <c r="BY462" s="6"/>
      <c r="BZ462" s="79"/>
      <c r="CA462" s="6"/>
      <c r="CB462" s="6"/>
      <c r="CC462" s="6"/>
      <c r="CD462" s="6"/>
      <c r="CE462" s="232" t="s">
        <v>126</v>
      </c>
      <c r="CF462" s="27"/>
      <c r="CG462" s="27"/>
      <c r="CH462" s="27"/>
      <c r="CI462" s="27"/>
      <c r="CJ462" s="112">
        <f>CJ461/CE461-1</f>
        <v>0.21615720524017457</v>
      </c>
      <c r="CK462" s="213" t="s">
        <v>126</v>
      </c>
      <c r="CL462" s="213" t="s">
        <v>126</v>
      </c>
      <c r="CM462" s="213" t="s">
        <v>126</v>
      </c>
      <c r="CN462" s="213" t="s">
        <v>126</v>
      </c>
      <c r="CO462" s="112">
        <f t="shared" ref="CO462:CT462" si="1414">CO461/CJ461-1</f>
        <v>5.2064631956912022E-2</v>
      </c>
      <c r="CP462" s="27">
        <f t="shared" si="1414"/>
        <v>0.14388489208633093</v>
      </c>
      <c r="CQ462" s="27">
        <f t="shared" si="1414"/>
        <v>6.7164179104477695E-2</v>
      </c>
      <c r="CR462" s="27">
        <f t="shared" si="1414"/>
        <v>0.125</v>
      </c>
      <c r="CS462" s="27">
        <f t="shared" si="1414"/>
        <v>-0.15819209039548021</v>
      </c>
      <c r="CT462" s="112">
        <f t="shared" si="1414"/>
        <v>3.0716723549488067E-2</v>
      </c>
      <c r="CU462" s="27"/>
      <c r="CV462" s="27"/>
      <c r="CW462" s="27"/>
      <c r="CX462" s="27"/>
      <c r="CY462" s="112"/>
      <c r="CZ462" s="27"/>
      <c r="DA462" s="27"/>
      <c r="DB462" s="27"/>
      <c r="DC462" s="27"/>
      <c r="DD462" s="112"/>
      <c r="DE462" s="27"/>
      <c r="DF462" s="27"/>
      <c r="DG462" s="27"/>
      <c r="DH462" s="27"/>
      <c r="DI462" s="112"/>
    </row>
    <row r="463" spans="1:113" ht="12" hidden="1" customHeight="1" outlineLevel="1">
      <c r="A463" s="219"/>
      <c r="B463" s="491"/>
      <c r="C463" s="79"/>
      <c r="D463" s="6"/>
      <c r="E463" s="79"/>
      <c r="F463" s="6"/>
      <c r="G463" s="79"/>
      <c r="H463" s="6"/>
      <c r="I463" s="79"/>
      <c r="J463" s="6"/>
      <c r="K463" s="79"/>
      <c r="L463" s="6"/>
      <c r="M463" s="79"/>
      <c r="N463" s="6"/>
      <c r="O463" s="79"/>
      <c r="P463" s="6"/>
      <c r="Q463" s="79"/>
      <c r="R463" s="6"/>
      <c r="S463" s="6"/>
      <c r="T463" s="6"/>
      <c r="U463" s="6"/>
      <c r="V463" s="79"/>
      <c r="W463" s="6"/>
      <c r="X463" s="6"/>
      <c r="Y463" s="6"/>
      <c r="Z463" s="6"/>
      <c r="AA463" s="79"/>
      <c r="AB463" s="79"/>
      <c r="AC463" s="6"/>
      <c r="AD463" s="6"/>
      <c r="AE463" s="6"/>
      <c r="AF463" s="6"/>
      <c r="AG463" s="79"/>
      <c r="AH463" s="6"/>
      <c r="AI463" s="6"/>
      <c r="AJ463" s="6"/>
      <c r="AK463" s="6"/>
      <c r="AL463" s="79"/>
      <c r="AM463" s="6"/>
      <c r="AN463" s="6"/>
      <c r="AO463" s="6"/>
      <c r="AP463" s="6"/>
      <c r="AQ463" s="79"/>
      <c r="AR463" s="6"/>
      <c r="AS463" s="6"/>
      <c r="AT463" s="6"/>
      <c r="AU463" s="6"/>
      <c r="AV463" s="79"/>
      <c r="AW463" s="6"/>
      <c r="AX463" s="6"/>
      <c r="AY463" s="6"/>
      <c r="AZ463" s="6"/>
      <c r="BA463" s="79"/>
      <c r="BB463" s="6"/>
      <c r="BC463" s="6"/>
      <c r="BD463" s="6"/>
      <c r="BE463" s="6"/>
      <c r="BF463" s="79"/>
      <c r="BG463" s="6"/>
      <c r="BH463" s="6"/>
      <c r="BI463" s="6"/>
      <c r="BJ463" s="6"/>
      <c r="BK463" s="79"/>
      <c r="BL463" s="6"/>
      <c r="BM463" s="6"/>
      <c r="BN463" s="6"/>
      <c r="BO463" s="6"/>
      <c r="BP463" s="79"/>
      <c r="BQ463" s="6"/>
      <c r="BR463" s="6"/>
      <c r="BS463" s="6"/>
      <c r="BT463" s="6"/>
      <c r="BU463" s="79"/>
      <c r="BV463" s="6"/>
      <c r="BW463" s="6"/>
      <c r="BX463" s="6"/>
      <c r="BY463" s="6"/>
      <c r="BZ463" s="79"/>
      <c r="CA463" s="6"/>
      <c r="CB463" s="6"/>
      <c r="CC463" s="6"/>
      <c r="CD463" s="6"/>
      <c r="CE463" s="79"/>
      <c r="CF463" s="6"/>
      <c r="CG463" s="6"/>
      <c r="CH463" s="6"/>
      <c r="CI463" s="6"/>
      <c r="CJ463" s="79"/>
      <c r="CK463" s="6"/>
      <c r="CL463" s="6"/>
      <c r="CM463" s="6"/>
      <c r="CN463" s="6"/>
      <c r="CO463" s="79"/>
      <c r="CP463" s="6"/>
      <c r="CQ463" s="6"/>
      <c r="CR463" s="6"/>
      <c r="CS463" s="6"/>
      <c r="CT463" s="79"/>
      <c r="CU463" s="591"/>
      <c r="CV463" s="591"/>
      <c r="CW463" s="591"/>
      <c r="CX463" s="591"/>
      <c r="CY463" s="590"/>
      <c r="CZ463" s="591"/>
      <c r="DA463" s="591"/>
      <c r="DB463" s="6"/>
      <c r="DC463" s="6"/>
      <c r="DD463" s="79"/>
      <c r="DE463" s="591"/>
      <c r="DF463" s="591"/>
      <c r="DG463" s="6"/>
      <c r="DH463" s="6"/>
      <c r="DI463" s="79"/>
    </row>
    <row r="464" spans="1:113" ht="12" hidden="1" customHeight="1" outlineLevel="1">
      <c r="A464" s="219"/>
      <c r="B464" s="555" t="s">
        <v>422</v>
      </c>
      <c r="C464" s="79"/>
      <c r="D464" s="6"/>
      <c r="E464" s="79"/>
      <c r="F464" s="6"/>
      <c r="G464" s="79"/>
      <c r="H464" s="6"/>
      <c r="I464" s="79"/>
      <c r="J464" s="6"/>
      <c r="K464" s="79"/>
      <c r="L464" s="6"/>
      <c r="M464" s="79"/>
      <c r="N464" s="6"/>
      <c r="O464" s="79"/>
      <c r="P464" s="6"/>
      <c r="Q464" s="79"/>
      <c r="R464" s="6"/>
      <c r="S464" s="6"/>
      <c r="T464" s="6"/>
      <c r="U464" s="6"/>
      <c r="V464" s="79"/>
      <c r="W464" s="6"/>
      <c r="X464" s="6"/>
      <c r="Y464" s="6"/>
      <c r="Z464" s="6"/>
      <c r="AA464" s="79"/>
      <c r="AB464" s="79"/>
      <c r="AC464" s="6"/>
      <c r="AD464" s="6"/>
      <c r="AE464" s="6"/>
      <c r="AF464" s="6"/>
      <c r="AG464" s="79"/>
      <c r="AH464" s="6"/>
      <c r="AI464" s="6"/>
      <c r="AJ464" s="6"/>
      <c r="AK464" s="6"/>
      <c r="AL464" s="79"/>
      <c r="AM464" s="6"/>
      <c r="AN464" s="6"/>
      <c r="AO464" s="6"/>
      <c r="AP464" s="6"/>
      <c r="AQ464" s="79"/>
      <c r="AR464" s="6"/>
      <c r="AS464" s="6"/>
      <c r="AT464" s="6"/>
      <c r="AU464" s="6"/>
      <c r="AV464" s="79"/>
      <c r="AW464" s="6"/>
      <c r="AX464" s="6"/>
      <c r="AY464" s="6"/>
      <c r="AZ464" s="6"/>
      <c r="BA464" s="79"/>
      <c r="BB464" s="6"/>
      <c r="BC464" s="6"/>
      <c r="BD464" s="6"/>
      <c r="BE464" s="6"/>
      <c r="BF464" s="79"/>
      <c r="BG464" s="6"/>
      <c r="BH464" s="6"/>
      <c r="BI464" s="6"/>
      <c r="BJ464" s="6"/>
      <c r="BK464" s="79"/>
      <c r="BL464" s="6"/>
      <c r="BM464" s="6"/>
      <c r="BN464" s="6"/>
      <c r="BO464" s="6"/>
      <c r="BP464" s="79"/>
      <c r="BQ464" s="6"/>
      <c r="BR464" s="6"/>
      <c r="BS464" s="6"/>
      <c r="BT464" s="6"/>
      <c r="BU464" s="79"/>
      <c r="BV464" s="6"/>
      <c r="BW464" s="6"/>
      <c r="BX464" s="6"/>
      <c r="BY464" s="6"/>
      <c r="BZ464" s="79"/>
      <c r="CA464" s="6"/>
      <c r="CB464" s="6"/>
      <c r="CC464" s="6"/>
      <c r="CD464" s="6"/>
      <c r="CE464" s="36">
        <v>-511</v>
      </c>
      <c r="CF464" s="43"/>
      <c r="CG464" s="43"/>
      <c r="CH464" s="43"/>
      <c r="CI464" s="43"/>
      <c r="CJ464" s="36">
        <v>-596</v>
      </c>
      <c r="CK464" s="43">
        <v>-242</v>
      </c>
      <c r="CL464" s="43">
        <v>-147</v>
      </c>
      <c r="CM464" s="43">
        <v>-158</v>
      </c>
      <c r="CN464" s="43">
        <f>CO464-CM464-CL464-CK464</f>
        <v>-169</v>
      </c>
      <c r="CO464" s="36">
        <v>-716</v>
      </c>
      <c r="CP464" s="43">
        <v>-203</v>
      </c>
      <c r="CQ464" s="43">
        <v>-185</v>
      </c>
      <c r="CR464" s="43">
        <v>-170</v>
      </c>
      <c r="CS464" s="43">
        <f>CT464-CR464-CQ464-CP464</f>
        <v>-205</v>
      </c>
      <c r="CT464" s="36">
        <v>-763</v>
      </c>
      <c r="CU464" s="43"/>
      <c r="CV464" s="43"/>
      <c r="CW464" s="43"/>
      <c r="CX464" s="43"/>
      <c r="CY464" s="36"/>
      <c r="CZ464" s="43"/>
      <c r="DA464" s="43"/>
      <c r="DB464" s="43"/>
      <c r="DC464" s="43"/>
      <c r="DD464" s="36"/>
      <c r="DE464" s="43"/>
      <c r="DF464" s="43"/>
      <c r="DG464" s="43"/>
      <c r="DH464" s="43"/>
      <c r="DI464" s="36"/>
    </row>
    <row r="465" spans="1:113" ht="12" hidden="1" customHeight="1" outlineLevel="1">
      <c r="A465" s="219"/>
      <c r="B465" s="597" t="s">
        <v>348</v>
      </c>
      <c r="C465" s="79"/>
      <c r="D465" s="6"/>
      <c r="E465" s="79"/>
      <c r="F465" s="6"/>
      <c r="G465" s="79"/>
      <c r="H465" s="6"/>
      <c r="I465" s="79"/>
      <c r="J465" s="6"/>
      <c r="K465" s="79"/>
      <c r="L465" s="6"/>
      <c r="M465" s="79"/>
      <c r="N465" s="6"/>
      <c r="O465" s="79"/>
      <c r="P465" s="6"/>
      <c r="Q465" s="79"/>
      <c r="R465" s="6"/>
      <c r="S465" s="6"/>
      <c r="T465" s="6"/>
      <c r="U465" s="6"/>
      <c r="V465" s="79"/>
      <c r="W465" s="6"/>
      <c r="X465" s="6"/>
      <c r="Y465" s="6"/>
      <c r="Z465" s="6"/>
      <c r="AA465" s="79"/>
      <c r="AB465" s="79"/>
      <c r="AC465" s="6"/>
      <c r="AD465" s="6"/>
      <c r="AE465" s="6"/>
      <c r="AF465" s="6"/>
      <c r="AG465" s="79"/>
      <c r="AH465" s="6"/>
      <c r="AI465" s="6"/>
      <c r="AJ465" s="6"/>
      <c r="AK465" s="6"/>
      <c r="AL465" s="79"/>
      <c r="AM465" s="6"/>
      <c r="AN465" s="6"/>
      <c r="AO465" s="6"/>
      <c r="AP465" s="6"/>
      <c r="AQ465" s="79"/>
      <c r="AR465" s="6"/>
      <c r="AS465" s="6"/>
      <c r="AT465" s="6"/>
      <c r="AU465" s="6"/>
      <c r="AV465" s="79"/>
      <c r="AW465" s="6"/>
      <c r="AX465" s="6"/>
      <c r="AY465" s="6"/>
      <c r="AZ465" s="6"/>
      <c r="BA465" s="79"/>
      <c r="BB465" s="6"/>
      <c r="BC465" s="6"/>
      <c r="BD465" s="6"/>
      <c r="BE465" s="6"/>
      <c r="BF465" s="79"/>
      <c r="BG465" s="6"/>
      <c r="BH465" s="6"/>
      <c r="BI465" s="6"/>
      <c r="BJ465" s="6"/>
      <c r="BK465" s="79"/>
      <c r="BL465" s="6"/>
      <c r="BM465" s="6"/>
      <c r="BN465" s="6"/>
      <c r="BO465" s="6"/>
      <c r="BP465" s="79"/>
      <c r="BQ465" s="6"/>
      <c r="BR465" s="6"/>
      <c r="BS465" s="6"/>
      <c r="BT465" s="6"/>
      <c r="BU465" s="79"/>
      <c r="BV465" s="6"/>
      <c r="BW465" s="6"/>
      <c r="BX465" s="6"/>
      <c r="BY465" s="6"/>
      <c r="BZ465" s="79"/>
      <c r="CA465" s="6"/>
      <c r="CB465" s="6"/>
      <c r="CC465" s="6"/>
      <c r="CD465" s="6"/>
      <c r="CE465" s="232" t="s">
        <v>126</v>
      </c>
      <c r="CF465" s="27"/>
      <c r="CG465" s="27"/>
      <c r="CH465" s="27"/>
      <c r="CI465" s="27"/>
      <c r="CJ465" s="112">
        <f>CJ464/CE464-1</f>
        <v>0.16634050880626217</v>
      </c>
      <c r="CK465" s="213" t="s">
        <v>126</v>
      </c>
      <c r="CL465" s="213" t="s">
        <v>126</v>
      </c>
      <c r="CM465" s="213" t="s">
        <v>126</v>
      </c>
      <c r="CN465" s="213" t="s">
        <v>126</v>
      </c>
      <c r="CO465" s="112">
        <f t="shared" ref="CO465:CT465" si="1415">CO464/CJ464-1</f>
        <v>0.20134228187919456</v>
      </c>
      <c r="CP465" s="27">
        <f t="shared" si="1415"/>
        <v>-0.16115702479338845</v>
      </c>
      <c r="CQ465" s="27">
        <f t="shared" si="1415"/>
        <v>0.25850340136054428</v>
      </c>
      <c r="CR465" s="27">
        <f t="shared" si="1415"/>
        <v>7.5949367088607556E-2</v>
      </c>
      <c r="CS465" s="27">
        <f t="shared" si="1415"/>
        <v>0.21301775147928992</v>
      </c>
      <c r="CT465" s="112">
        <f t="shared" si="1415"/>
        <v>6.5642458100558576E-2</v>
      </c>
      <c r="CU465" s="27"/>
      <c r="CV465" s="27"/>
      <c r="CW465" s="27"/>
      <c r="CX465" s="27"/>
      <c r="CY465" s="112"/>
      <c r="CZ465" s="27"/>
      <c r="DA465" s="27"/>
      <c r="DB465" s="27"/>
      <c r="DC465" s="27"/>
      <c r="DD465" s="112"/>
      <c r="DE465" s="27"/>
      <c r="DF465" s="27"/>
      <c r="DG465" s="27"/>
      <c r="DH465" s="27"/>
      <c r="DI465" s="112"/>
    </row>
    <row r="466" spans="1:113" ht="12" hidden="1" customHeight="1" outlineLevel="1">
      <c r="A466" s="219"/>
      <c r="B466" s="555" t="s">
        <v>423</v>
      </c>
      <c r="C466" s="79"/>
      <c r="D466" s="6"/>
      <c r="E466" s="79"/>
      <c r="F466" s="6"/>
      <c r="G466" s="79"/>
      <c r="H466" s="6"/>
      <c r="I466" s="79"/>
      <c r="J466" s="6"/>
      <c r="K466" s="79"/>
      <c r="L466" s="6"/>
      <c r="M466" s="79"/>
      <c r="N466" s="6"/>
      <c r="O466" s="79"/>
      <c r="P466" s="6"/>
      <c r="Q466" s="79"/>
      <c r="R466" s="6"/>
      <c r="S466" s="6"/>
      <c r="T466" s="6"/>
      <c r="U466" s="6"/>
      <c r="V466" s="79"/>
      <c r="W466" s="6"/>
      <c r="X466" s="6"/>
      <c r="Y466" s="6"/>
      <c r="Z466" s="6"/>
      <c r="AA466" s="79"/>
      <c r="AB466" s="79"/>
      <c r="AC466" s="6"/>
      <c r="AD466" s="6"/>
      <c r="AE466" s="6"/>
      <c r="AF466" s="6"/>
      <c r="AG466" s="79"/>
      <c r="AH466" s="6"/>
      <c r="AI466" s="6"/>
      <c r="AJ466" s="6"/>
      <c r="AK466" s="6"/>
      <c r="AL466" s="79"/>
      <c r="AM466" s="6"/>
      <c r="AN466" s="6"/>
      <c r="AO466" s="6"/>
      <c r="AP466" s="6"/>
      <c r="AQ466" s="79"/>
      <c r="AR466" s="6"/>
      <c r="AS466" s="6"/>
      <c r="AT466" s="6"/>
      <c r="AU466" s="6"/>
      <c r="AV466" s="79"/>
      <c r="AW466" s="6"/>
      <c r="AX466" s="6"/>
      <c r="AY466" s="6"/>
      <c r="AZ466" s="6"/>
      <c r="BA466" s="79"/>
      <c r="BB466" s="6"/>
      <c r="BC466" s="6"/>
      <c r="BD466" s="6"/>
      <c r="BE466" s="6"/>
      <c r="BF466" s="79"/>
      <c r="BG466" s="6"/>
      <c r="BH466" s="6"/>
      <c r="BI466" s="6"/>
      <c r="BJ466" s="6"/>
      <c r="BK466" s="79"/>
      <c r="BL466" s="6"/>
      <c r="BM466" s="6"/>
      <c r="BN466" s="6"/>
      <c r="BO466" s="6"/>
      <c r="BP466" s="79"/>
      <c r="BQ466" s="6"/>
      <c r="BR466" s="6"/>
      <c r="BS466" s="6"/>
      <c r="BT466" s="6"/>
      <c r="BU466" s="79"/>
      <c r="BV466" s="6"/>
      <c r="BW466" s="6"/>
      <c r="BX466" s="6"/>
      <c r="BY466" s="6"/>
      <c r="BZ466" s="79"/>
      <c r="CA466" s="6"/>
      <c r="CB466" s="6"/>
      <c r="CC466" s="6"/>
      <c r="CD466" s="6"/>
      <c r="CE466" s="36">
        <v>-3881</v>
      </c>
      <c r="CF466" s="43"/>
      <c r="CG466" s="43"/>
      <c r="CH466" s="43"/>
      <c r="CI466" s="43"/>
      <c r="CJ466" s="36">
        <v>-3534</v>
      </c>
      <c r="CK466" s="43">
        <v>-846</v>
      </c>
      <c r="CL466" s="43">
        <v>-851</v>
      </c>
      <c r="CM466" s="43">
        <v>-802</v>
      </c>
      <c r="CN466" s="43">
        <f>CO466-CM466-CL466-CK466</f>
        <v>-902</v>
      </c>
      <c r="CO466" s="36">
        <v>-3401</v>
      </c>
      <c r="CP466" s="43">
        <v>-831</v>
      </c>
      <c r="CQ466" s="43">
        <v>-744</v>
      </c>
      <c r="CR466" s="43">
        <v>-886</v>
      </c>
      <c r="CS466" s="43">
        <f>CT466-CR466-CQ466-CP466</f>
        <v>-779</v>
      </c>
      <c r="CT466" s="36">
        <v>-3240</v>
      </c>
      <c r="CU466" s="43"/>
      <c r="CV466" s="43"/>
      <c r="CW466" s="43"/>
      <c r="CX466" s="43"/>
      <c r="CY466" s="36"/>
      <c r="CZ466" s="43"/>
      <c r="DA466" s="43"/>
      <c r="DB466" s="43"/>
      <c r="DC466" s="43"/>
      <c r="DD466" s="36"/>
      <c r="DE466" s="43"/>
      <c r="DF466" s="43"/>
      <c r="DG466" s="43"/>
      <c r="DH466" s="43"/>
      <c r="DI466" s="36"/>
    </row>
    <row r="467" spans="1:113" ht="12" hidden="1" customHeight="1" outlineLevel="1">
      <c r="A467" s="219"/>
      <c r="B467" s="597" t="s">
        <v>348</v>
      </c>
      <c r="C467" s="79"/>
      <c r="D467" s="6"/>
      <c r="E467" s="79"/>
      <c r="F467" s="6"/>
      <c r="G467" s="79"/>
      <c r="H467" s="6"/>
      <c r="I467" s="79"/>
      <c r="J467" s="6"/>
      <c r="K467" s="79"/>
      <c r="L467" s="6"/>
      <c r="M467" s="79"/>
      <c r="N467" s="6"/>
      <c r="O467" s="79"/>
      <c r="P467" s="6"/>
      <c r="Q467" s="79"/>
      <c r="R467" s="6"/>
      <c r="S467" s="6"/>
      <c r="T467" s="6"/>
      <c r="U467" s="6"/>
      <c r="V467" s="79"/>
      <c r="W467" s="6"/>
      <c r="X467" s="6"/>
      <c r="Y467" s="6"/>
      <c r="Z467" s="6"/>
      <c r="AA467" s="79"/>
      <c r="AB467" s="79"/>
      <c r="AC467" s="6"/>
      <c r="AD467" s="6"/>
      <c r="AE467" s="6"/>
      <c r="AF467" s="6"/>
      <c r="AG467" s="79"/>
      <c r="AH467" s="6"/>
      <c r="AI467" s="6"/>
      <c r="AJ467" s="6"/>
      <c r="AK467" s="6"/>
      <c r="AL467" s="79"/>
      <c r="AM467" s="6"/>
      <c r="AN467" s="6"/>
      <c r="AO467" s="6"/>
      <c r="AP467" s="6"/>
      <c r="AQ467" s="79"/>
      <c r="AR467" s="6"/>
      <c r="AS467" s="6"/>
      <c r="AT467" s="6"/>
      <c r="AU467" s="6"/>
      <c r="AV467" s="79"/>
      <c r="AW467" s="6"/>
      <c r="AX467" s="6"/>
      <c r="AY467" s="6"/>
      <c r="AZ467" s="6"/>
      <c r="BA467" s="79"/>
      <c r="BB467" s="6"/>
      <c r="BC467" s="6"/>
      <c r="BD467" s="6"/>
      <c r="BE467" s="6"/>
      <c r="BF467" s="79"/>
      <c r="BG467" s="6"/>
      <c r="BH467" s="6"/>
      <c r="BI467" s="6"/>
      <c r="BJ467" s="6"/>
      <c r="BK467" s="79"/>
      <c r="BL467" s="6"/>
      <c r="BM467" s="6"/>
      <c r="BN467" s="6"/>
      <c r="BO467" s="6"/>
      <c r="BP467" s="79"/>
      <c r="BQ467" s="6"/>
      <c r="BR467" s="6"/>
      <c r="BS467" s="6"/>
      <c r="BT467" s="6"/>
      <c r="BU467" s="79"/>
      <c r="BV467" s="6"/>
      <c r="BW467" s="6"/>
      <c r="BX467" s="6"/>
      <c r="BY467" s="6"/>
      <c r="BZ467" s="79"/>
      <c r="CA467" s="6"/>
      <c r="CB467" s="6"/>
      <c r="CC467" s="6"/>
      <c r="CD467" s="6"/>
      <c r="CE467" s="232" t="s">
        <v>126</v>
      </c>
      <c r="CF467" s="27"/>
      <c r="CG467" s="27"/>
      <c r="CH467" s="27"/>
      <c r="CI467" s="27"/>
      <c r="CJ467" s="112">
        <f>CJ466/CE466-1</f>
        <v>-8.9409945890234432E-2</v>
      </c>
      <c r="CK467" s="213" t="s">
        <v>126</v>
      </c>
      <c r="CL467" s="213" t="s">
        <v>126</v>
      </c>
      <c r="CM467" s="213" t="s">
        <v>126</v>
      </c>
      <c r="CN467" s="213" t="s">
        <v>126</v>
      </c>
      <c r="CO467" s="112">
        <f t="shared" ref="CO467:CT467" si="1416">CO466/CJ466-1</f>
        <v>-3.7634408602150504E-2</v>
      </c>
      <c r="CP467" s="27">
        <f t="shared" si="1416"/>
        <v>-1.7730496453900679E-2</v>
      </c>
      <c r="CQ467" s="27">
        <f t="shared" si="1416"/>
        <v>-0.12573443008225615</v>
      </c>
      <c r="CR467" s="27">
        <f t="shared" si="1416"/>
        <v>0.10473815461346625</v>
      </c>
      <c r="CS467" s="27">
        <f t="shared" si="1416"/>
        <v>-0.13636363636363635</v>
      </c>
      <c r="CT467" s="112">
        <f t="shared" si="1416"/>
        <v>-4.7339017935901229E-2</v>
      </c>
      <c r="CU467" s="27"/>
      <c r="CV467" s="27"/>
      <c r="CW467" s="27"/>
      <c r="CX467" s="27"/>
      <c r="CY467" s="112"/>
      <c r="CZ467" s="27"/>
      <c r="DA467" s="27"/>
      <c r="DB467" s="27"/>
      <c r="DC467" s="27"/>
      <c r="DD467" s="112"/>
      <c r="DE467" s="27"/>
      <c r="DF467" s="27"/>
      <c r="DG467" s="27"/>
      <c r="DH467" s="27"/>
      <c r="DI467" s="112"/>
    </row>
    <row r="468" spans="1:113" ht="12" hidden="1" customHeight="1" outlineLevel="1">
      <c r="A468" s="219"/>
      <c r="B468" s="17" t="s">
        <v>424</v>
      </c>
      <c r="C468" s="79"/>
      <c r="D468" s="6"/>
      <c r="E468" s="79"/>
      <c r="F468" s="6"/>
      <c r="G468" s="79"/>
      <c r="H468" s="6"/>
      <c r="I468" s="79"/>
      <c r="J468" s="6"/>
      <c r="K468" s="79"/>
      <c r="L468" s="6"/>
      <c r="M468" s="79"/>
      <c r="N468" s="6"/>
      <c r="O468" s="79"/>
      <c r="P468" s="6"/>
      <c r="Q468" s="79"/>
      <c r="R468" s="6"/>
      <c r="S468" s="6"/>
      <c r="T468" s="6"/>
      <c r="U468" s="6"/>
      <c r="V468" s="79"/>
      <c r="W468" s="6"/>
      <c r="X468" s="6"/>
      <c r="Y468" s="6"/>
      <c r="Z468" s="6"/>
      <c r="AA468" s="79"/>
      <c r="AB468" s="79"/>
      <c r="AC468" s="6"/>
      <c r="AD468" s="6"/>
      <c r="AE468" s="6"/>
      <c r="AF468" s="6"/>
      <c r="AG468" s="79"/>
      <c r="AH468" s="6"/>
      <c r="AI468" s="6"/>
      <c r="AJ468" s="6"/>
      <c r="AK468" s="6"/>
      <c r="AL468" s="79"/>
      <c r="AM468" s="6"/>
      <c r="AN468" s="6"/>
      <c r="AO468" s="6"/>
      <c r="AP468" s="6"/>
      <c r="AQ468" s="79"/>
      <c r="AR468" s="6"/>
      <c r="AS468" s="6"/>
      <c r="AT468" s="6"/>
      <c r="AU468" s="6"/>
      <c r="AV468" s="79"/>
      <c r="AW468" s="6"/>
      <c r="AX468" s="6"/>
      <c r="AY468" s="6"/>
      <c r="AZ468" s="6"/>
      <c r="BA468" s="79"/>
      <c r="BB468" s="6"/>
      <c r="BC468" s="6"/>
      <c r="BD468" s="6"/>
      <c r="BE468" s="6"/>
      <c r="BF468" s="79"/>
      <c r="BG468" s="6"/>
      <c r="BH468" s="6"/>
      <c r="BI468" s="6"/>
      <c r="BJ468" s="6"/>
      <c r="BK468" s="79"/>
      <c r="BL468" s="6"/>
      <c r="BM468" s="6"/>
      <c r="BN468" s="6"/>
      <c r="BO468" s="6"/>
      <c r="BP468" s="79"/>
      <c r="BQ468" s="6"/>
      <c r="BR468" s="6"/>
      <c r="BS468" s="6"/>
      <c r="BT468" s="6"/>
      <c r="BU468" s="79"/>
      <c r="BV468" s="6"/>
      <c r="BW468" s="6"/>
      <c r="BX468" s="6"/>
      <c r="BY468" s="6"/>
      <c r="BZ468" s="79"/>
      <c r="CA468" s="6"/>
      <c r="CB468" s="6"/>
      <c r="CC468" s="6"/>
      <c r="CD468" s="6"/>
      <c r="CE468" s="36">
        <f>CE464+CE466</f>
        <v>-4392</v>
      </c>
      <c r="CF468" s="43"/>
      <c r="CG468" s="43"/>
      <c r="CH468" s="43"/>
      <c r="CI468" s="43"/>
      <c r="CJ468" s="36">
        <f t="shared" ref="CJ468:CT468" si="1417">CJ464+CJ466</f>
        <v>-4130</v>
      </c>
      <c r="CK468" s="43">
        <f t="shared" si="1417"/>
        <v>-1088</v>
      </c>
      <c r="CL468" s="43">
        <f t="shared" si="1417"/>
        <v>-998</v>
      </c>
      <c r="CM468" s="43">
        <f t="shared" si="1417"/>
        <v>-960</v>
      </c>
      <c r="CN468" s="43">
        <f t="shared" si="1417"/>
        <v>-1071</v>
      </c>
      <c r="CO468" s="36">
        <f t="shared" si="1417"/>
        <v>-4117</v>
      </c>
      <c r="CP468" s="43">
        <f t="shared" si="1417"/>
        <v>-1034</v>
      </c>
      <c r="CQ468" s="43">
        <f t="shared" si="1417"/>
        <v>-929</v>
      </c>
      <c r="CR468" s="43">
        <f t="shared" si="1417"/>
        <v>-1056</v>
      </c>
      <c r="CS468" s="43">
        <f t="shared" si="1417"/>
        <v>-984</v>
      </c>
      <c r="CT468" s="36">
        <f t="shared" si="1417"/>
        <v>-4003</v>
      </c>
      <c r="CU468" s="43"/>
      <c r="CV468" s="43"/>
      <c r="CW468" s="43"/>
      <c r="CX468" s="43"/>
      <c r="CY468" s="36"/>
      <c r="CZ468" s="43"/>
      <c r="DA468" s="43"/>
      <c r="DB468" s="43"/>
      <c r="DC468" s="43"/>
      <c r="DD468" s="36"/>
      <c r="DE468" s="43"/>
      <c r="DF468" s="43"/>
      <c r="DG468" s="43"/>
      <c r="DH468" s="43"/>
      <c r="DI468" s="36"/>
    </row>
    <row r="469" spans="1:113" ht="12" hidden="1" customHeight="1" outlineLevel="1">
      <c r="A469" s="219"/>
      <c r="B469" s="491" t="s">
        <v>348</v>
      </c>
      <c r="C469" s="79"/>
      <c r="D469" s="6"/>
      <c r="E469" s="79"/>
      <c r="F469" s="6"/>
      <c r="G469" s="79"/>
      <c r="H469" s="6"/>
      <c r="I469" s="79"/>
      <c r="J469" s="6"/>
      <c r="K469" s="79"/>
      <c r="L469" s="6"/>
      <c r="M469" s="79"/>
      <c r="N469" s="6"/>
      <c r="O469" s="79"/>
      <c r="P469" s="6"/>
      <c r="Q469" s="79"/>
      <c r="R469" s="6"/>
      <c r="S469" s="6"/>
      <c r="T469" s="6"/>
      <c r="U469" s="6"/>
      <c r="V469" s="79"/>
      <c r="W469" s="6"/>
      <c r="X469" s="6"/>
      <c r="Y469" s="6"/>
      <c r="Z469" s="6"/>
      <c r="AA469" s="79"/>
      <c r="AB469" s="79"/>
      <c r="AC469" s="6"/>
      <c r="AD469" s="6"/>
      <c r="AE469" s="6"/>
      <c r="AF469" s="6"/>
      <c r="AG469" s="79"/>
      <c r="AH469" s="6"/>
      <c r="AI469" s="6"/>
      <c r="AJ469" s="6"/>
      <c r="AK469" s="6"/>
      <c r="AL469" s="79"/>
      <c r="AM469" s="6"/>
      <c r="AN469" s="6"/>
      <c r="AO469" s="6"/>
      <c r="AP469" s="6"/>
      <c r="AQ469" s="79"/>
      <c r="AR469" s="6"/>
      <c r="AS469" s="6"/>
      <c r="AT469" s="6"/>
      <c r="AU469" s="6"/>
      <c r="AV469" s="79"/>
      <c r="AW469" s="6"/>
      <c r="AX469" s="6"/>
      <c r="AY469" s="6"/>
      <c r="AZ469" s="6"/>
      <c r="BA469" s="79"/>
      <c r="BB469" s="6"/>
      <c r="BC469" s="6"/>
      <c r="BD469" s="6"/>
      <c r="BE469" s="6"/>
      <c r="BF469" s="79"/>
      <c r="BG469" s="6"/>
      <c r="BH469" s="6"/>
      <c r="BI469" s="6"/>
      <c r="BJ469" s="6"/>
      <c r="BK469" s="79"/>
      <c r="BL469" s="6"/>
      <c r="BM469" s="6"/>
      <c r="BN469" s="6"/>
      <c r="BO469" s="6"/>
      <c r="BP469" s="79"/>
      <c r="BQ469" s="6"/>
      <c r="BR469" s="6"/>
      <c r="BS469" s="6"/>
      <c r="BT469" s="6"/>
      <c r="BU469" s="79"/>
      <c r="BV469" s="6"/>
      <c r="BW469" s="6"/>
      <c r="BX469" s="6"/>
      <c r="BY469" s="6"/>
      <c r="BZ469" s="79"/>
      <c r="CA469" s="6"/>
      <c r="CB469" s="6"/>
      <c r="CC469" s="6"/>
      <c r="CD469" s="6"/>
      <c r="CE469" s="232" t="s">
        <v>126</v>
      </c>
      <c r="CF469" s="27"/>
      <c r="CG469" s="27"/>
      <c r="CH469" s="27"/>
      <c r="CI469" s="27"/>
      <c r="CJ469" s="112">
        <f>CJ468/CE468-1</f>
        <v>-5.9653916211293234E-2</v>
      </c>
      <c r="CK469" s="213" t="s">
        <v>126</v>
      </c>
      <c r="CL469" s="213" t="s">
        <v>126</v>
      </c>
      <c r="CM469" s="213" t="s">
        <v>126</v>
      </c>
      <c r="CN469" s="213" t="s">
        <v>126</v>
      </c>
      <c r="CO469" s="112">
        <f t="shared" ref="CO469:CT469" si="1418">CO468/CJ468-1</f>
        <v>-3.1476997578692156E-3</v>
      </c>
      <c r="CP469" s="27">
        <f t="shared" si="1418"/>
        <v>-4.9632352941176516E-2</v>
      </c>
      <c r="CQ469" s="27">
        <f t="shared" si="1418"/>
        <v>-6.9138276553106226E-2</v>
      </c>
      <c r="CR469" s="27">
        <f t="shared" si="1418"/>
        <v>0.10000000000000009</v>
      </c>
      <c r="CS469" s="27">
        <f t="shared" si="1418"/>
        <v>-8.1232492997198924E-2</v>
      </c>
      <c r="CT469" s="112">
        <f t="shared" si="1418"/>
        <v>-2.7690065581734258E-2</v>
      </c>
      <c r="CU469" s="27"/>
      <c r="CV469" s="27"/>
      <c r="CW469" s="27"/>
      <c r="CX469" s="27"/>
      <c r="CY469" s="112"/>
      <c r="CZ469" s="27"/>
      <c r="DA469" s="27"/>
      <c r="DB469" s="27"/>
      <c r="DC469" s="27"/>
      <c r="DD469" s="112"/>
      <c r="DE469" s="27"/>
      <c r="DF469" s="27"/>
      <c r="DG469" s="27"/>
      <c r="DH469" s="27"/>
      <c r="DI469" s="112"/>
    </row>
    <row r="470" spans="1:113" ht="12" hidden="1" customHeight="1" outlineLevel="1">
      <c r="A470" s="219"/>
      <c r="B470" s="597"/>
      <c r="C470" s="79"/>
      <c r="D470" s="6"/>
      <c r="E470" s="79"/>
      <c r="F470" s="6"/>
      <c r="G470" s="79"/>
      <c r="H470" s="6"/>
      <c r="I470" s="79"/>
      <c r="J470" s="6"/>
      <c r="K470" s="79"/>
      <c r="L470" s="6"/>
      <c r="M470" s="79"/>
      <c r="N470" s="6"/>
      <c r="O470" s="79"/>
      <c r="P470" s="6"/>
      <c r="Q470" s="79"/>
      <c r="R470" s="6"/>
      <c r="S470" s="6"/>
      <c r="T470" s="6"/>
      <c r="U470" s="6"/>
      <c r="V470" s="79"/>
      <c r="W470" s="6"/>
      <c r="X470" s="6"/>
      <c r="Y470" s="6"/>
      <c r="Z470" s="6"/>
      <c r="AA470" s="79"/>
      <c r="AB470" s="79"/>
      <c r="AC470" s="6"/>
      <c r="AD470" s="6"/>
      <c r="AE470" s="6"/>
      <c r="AF470" s="6"/>
      <c r="AG470" s="79"/>
      <c r="AH470" s="6"/>
      <c r="AI470" s="6"/>
      <c r="AJ470" s="6"/>
      <c r="AK470" s="6"/>
      <c r="AL470" s="79"/>
      <c r="AM470" s="6"/>
      <c r="AN470" s="6"/>
      <c r="AO470" s="6"/>
      <c r="AP470" s="6"/>
      <c r="AQ470" s="79"/>
      <c r="AR470" s="6"/>
      <c r="AS470" s="6"/>
      <c r="AT470" s="6"/>
      <c r="AU470" s="6"/>
      <c r="AV470" s="79"/>
      <c r="AW470" s="6"/>
      <c r="AX470" s="6"/>
      <c r="AY470" s="6"/>
      <c r="AZ470" s="6"/>
      <c r="BA470" s="79"/>
      <c r="BB470" s="6"/>
      <c r="BC470" s="6"/>
      <c r="BD470" s="6"/>
      <c r="BE470" s="6"/>
      <c r="BF470" s="79"/>
      <c r="BG470" s="6"/>
      <c r="BH470" s="6"/>
      <c r="BI470" s="6"/>
      <c r="BJ470" s="6"/>
      <c r="BK470" s="79"/>
      <c r="BL470" s="6"/>
      <c r="BM470" s="6"/>
      <c r="BN470" s="6"/>
      <c r="BO470" s="6"/>
      <c r="BP470" s="79"/>
      <c r="BQ470" s="6"/>
      <c r="BR470" s="6"/>
      <c r="BS470" s="6"/>
      <c r="BT470" s="6"/>
      <c r="BU470" s="79"/>
      <c r="BV470" s="6"/>
      <c r="BW470" s="6"/>
      <c r="BX470" s="6"/>
      <c r="BY470" s="6"/>
      <c r="BZ470" s="79"/>
      <c r="CA470" s="6"/>
      <c r="CB470" s="6"/>
      <c r="CC470" s="6"/>
      <c r="CD470" s="6"/>
      <c r="CE470" s="79"/>
      <c r="CF470" s="6"/>
      <c r="CG470" s="6"/>
      <c r="CH470" s="6"/>
      <c r="CI470" s="6"/>
      <c r="CJ470" s="79"/>
      <c r="CK470" s="6"/>
      <c r="CL470" s="6"/>
      <c r="CM470" s="6"/>
      <c r="CN470" s="6"/>
      <c r="CO470" s="79"/>
      <c r="CP470" s="6"/>
      <c r="CS470" s="6"/>
      <c r="CT470" s="79"/>
      <c r="CU470" s="591"/>
      <c r="CV470" s="591"/>
      <c r="CW470" s="591"/>
      <c r="CX470" s="591"/>
      <c r="CY470" s="590"/>
      <c r="CZ470" s="591"/>
      <c r="DA470" s="591"/>
      <c r="DB470" s="6"/>
      <c r="DC470" s="6"/>
      <c r="DD470" s="79"/>
      <c r="DE470" s="591"/>
      <c r="DF470" s="591"/>
      <c r="DG470" s="6"/>
      <c r="DH470" s="6"/>
      <c r="DI470" s="79"/>
    </row>
    <row r="471" spans="1:113" ht="12" hidden="1" customHeight="1" outlineLevel="1">
      <c r="A471" s="219"/>
      <c r="B471" s="17" t="s">
        <v>425</v>
      </c>
      <c r="C471" s="79"/>
      <c r="D471" s="6"/>
      <c r="E471" s="79"/>
      <c r="F471" s="6"/>
      <c r="G471" s="79"/>
      <c r="H471" s="6"/>
      <c r="I471" s="79"/>
      <c r="J471" s="6"/>
      <c r="K471" s="79"/>
      <c r="L471" s="6"/>
      <c r="M471" s="79"/>
      <c r="N471" s="6"/>
      <c r="O471" s="79"/>
      <c r="P471" s="6"/>
      <c r="Q471" s="79"/>
      <c r="R471" s="6"/>
      <c r="S471" s="6"/>
      <c r="T471" s="6"/>
      <c r="U471" s="6"/>
      <c r="V471" s="79"/>
      <c r="W471" s="6"/>
      <c r="X471" s="6"/>
      <c r="Y471" s="6"/>
      <c r="Z471" s="6"/>
      <c r="AA471" s="79"/>
      <c r="AB471" s="79"/>
      <c r="AC471" s="6"/>
      <c r="AD471" s="6"/>
      <c r="AE471" s="6"/>
      <c r="AF471" s="6"/>
      <c r="AG471" s="79"/>
      <c r="AH471" s="6"/>
      <c r="AI471" s="6"/>
      <c r="AJ471" s="6"/>
      <c r="AK471" s="6"/>
      <c r="AL471" s="79"/>
      <c r="AM471" s="6"/>
      <c r="AN471" s="6"/>
      <c r="AO471" s="6"/>
      <c r="AP471" s="6"/>
      <c r="AQ471" s="79"/>
      <c r="AR471" s="6"/>
      <c r="AS471" s="6"/>
      <c r="AT471" s="6"/>
      <c r="AU471" s="6"/>
      <c r="AV471" s="79"/>
      <c r="AW471" s="6"/>
      <c r="AX471" s="6"/>
      <c r="AY471" s="6"/>
      <c r="AZ471" s="6"/>
      <c r="BA471" s="79"/>
      <c r="BB471" s="6"/>
      <c r="BC471" s="6"/>
      <c r="BD471" s="6"/>
      <c r="BE471" s="6"/>
      <c r="BF471" s="79"/>
      <c r="BG471" s="6"/>
      <c r="BH471" s="6"/>
      <c r="BI471" s="6"/>
      <c r="BJ471" s="6"/>
      <c r="BK471" s="79"/>
      <c r="BL471" s="6"/>
      <c r="BM471" s="6"/>
      <c r="BN471" s="6"/>
      <c r="BO471" s="6"/>
      <c r="BP471" s="79"/>
      <c r="BQ471" s="6"/>
      <c r="BR471" s="6"/>
      <c r="BS471" s="6"/>
      <c r="BT471" s="6"/>
      <c r="BU471" s="79"/>
      <c r="BV471" s="6"/>
      <c r="BW471" s="6"/>
      <c r="BX471" s="6"/>
      <c r="BY471" s="6"/>
      <c r="BZ471" s="79"/>
      <c r="CA471" s="6"/>
      <c r="CB471" s="6"/>
      <c r="CC471" s="6"/>
      <c r="CD471" s="6"/>
      <c r="CE471" s="36">
        <v>-9</v>
      </c>
      <c r="CF471" s="43"/>
      <c r="CG471" s="43"/>
      <c r="CH471" s="43"/>
      <c r="CI471" s="43"/>
      <c r="CJ471" s="36">
        <v>33</v>
      </c>
      <c r="CK471" s="43">
        <v>0</v>
      </c>
      <c r="CL471" s="43">
        <v>1</v>
      </c>
      <c r="CM471" s="43">
        <v>-3</v>
      </c>
      <c r="CN471" s="43">
        <f>CO471-CM471-CL471-CK471</f>
        <v>-2</v>
      </c>
      <c r="CO471" s="36">
        <v>-4</v>
      </c>
      <c r="CP471" s="43">
        <v>-1</v>
      </c>
      <c r="CQ471" s="43">
        <v>0</v>
      </c>
      <c r="CR471" s="43">
        <v>0</v>
      </c>
      <c r="CS471" s="43">
        <f>CT471-CR471-CQ471-CP471</f>
        <v>-3</v>
      </c>
      <c r="CT471" s="36">
        <v>-4</v>
      </c>
      <c r="CU471" s="43"/>
      <c r="CV471" s="43"/>
      <c r="CW471" s="43"/>
      <c r="CX471" s="43"/>
      <c r="CY471" s="36"/>
      <c r="CZ471" s="43"/>
      <c r="DA471" s="43"/>
      <c r="DB471" s="43"/>
      <c r="DC471" s="43"/>
      <c r="DD471" s="36"/>
      <c r="DE471" s="43"/>
      <c r="DF471" s="43"/>
      <c r="DG471" s="43"/>
      <c r="DH471" s="43"/>
      <c r="DI471" s="36"/>
    </row>
    <row r="472" spans="1:113" ht="12" customHeight="1" collapsed="1">
      <c r="A472" s="219"/>
      <c r="B472" s="17"/>
      <c r="C472" s="79"/>
      <c r="D472" s="6"/>
      <c r="E472" s="79"/>
      <c r="F472" s="6"/>
      <c r="G472" s="79"/>
      <c r="H472" s="6"/>
      <c r="I472" s="79"/>
      <c r="J472" s="6"/>
      <c r="K472" s="79"/>
      <c r="L472" s="6"/>
      <c r="M472" s="79"/>
      <c r="N472" s="6"/>
      <c r="O472" s="79"/>
      <c r="P472" s="6"/>
      <c r="Q472" s="79"/>
      <c r="R472" s="6"/>
      <c r="S472" s="6"/>
      <c r="T472" s="6"/>
      <c r="U472" s="6"/>
      <c r="V472" s="79"/>
      <c r="W472" s="6"/>
      <c r="X472" s="6"/>
      <c r="Y472" s="6"/>
      <c r="Z472" s="6"/>
      <c r="AA472" s="79"/>
      <c r="AB472" s="79"/>
      <c r="AC472" s="6"/>
      <c r="AD472" s="6"/>
      <c r="AE472" s="6"/>
      <c r="AF472" s="6"/>
      <c r="AG472" s="79"/>
      <c r="AH472" s="6"/>
      <c r="AI472" s="6"/>
      <c r="AJ472" s="6"/>
      <c r="AK472" s="6"/>
      <c r="AL472" s="79"/>
      <c r="AM472" s="6"/>
      <c r="AN472" s="6"/>
      <c r="AO472" s="6"/>
      <c r="AP472" s="6"/>
      <c r="AQ472" s="79"/>
      <c r="AR472" s="6"/>
      <c r="AS472" s="6"/>
      <c r="AT472" s="6"/>
      <c r="AU472" s="6"/>
      <c r="AV472" s="79"/>
      <c r="AW472" s="6"/>
      <c r="AX472" s="6"/>
      <c r="AY472" s="6"/>
      <c r="AZ472" s="6"/>
      <c r="BA472" s="79"/>
      <c r="BB472" s="6"/>
      <c r="BC472" s="6"/>
      <c r="BD472" s="6"/>
      <c r="BE472" s="6"/>
      <c r="BF472" s="79"/>
      <c r="BG472" s="6"/>
      <c r="BH472" s="6"/>
      <c r="BI472" s="6"/>
      <c r="BJ472" s="6"/>
      <c r="BK472" s="79"/>
      <c r="BL472" s="6"/>
      <c r="BM472" s="6"/>
      <c r="BN472" s="6"/>
      <c r="BO472" s="6"/>
      <c r="BP472" s="79"/>
      <c r="BQ472" s="6"/>
      <c r="BR472" s="6"/>
      <c r="BS472" s="6"/>
      <c r="BT472" s="6"/>
      <c r="BU472" s="79"/>
      <c r="BV472" s="6"/>
      <c r="BW472" s="6"/>
      <c r="BX472" s="6"/>
      <c r="BY472" s="6"/>
      <c r="BZ472" s="79"/>
      <c r="CA472" s="6"/>
      <c r="CB472" s="6"/>
      <c r="CC472" s="6"/>
      <c r="CD472" s="6"/>
      <c r="CE472" s="79"/>
      <c r="CF472" s="6"/>
      <c r="CG472" s="6"/>
      <c r="CH472" s="6"/>
      <c r="CI472" s="6"/>
      <c r="CJ472" s="79"/>
      <c r="CK472" s="6"/>
      <c r="CL472" s="6"/>
      <c r="CM472" s="6"/>
      <c r="CN472" s="6"/>
      <c r="CO472" s="79"/>
      <c r="CP472" s="6"/>
      <c r="CS472" s="591"/>
      <c r="CT472" s="590"/>
      <c r="CU472" s="591"/>
      <c r="CV472" s="591"/>
      <c r="CW472" s="591"/>
      <c r="CX472" s="591"/>
      <c r="CY472" s="590"/>
      <c r="CZ472" s="591"/>
      <c r="DA472" s="591"/>
      <c r="DB472" s="6"/>
      <c r="DC472" s="6"/>
      <c r="DD472" s="79"/>
      <c r="DE472" s="591"/>
      <c r="DF472" s="591"/>
      <c r="DG472" s="6"/>
      <c r="DH472" s="6"/>
      <c r="DI472" s="79"/>
    </row>
    <row r="473" spans="1:113" s="7" customFormat="1" ht="12" hidden="1" customHeight="1" outlineLevel="1">
      <c r="A473" s="239" t="str">
        <f t="shared" si="1336"/>
        <v xml:space="preserve"> </v>
      </c>
      <c r="B473" s="348" t="s">
        <v>279</v>
      </c>
      <c r="C473" s="325"/>
      <c r="D473" s="349"/>
      <c r="E473" s="325"/>
      <c r="F473" s="349"/>
      <c r="G473" s="325"/>
      <c r="H473" s="349"/>
      <c r="I473" s="325"/>
      <c r="J473" s="349"/>
      <c r="K473" s="325"/>
      <c r="L473" s="349"/>
      <c r="M473" s="325"/>
      <c r="N473" s="349"/>
      <c r="O473" s="325"/>
      <c r="P473" s="349"/>
      <c r="Q473" s="325"/>
      <c r="R473" s="349">
        <f t="shared" ref="R473:AA473" si="1419">R475-R458</f>
        <v>-276</v>
      </c>
      <c r="S473" s="349">
        <f t="shared" si="1419"/>
        <v>-245</v>
      </c>
      <c r="T473" s="349">
        <f t="shared" si="1419"/>
        <v>-259</v>
      </c>
      <c r="U473" s="349">
        <f t="shared" si="1419"/>
        <v>-297</v>
      </c>
      <c r="V473" s="325">
        <f t="shared" si="1419"/>
        <v>-1077</v>
      </c>
      <c r="W473" s="349">
        <f t="shared" si="1419"/>
        <v>-294</v>
      </c>
      <c r="X473" s="349">
        <f t="shared" si="1419"/>
        <v>-298</v>
      </c>
      <c r="Y473" s="349">
        <f t="shared" si="1419"/>
        <v>-319</v>
      </c>
      <c r="Z473" s="349">
        <f t="shared" si="1419"/>
        <v>-377</v>
      </c>
      <c r="AA473" s="325">
        <f t="shared" si="1419"/>
        <v>-1288</v>
      </c>
      <c r="AB473" s="325"/>
      <c r="AC473" s="349">
        <f t="shared" ref="AC473:BJ473" si="1420">AC475-AC458</f>
        <v>-483</v>
      </c>
      <c r="AD473" s="349">
        <f t="shared" si="1420"/>
        <v>-438</v>
      </c>
      <c r="AE473" s="349">
        <f t="shared" si="1420"/>
        <v>-443</v>
      </c>
      <c r="AF473" s="349">
        <f t="shared" si="1420"/>
        <v>-497</v>
      </c>
      <c r="AG473" s="325">
        <f t="shared" si="1420"/>
        <v>-1861</v>
      </c>
      <c r="AH473" s="349">
        <f t="shared" si="1420"/>
        <v>-498</v>
      </c>
      <c r="AI473" s="349">
        <f t="shared" si="1420"/>
        <v>-493</v>
      </c>
      <c r="AJ473" s="349">
        <f t="shared" si="1420"/>
        <v>-554</v>
      </c>
      <c r="AK473" s="349">
        <f t="shared" si="1420"/>
        <v>-585</v>
      </c>
      <c r="AL473" s="325">
        <f t="shared" si="1420"/>
        <v>-2130</v>
      </c>
      <c r="AM473" s="349">
        <f t="shared" si="1420"/>
        <v>-562</v>
      </c>
      <c r="AN473" s="349">
        <f t="shared" si="1420"/>
        <v>-582</v>
      </c>
      <c r="AO473" s="349">
        <f t="shared" si="1420"/>
        <v>-580</v>
      </c>
      <c r="AP473" s="349">
        <f t="shared" si="1420"/>
        <v>-657</v>
      </c>
      <c r="AQ473" s="325">
        <f t="shared" si="1420"/>
        <v>-2381</v>
      </c>
      <c r="AR473" s="349">
        <f t="shared" si="1420"/>
        <v>-650</v>
      </c>
      <c r="AS473" s="349">
        <f t="shared" si="1420"/>
        <v>-643</v>
      </c>
      <c r="AT473" s="349">
        <f t="shared" si="1420"/>
        <v>-642</v>
      </c>
      <c r="AU473" s="349">
        <f t="shared" si="1420"/>
        <v>-734</v>
      </c>
      <c r="AV473" s="325">
        <f t="shared" si="1420"/>
        <v>-2669</v>
      </c>
      <c r="AW473" s="349">
        <f t="shared" si="1420"/>
        <v>-786</v>
      </c>
      <c r="AX473" s="349">
        <f t="shared" si="1420"/>
        <v>-640</v>
      </c>
      <c r="AY473" s="349">
        <f t="shared" si="1420"/>
        <v>-617</v>
      </c>
      <c r="AZ473" s="349">
        <f t="shared" si="1420"/>
        <v>-707</v>
      </c>
      <c r="BA473" s="325">
        <f t="shared" si="1420"/>
        <v>-2750</v>
      </c>
      <c r="BB473" s="349">
        <f t="shared" si="1420"/>
        <v>-695</v>
      </c>
      <c r="BC473" s="349">
        <f t="shared" si="1420"/>
        <v>-625</v>
      </c>
      <c r="BD473" s="349">
        <f t="shared" si="1420"/>
        <v>-670</v>
      </c>
      <c r="BE473" s="349">
        <f t="shared" si="1420"/>
        <v>-756</v>
      </c>
      <c r="BF473" s="325">
        <f t="shared" si="1420"/>
        <v>-2746</v>
      </c>
      <c r="BG473" s="349">
        <f t="shared" si="1420"/>
        <v>-834</v>
      </c>
      <c r="BH473" s="349">
        <f t="shared" si="1420"/>
        <v>-835</v>
      </c>
      <c r="BI473" s="349">
        <f t="shared" si="1420"/>
        <v>-796</v>
      </c>
      <c r="BJ473" s="349">
        <f t="shared" si="1420"/>
        <v>-839</v>
      </c>
      <c r="BK473" s="325">
        <f>BK458+BK475</f>
        <v>-3220</v>
      </c>
      <c r="BL473" s="349">
        <f>BL475-BL458</f>
        <v>-863</v>
      </c>
      <c r="BM473" s="349">
        <f>BM475-BM458</f>
        <v>-882</v>
      </c>
      <c r="BN473" s="349">
        <f>BN475-BN458</f>
        <v>-903</v>
      </c>
      <c r="BO473" s="349">
        <f>BO475-BO458</f>
        <v>-850</v>
      </c>
      <c r="BP473" s="325">
        <f>BP458+BP475</f>
        <v>-3438</v>
      </c>
      <c r="BQ473" s="349">
        <f>BQ475-BQ458</f>
        <v>-857</v>
      </c>
      <c r="BR473" s="349">
        <f>BR475-BR458</f>
        <v>-849</v>
      </c>
      <c r="BS473" s="349">
        <f>BS475-BS458</f>
        <v>-858</v>
      </c>
      <c r="BT473" s="349">
        <f>BT475-BT458</f>
        <v>-1117</v>
      </c>
      <c r="BU473" s="325">
        <f>BU458+BU475</f>
        <v>-3631</v>
      </c>
      <c r="BV473" s="349">
        <f>BV475-BV458</f>
        <v>-994</v>
      </c>
      <c r="BW473" s="349">
        <f>BW475-BW458</f>
        <v>-1077</v>
      </c>
      <c r="BX473" s="349">
        <f>BS473*(1+BX474)</f>
        <v>-1030.5654008438819</v>
      </c>
      <c r="BY473" s="349">
        <f>BT473*(1+BY474)</f>
        <v>-1188.7031093279838</v>
      </c>
      <c r="BZ473" s="325">
        <f>BZ458+BZ475</f>
        <v>-4160</v>
      </c>
      <c r="CA473" s="349">
        <f>BV473*(1+CA474)</f>
        <v>-1021.0697167755991</v>
      </c>
      <c r="CB473" s="349">
        <f>BW473*(1+CB474)</f>
        <v>-1167.014749262537</v>
      </c>
      <c r="CC473" s="349">
        <f>BX473*(1+CC474)</f>
        <v>-1113.831223628692</v>
      </c>
      <c r="CD473" s="349">
        <f>BY473*(1+CD474)</f>
        <v>-1223.4343029087261</v>
      </c>
      <c r="CE473" s="325">
        <f>CE458+CE475</f>
        <v>-4783</v>
      </c>
      <c r="CF473" s="349">
        <f>CA473*(1+CF474)</f>
        <v>-1157.5010893246188</v>
      </c>
      <c r="CG473" s="349">
        <f>CB473*(1+CG474)</f>
        <v>-1179.722713864307</v>
      </c>
      <c r="CH473" s="349">
        <f>CC473*(1+CH474)</f>
        <v>-1220.0253164556962</v>
      </c>
      <c r="CI473" s="349">
        <f>CD473*(1+CI474)</f>
        <v>-1222.3139418254764</v>
      </c>
      <c r="CJ473" s="325">
        <f>CJ458+CJ475</f>
        <v>-4675</v>
      </c>
      <c r="CK473" s="350">
        <f>CF473*(1+CK474)</f>
        <v>-1327.4989106753815</v>
      </c>
      <c r="CL473" s="349">
        <f>CG473*(1+CL474)</f>
        <v>-1188.194690265487</v>
      </c>
      <c r="CM473" s="349">
        <f>CH473*(1+CM474)</f>
        <v>-1312.9451476793249</v>
      </c>
      <c r="CN473" s="349">
        <f>CI473*(1+CN474)</f>
        <v>-1403.8124373119358</v>
      </c>
      <c r="CO473" s="325">
        <f>CO458+CO475</f>
        <v>-4651</v>
      </c>
      <c r="CP473" s="350">
        <f>CK473*(1+CP474)</f>
        <v>-1286.3529411764707</v>
      </c>
      <c r="CQ473" s="349">
        <f>CL473*(1+CQ474)</f>
        <v>-1348.1032448377584</v>
      </c>
      <c r="CR473" s="349">
        <f>CM473*(1+CR474)</f>
        <v>-1315.3586497890296</v>
      </c>
      <c r="CS473" s="349">
        <f>CN473*(1+CS474)</f>
        <v>-1347.7943831494483</v>
      </c>
      <c r="CT473" s="325">
        <f>CT458+CT475</f>
        <v>-4554</v>
      </c>
      <c r="CU473" s="349"/>
      <c r="CV473" s="349"/>
      <c r="CW473" s="349"/>
      <c r="CX473" s="349"/>
      <c r="CY473" s="325"/>
      <c r="CZ473" s="349"/>
      <c r="DA473" s="349"/>
      <c r="DB473" s="349"/>
      <c r="DC473" s="349"/>
      <c r="DD473" s="325"/>
      <c r="DE473" s="349"/>
      <c r="DF473" s="349"/>
      <c r="DG473" s="349"/>
      <c r="DH473" s="349"/>
      <c r="DI473" s="325"/>
    </row>
    <row r="474" spans="1:113" ht="12" hidden="1" customHeight="1" outlineLevel="1">
      <c r="A474" s="219" t="str">
        <f t="shared" si="1336"/>
        <v xml:space="preserve"> </v>
      </c>
      <c r="B474" s="329" t="s">
        <v>171</v>
      </c>
      <c r="C474" s="351"/>
      <c r="D474" s="335"/>
      <c r="E474" s="351"/>
      <c r="F474" s="335"/>
      <c r="G474" s="351"/>
      <c r="H474" s="335"/>
      <c r="I474" s="351"/>
      <c r="J474" s="335"/>
      <c r="K474" s="351"/>
      <c r="L474" s="335"/>
      <c r="M474" s="351"/>
      <c r="N474" s="335"/>
      <c r="O474" s="351"/>
      <c r="P474" s="335"/>
      <c r="Q474" s="351"/>
      <c r="R474" s="352" t="s">
        <v>126</v>
      </c>
      <c r="S474" s="342" t="s">
        <v>126</v>
      </c>
      <c r="T474" s="342" t="s">
        <v>126</v>
      </c>
      <c r="U474" s="342" t="s">
        <v>126</v>
      </c>
      <c r="V474" s="330" t="s">
        <v>126</v>
      </c>
      <c r="W474" s="353">
        <f>+W473/R473-1</f>
        <v>6.5217391304347894E-2</v>
      </c>
      <c r="X474" s="353">
        <f>+X473/S473-1</f>
        <v>0.21632653061224483</v>
      </c>
      <c r="Y474" s="353">
        <f>+Y473/T473-1</f>
        <v>0.23166023166023164</v>
      </c>
      <c r="Z474" s="353">
        <f>+Z473/U473-1</f>
        <v>0.26936026936026947</v>
      </c>
      <c r="AA474" s="328">
        <f>+AA473/V473-1</f>
        <v>0.19591457753017649</v>
      </c>
      <c r="AB474" s="328"/>
      <c r="AC474" s="353">
        <f>+AC473/W473-1</f>
        <v>0.64285714285714279</v>
      </c>
      <c r="AD474" s="353">
        <f>+AD473/X473-1</f>
        <v>0.46979865771812079</v>
      </c>
      <c r="AE474" s="353">
        <f>+AE473/Y473-1</f>
        <v>0.38871473354231978</v>
      </c>
      <c r="AF474" s="353">
        <f>+AF473/Z473-1</f>
        <v>0.3183023872679045</v>
      </c>
      <c r="AG474" s="328">
        <f>+AG473/AA473-1</f>
        <v>0.44487577639751552</v>
      </c>
      <c r="AH474" s="353">
        <f t="shared" ref="AH474:BG474" si="1421">+AH473/AC473-1</f>
        <v>3.105590062111796E-2</v>
      </c>
      <c r="AI474" s="353">
        <f t="shared" si="1421"/>
        <v>0.12557077625570767</v>
      </c>
      <c r="AJ474" s="353">
        <f t="shared" si="1421"/>
        <v>0.25056433408577883</v>
      </c>
      <c r="AK474" s="353">
        <f t="shared" si="1421"/>
        <v>0.17706237424547289</v>
      </c>
      <c r="AL474" s="328">
        <f t="shared" si="1421"/>
        <v>0.14454594304137558</v>
      </c>
      <c r="AM474" s="353">
        <f t="shared" si="1421"/>
        <v>0.12851405622489964</v>
      </c>
      <c r="AN474" s="353">
        <f t="shared" si="1421"/>
        <v>0.18052738336713992</v>
      </c>
      <c r="AO474" s="353">
        <f t="shared" si="1421"/>
        <v>4.6931407942238268E-2</v>
      </c>
      <c r="AP474" s="353">
        <f t="shared" si="1421"/>
        <v>0.12307692307692308</v>
      </c>
      <c r="AQ474" s="328">
        <f t="shared" si="1421"/>
        <v>0.11784037558685445</v>
      </c>
      <c r="AR474" s="353">
        <f t="shared" si="1421"/>
        <v>0.15658362989323837</v>
      </c>
      <c r="AS474" s="353">
        <f t="shared" si="1421"/>
        <v>0.10481099656357395</v>
      </c>
      <c r="AT474" s="353">
        <f t="shared" si="1421"/>
        <v>0.10689655172413803</v>
      </c>
      <c r="AU474" s="353">
        <f t="shared" si="1421"/>
        <v>0.11719939117199396</v>
      </c>
      <c r="AV474" s="328">
        <f t="shared" si="1421"/>
        <v>0.12095758084838293</v>
      </c>
      <c r="AW474" s="353">
        <f t="shared" si="1421"/>
        <v>0.20923076923076933</v>
      </c>
      <c r="AX474" s="353">
        <f t="shared" si="1421"/>
        <v>-4.6656298600310508E-3</v>
      </c>
      <c r="AY474" s="353">
        <f t="shared" si="1421"/>
        <v>-3.8940809968847301E-2</v>
      </c>
      <c r="AZ474" s="353">
        <f t="shared" si="1421"/>
        <v>-3.6784741144414212E-2</v>
      </c>
      <c r="BA474" s="328">
        <f t="shared" si="1421"/>
        <v>3.0348445110528255E-2</v>
      </c>
      <c r="BB474" s="353">
        <f t="shared" si="1421"/>
        <v>-0.11577608142493634</v>
      </c>
      <c r="BC474" s="353">
        <f t="shared" si="1421"/>
        <v>-2.34375E-2</v>
      </c>
      <c r="BD474" s="353">
        <f t="shared" si="1421"/>
        <v>8.58995137763372E-2</v>
      </c>
      <c r="BE474" s="353">
        <f t="shared" si="1421"/>
        <v>6.9306930693069368E-2</v>
      </c>
      <c r="BF474" s="354">
        <f>+BF473/BA473-1</f>
        <v>-1.4545454545454861E-3</v>
      </c>
      <c r="BG474" s="353">
        <f t="shared" si="1421"/>
        <v>0.19999999999999996</v>
      </c>
      <c r="BH474" s="355">
        <f>'2. Consolidated'!BH64</f>
        <v>3.7628278221208733E-2</v>
      </c>
      <c r="BI474" s="355">
        <f>'2. Consolidated'!BI64</f>
        <v>3.4802784222738303E-3</v>
      </c>
      <c r="BJ474" s="353">
        <f>+BJ473/BE473-1</f>
        <v>0.10978835978835977</v>
      </c>
      <c r="BK474" s="354">
        <f>+BK473/BF473-1</f>
        <v>0.17261471230881287</v>
      </c>
      <c r="BL474" s="353">
        <f t="shared" ref="BL474:BW474" si="1422">+BL473/BG473-1</f>
        <v>3.4772182254196649E-2</v>
      </c>
      <c r="BM474" s="353">
        <f t="shared" si="1422"/>
        <v>5.6287425149700532E-2</v>
      </c>
      <c r="BN474" s="353">
        <f t="shared" si="1422"/>
        <v>0.13442211055276387</v>
      </c>
      <c r="BO474" s="353">
        <f t="shared" si="1422"/>
        <v>1.3110846245530494E-2</v>
      </c>
      <c r="BP474" s="354">
        <f>+BP473/BK473-1</f>
        <v>6.7701863354037162E-2</v>
      </c>
      <c r="BQ474" s="353">
        <f t="shared" si="1422"/>
        <v>-6.9524913093859109E-3</v>
      </c>
      <c r="BR474" s="353">
        <f t="shared" si="1422"/>
        <v>-3.7414965986394599E-2</v>
      </c>
      <c r="BS474" s="353">
        <f t="shared" si="1422"/>
        <v>-4.9833887043189362E-2</v>
      </c>
      <c r="BT474" s="353">
        <f t="shared" si="1422"/>
        <v>0.31411764705882361</v>
      </c>
      <c r="BU474" s="354">
        <f>+BU473/BP473-1</f>
        <v>5.6137289121582334E-2</v>
      </c>
      <c r="BV474" s="353">
        <f t="shared" si="1422"/>
        <v>0.15985997666277707</v>
      </c>
      <c r="BW474" s="353">
        <f t="shared" si="1422"/>
        <v>0.26855123674911652</v>
      </c>
      <c r="BX474" s="353">
        <f>'2. Consolidated'!BX64</f>
        <v>0.20112517580872002</v>
      </c>
      <c r="BY474" s="355">
        <f>'2. Consolidated'!BY64</f>
        <v>6.419257773319953E-2</v>
      </c>
      <c r="BZ474" s="354">
        <f>+BZ473/BU473-1</f>
        <v>0.14568989259157261</v>
      </c>
      <c r="CA474" s="355">
        <f>'2. Consolidated'!CA64</f>
        <v>2.7233115468409563E-2</v>
      </c>
      <c r="CB474" s="355">
        <f>'2. Consolidated'!CB64</f>
        <v>8.3579154375614584E-2</v>
      </c>
      <c r="CC474" s="353">
        <f>'2. Consolidated'!CC64</f>
        <v>8.0796252927400447E-2</v>
      </c>
      <c r="CD474" s="355">
        <f>'2. Consolidated'!CD64</f>
        <v>2.9217719132893505E-2</v>
      </c>
      <c r="CE474" s="354">
        <f>+CE473/BZ473-1</f>
        <v>0.14975961538461546</v>
      </c>
      <c r="CF474" s="355">
        <f>'2. Consolidated'!CF64</f>
        <v>0.13361611876988344</v>
      </c>
      <c r="CG474" s="355">
        <f>'2. Consolidated'!CG64</f>
        <v>1.0889292196007316E-2</v>
      </c>
      <c r="CH474" s="353">
        <f>'2. Consolidated'!CH64</f>
        <v>9.5341278439869948E-2</v>
      </c>
      <c r="CI474" s="355">
        <f>'2. Consolidated'!CI64</f>
        <v>-9.157509157509125E-4</v>
      </c>
      <c r="CJ474" s="354">
        <f>+CJ473/CE473-1</f>
        <v>-2.2579970729667553E-2</v>
      </c>
      <c r="CK474" s="355">
        <f>'2. Consolidated'!CK64</f>
        <v>0.14686623012160904</v>
      </c>
      <c r="CL474" s="355">
        <f>'2. Consolidated'!CL64</f>
        <v>7.1813285457809073E-3</v>
      </c>
      <c r="CM474" s="355">
        <f>'2. Consolidated'!CM64</f>
        <v>7.6162215628091001E-2</v>
      </c>
      <c r="CN474" s="355">
        <f>'2. Consolidated'!CN64</f>
        <v>0.14848762603116406</v>
      </c>
      <c r="CO474" s="354">
        <f>+CO473/CJ473-1</f>
        <v>-5.1336898395721864E-3</v>
      </c>
      <c r="CP474" s="355">
        <f>'2. Consolidated'!CP64</f>
        <v>-3.0995106035889064E-2</v>
      </c>
      <c r="CQ474" s="355">
        <f>'2. Consolidated'!CQ64</f>
        <v>0.13458110516934041</v>
      </c>
      <c r="CR474" s="355">
        <f>'2. Consolidated'!CR64</f>
        <v>1.8382352941177516E-3</v>
      </c>
      <c r="CS474" s="355">
        <f>'2. Consolidated'!CS64</f>
        <v>-3.9904229848363948E-2</v>
      </c>
      <c r="CT474" s="354">
        <f>+CT473/CO473-1</f>
        <v>-2.0855729950548296E-2</v>
      </c>
      <c r="CU474" s="355"/>
      <c r="CV474" s="355"/>
      <c r="CW474" s="355"/>
      <c r="CX474" s="355"/>
      <c r="CY474" s="354"/>
      <c r="CZ474" s="355"/>
      <c r="DA474" s="355"/>
      <c r="DB474" s="355"/>
      <c r="DC474" s="355"/>
      <c r="DD474" s="354"/>
      <c r="DE474" s="355"/>
      <c r="DF474" s="355"/>
      <c r="DG474" s="355"/>
      <c r="DH474" s="355"/>
      <c r="DI474" s="354"/>
    </row>
    <row r="475" spans="1:113" s="7" customFormat="1" ht="12" customHeight="1" collapsed="1">
      <c r="A475" s="239" t="str">
        <f t="shared" si="1336"/>
        <v xml:space="preserve"> </v>
      </c>
      <c r="B475" s="20" t="s">
        <v>187</v>
      </c>
      <c r="C475" s="36"/>
      <c r="D475" s="43"/>
      <c r="E475" s="36"/>
      <c r="F475" s="43"/>
      <c r="G475" s="36"/>
      <c r="H475" s="43"/>
      <c r="I475" s="36"/>
      <c r="J475" s="43"/>
      <c r="K475" s="36"/>
      <c r="L475" s="43"/>
      <c r="M475" s="36"/>
      <c r="N475" s="43"/>
      <c r="O475" s="36"/>
      <c r="P475" s="43"/>
      <c r="Q475" s="36"/>
      <c r="R475" s="43">
        <v>-245</v>
      </c>
      <c r="S475" s="43">
        <v>-221</v>
      </c>
      <c r="T475" s="43">
        <v>-237</v>
      </c>
      <c r="U475" s="43">
        <v>-268</v>
      </c>
      <c r="V475" s="36">
        <f>SUM(R475:U475)</f>
        <v>-971</v>
      </c>
      <c r="W475" s="43">
        <v>-261</v>
      </c>
      <c r="X475" s="43">
        <v>-273</v>
      </c>
      <c r="Y475" s="43">
        <v>-292</v>
      </c>
      <c r="Z475" s="43">
        <v>-351</v>
      </c>
      <c r="AA475" s="36">
        <f>SUM(W475:Z475)</f>
        <v>-1177</v>
      </c>
      <c r="AB475" s="36"/>
      <c r="AC475" s="43">
        <v>-456</v>
      </c>
      <c r="AD475" s="43">
        <v>-410</v>
      </c>
      <c r="AE475" s="43">
        <v>-414</v>
      </c>
      <c r="AF475" s="43">
        <v>-466</v>
      </c>
      <c r="AG475" s="36">
        <f>SUM(AC475:AF475)</f>
        <v>-1746</v>
      </c>
      <c r="AH475" s="43">
        <v>-466</v>
      </c>
      <c r="AI475" s="43">
        <v>-462</v>
      </c>
      <c r="AJ475" s="43">
        <v>-528</v>
      </c>
      <c r="AK475" s="43">
        <v>-549</v>
      </c>
      <c r="AL475" s="36">
        <f>SUM(AH475:AK475)</f>
        <v>-2005</v>
      </c>
      <c r="AM475" s="43">
        <v>-533</v>
      </c>
      <c r="AN475" s="43">
        <v>-554</v>
      </c>
      <c r="AO475" s="43">
        <v>-552</v>
      </c>
      <c r="AP475" s="43">
        <v>-627</v>
      </c>
      <c r="AQ475" s="36">
        <f>SUM(AM475:AP475)</f>
        <v>-2266</v>
      </c>
      <c r="AR475" s="43">
        <v>-624</v>
      </c>
      <c r="AS475" s="43">
        <v>-625</v>
      </c>
      <c r="AT475" s="43">
        <v>-625</v>
      </c>
      <c r="AU475" s="43">
        <v>-722</v>
      </c>
      <c r="AV475" s="36">
        <f>SUM(AR475:AU475)</f>
        <v>-2596</v>
      </c>
      <c r="AW475" s="43">
        <v>-771</v>
      </c>
      <c r="AX475" s="43">
        <v>-619</v>
      </c>
      <c r="AY475" s="43">
        <v>-598</v>
      </c>
      <c r="AZ475" s="43">
        <v>-689</v>
      </c>
      <c r="BA475" s="36">
        <f>SUM(AW475:AZ475)</f>
        <v>-2677</v>
      </c>
      <c r="BB475" s="43">
        <v>-675</v>
      </c>
      <c r="BC475" s="43">
        <v>-602</v>
      </c>
      <c r="BD475" s="43">
        <v>-649</v>
      </c>
      <c r="BE475" s="43">
        <v>-732</v>
      </c>
      <c r="BF475" s="36">
        <f>SUM(BB475:BE475)</f>
        <v>-2658</v>
      </c>
      <c r="BG475" s="43">
        <v>-818</v>
      </c>
      <c r="BH475" s="43">
        <v>-826</v>
      </c>
      <c r="BI475" s="43">
        <v>-788</v>
      </c>
      <c r="BJ475" s="43">
        <v>-830</v>
      </c>
      <c r="BK475" s="36">
        <f>SUM(BG475:BJ475)</f>
        <v>-3262</v>
      </c>
      <c r="BL475" s="43">
        <v>-857</v>
      </c>
      <c r="BM475" s="43">
        <v>-872</v>
      </c>
      <c r="BN475" s="43">
        <v>-895</v>
      </c>
      <c r="BO475" s="43">
        <v>-844</v>
      </c>
      <c r="BP475" s="36">
        <f>SUM(BL475:BO475)</f>
        <v>-3468</v>
      </c>
      <c r="BQ475" s="43">
        <v>-853</v>
      </c>
      <c r="BR475" s="43">
        <v>-841</v>
      </c>
      <c r="BS475" s="43">
        <v>-852</v>
      </c>
      <c r="BT475" s="43">
        <v>-1110</v>
      </c>
      <c r="BU475" s="36">
        <f>SUM(BQ475:BT475)</f>
        <v>-3656</v>
      </c>
      <c r="BV475" s="43">
        <v>-987</v>
      </c>
      <c r="BW475" s="43">
        <v>-1071</v>
      </c>
      <c r="BX475" s="43">
        <v>-975</v>
      </c>
      <c r="BY475" s="43">
        <v>-1229</v>
      </c>
      <c r="BZ475" s="36">
        <f>SUM(BV475:BY475)</f>
        <v>-4262</v>
      </c>
      <c r="CA475" s="43">
        <v>-1187</v>
      </c>
      <c r="CB475" s="43">
        <v>-1226</v>
      </c>
      <c r="CC475" s="43">
        <v>-1160</v>
      </c>
      <c r="CD475" s="43">
        <v>-1268</v>
      </c>
      <c r="CE475" s="36">
        <f>SUM(CA475:CD475)</f>
        <v>-4841</v>
      </c>
      <c r="CF475" s="43">
        <v>-1205</v>
      </c>
      <c r="CG475" s="43">
        <v>-1168</v>
      </c>
      <c r="CH475" s="43">
        <v>-1199</v>
      </c>
      <c r="CI475" s="43">
        <v>-1148</v>
      </c>
      <c r="CJ475" s="36">
        <f>SUM(CF475:CI475)</f>
        <v>-4720</v>
      </c>
      <c r="CK475" s="43">
        <v>-1227</v>
      </c>
      <c r="CL475" s="43">
        <v>-1133</v>
      </c>
      <c r="CM475" s="43">
        <v>-1093</v>
      </c>
      <c r="CN475" s="43">
        <v>-1246</v>
      </c>
      <c r="CO475" s="36">
        <f>SUM(CK475:CN475)</f>
        <v>-4699</v>
      </c>
      <c r="CP475" s="43">
        <v>-1192</v>
      </c>
      <c r="CQ475" s="43">
        <v>-1072</v>
      </c>
      <c r="CR475" s="43">
        <v>-1209</v>
      </c>
      <c r="CS475" s="43">
        <v>-1130</v>
      </c>
      <c r="CT475" s="36">
        <f>SUM(CP475:CS475)</f>
        <v>-4603</v>
      </c>
      <c r="CU475" s="43">
        <v>-1275.3382629865166</v>
      </c>
      <c r="CV475" s="43">
        <f t="shared" ref="CV475:CX475" si="1423">CQ475*(1+CV476)</f>
        <v>-1108.5981701084349</v>
      </c>
      <c r="CW475" s="43">
        <f t="shared" si="1423"/>
        <v>-1203.4161138912618</v>
      </c>
      <c r="CX475" s="43">
        <f t="shared" si="1423"/>
        <v>-1084.0151740373096</v>
      </c>
      <c r="CY475" s="36">
        <f>SUM(CU475:CX475)</f>
        <v>-4671.3677210235228</v>
      </c>
      <c r="CZ475" s="43">
        <f t="shared" ref="CZ475:DC475" si="1424">CU475*(1+CZ476)</f>
        <v>-1320.7079906302233</v>
      </c>
      <c r="DA475" s="43">
        <f t="shared" si="1424"/>
        <v>-1152.6469706212206</v>
      </c>
      <c r="DB475" s="43">
        <f t="shared" si="1424"/>
        <v>-1252.2689682118157</v>
      </c>
      <c r="DC475" s="43">
        <f t="shared" si="1424"/>
        <v>-1130.0040774520692</v>
      </c>
      <c r="DD475" s="36">
        <f>SUM(CZ475:DC475)</f>
        <v>-4855.628006915329</v>
      </c>
      <c r="DE475" s="43">
        <f t="shared" ref="DE475" si="1425">CZ475*(1+DE476)</f>
        <v>-1367.6917309999685</v>
      </c>
      <c r="DF475" s="43">
        <f t="shared" ref="DF475" si="1426">DA475*(1+DF476)</f>
        <v>-1198.4459966701222</v>
      </c>
      <c r="DG475" s="43">
        <f t="shared" ref="DG475" si="1427">DB475*(1+DG476)</f>
        <v>-1303.1050113460444</v>
      </c>
      <c r="DH475" s="43">
        <f t="shared" ref="DH475" si="1428">DC475*(1+DH476)</f>
        <v>-1177.9440414127941</v>
      </c>
      <c r="DI475" s="36">
        <f>SUM(DE475:DH475)</f>
        <v>-5047.1867804289286</v>
      </c>
    </row>
    <row r="476" spans="1:113" ht="12" customHeight="1">
      <c r="A476" s="219" t="str">
        <f t="shared" si="1336"/>
        <v xml:space="preserve"> </v>
      </c>
      <c r="B476" s="491" t="s">
        <v>171</v>
      </c>
      <c r="C476" s="492"/>
      <c r="D476" s="522"/>
      <c r="E476" s="492"/>
      <c r="F476" s="522"/>
      <c r="G476" s="492"/>
      <c r="H476" s="522"/>
      <c r="I476" s="492"/>
      <c r="J476" s="522"/>
      <c r="K476" s="492"/>
      <c r="L476" s="522"/>
      <c r="M476" s="492"/>
      <c r="N476" s="522"/>
      <c r="O476" s="492"/>
      <c r="P476" s="522"/>
      <c r="Q476" s="492"/>
      <c r="R476" s="378" t="s">
        <v>126</v>
      </c>
      <c r="S476" s="522" t="s">
        <v>126</v>
      </c>
      <c r="T476" s="522" t="s">
        <v>126</v>
      </c>
      <c r="U476" s="522" t="s">
        <v>126</v>
      </c>
      <c r="V476" s="492" t="s">
        <v>126</v>
      </c>
      <c r="W476" s="52">
        <f>+W475/R475-1</f>
        <v>6.5306122448979487E-2</v>
      </c>
      <c r="X476" s="52">
        <f>+X475/S475-1</f>
        <v>0.23529411764705888</v>
      </c>
      <c r="Y476" s="52">
        <f>+Y475/T475-1</f>
        <v>0.23206751054852326</v>
      </c>
      <c r="Z476" s="52">
        <f>+Z475/U475-1</f>
        <v>0.30970149253731338</v>
      </c>
      <c r="AA476" s="112">
        <f>+AA475/V475-1</f>
        <v>0.21215242018537595</v>
      </c>
      <c r="AB476" s="112"/>
      <c r="AC476" s="52">
        <f>+AC475/W475-1</f>
        <v>0.74712643678160928</v>
      </c>
      <c r="AD476" s="52">
        <f>+AD475/X475-1</f>
        <v>0.50183150183150182</v>
      </c>
      <c r="AE476" s="52">
        <f>+AE475/Y475-1</f>
        <v>0.41780821917808209</v>
      </c>
      <c r="AF476" s="52">
        <f>+AF475/Z475-1</f>
        <v>0.32763532763532766</v>
      </c>
      <c r="AG476" s="112">
        <f>+AG475/AA475-1</f>
        <v>0.48343245539507218</v>
      </c>
      <c r="AH476" s="52">
        <f t="shared" ref="AH476:BP476" si="1429">+AH475/AC475-1</f>
        <v>2.1929824561403466E-2</v>
      </c>
      <c r="AI476" s="52">
        <f t="shared" si="1429"/>
        <v>0.12682926829268282</v>
      </c>
      <c r="AJ476" s="52">
        <f t="shared" si="1429"/>
        <v>0.2753623188405796</v>
      </c>
      <c r="AK476" s="52">
        <f t="shared" si="1429"/>
        <v>0.17811158798283255</v>
      </c>
      <c r="AL476" s="112">
        <f t="shared" si="1429"/>
        <v>0.14833906071019465</v>
      </c>
      <c r="AM476" s="52">
        <f t="shared" si="1429"/>
        <v>0.14377682403433467</v>
      </c>
      <c r="AN476" s="52">
        <f t="shared" si="1429"/>
        <v>0.19913419913419905</v>
      </c>
      <c r="AO476" s="52">
        <f t="shared" si="1429"/>
        <v>4.5454545454545414E-2</v>
      </c>
      <c r="AP476" s="52">
        <f t="shared" si="1429"/>
        <v>0.14207650273224037</v>
      </c>
      <c r="AQ476" s="112">
        <f t="shared" si="1429"/>
        <v>0.13017456359102253</v>
      </c>
      <c r="AR476" s="52">
        <f t="shared" si="1429"/>
        <v>0.1707317073170731</v>
      </c>
      <c r="AS476" s="52">
        <f t="shared" si="1429"/>
        <v>0.12815884476534301</v>
      </c>
      <c r="AT476" s="52">
        <f t="shared" si="1429"/>
        <v>0.13224637681159424</v>
      </c>
      <c r="AU476" s="52">
        <f t="shared" si="1429"/>
        <v>0.1515151515151516</v>
      </c>
      <c r="AV476" s="112">
        <f t="shared" si="1429"/>
        <v>0.14563106796116498</v>
      </c>
      <c r="AW476" s="52">
        <f t="shared" si="1429"/>
        <v>0.23557692307692313</v>
      </c>
      <c r="AX476" s="52">
        <f t="shared" si="1429"/>
        <v>-9.6000000000000529E-3</v>
      </c>
      <c r="AY476" s="52">
        <f t="shared" si="1429"/>
        <v>-4.3200000000000016E-2</v>
      </c>
      <c r="AZ476" s="52">
        <f t="shared" si="1429"/>
        <v>-4.5706371191135742E-2</v>
      </c>
      <c r="BA476" s="112">
        <f t="shared" si="1429"/>
        <v>3.1201848998459125E-2</v>
      </c>
      <c r="BB476" s="52">
        <f t="shared" si="1429"/>
        <v>-0.1245136186770428</v>
      </c>
      <c r="BC476" s="52">
        <f t="shared" si="1429"/>
        <v>-2.7463651050080751E-2</v>
      </c>
      <c r="BD476" s="52">
        <f t="shared" si="1429"/>
        <v>8.5284280936454904E-2</v>
      </c>
      <c r="BE476" s="52">
        <f t="shared" si="1429"/>
        <v>6.2409288824383236E-2</v>
      </c>
      <c r="BF476" s="112">
        <f t="shared" si="1429"/>
        <v>-7.097497198356395E-3</v>
      </c>
      <c r="BG476" s="52">
        <f t="shared" si="1429"/>
        <v>0.21185185185185196</v>
      </c>
      <c r="BH476" s="52">
        <f t="shared" si="1429"/>
        <v>0.37209302325581395</v>
      </c>
      <c r="BI476" s="52">
        <f t="shared" si="1429"/>
        <v>0.21417565485362089</v>
      </c>
      <c r="BJ476" s="52">
        <f t="shared" si="1429"/>
        <v>0.13387978142076506</v>
      </c>
      <c r="BK476" s="112">
        <f t="shared" si="1429"/>
        <v>0.22723852520692245</v>
      </c>
      <c r="BL476" s="52">
        <f t="shared" si="1429"/>
        <v>4.7677261613692012E-2</v>
      </c>
      <c r="BM476" s="52">
        <f t="shared" si="1429"/>
        <v>5.5690072639225097E-2</v>
      </c>
      <c r="BN476" s="52">
        <f t="shared" si="1429"/>
        <v>0.1357868020304569</v>
      </c>
      <c r="BO476" s="52">
        <f t="shared" si="1429"/>
        <v>1.6867469879518149E-2</v>
      </c>
      <c r="BP476" s="112">
        <f t="shared" si="1429"/>
        <v>6.3151440833844275E-2</v>
      </c>
      <c r="BQ476" s="52">
        <f t="shared" ref="BQ476:BZ476" si="1430">+BQ475/BL475-1</f>
        <v>-4.667444574095736E-3</v>
      </c>
      <c r="BR476" s="52">
        <f t="shared" si="1430"/>
        <v>-3.5550458715596367E-2</v>
      </c>
      <c r="BS476" s="52">
        <f t="shared" si="1430"/>
        <v>-4.8044692737430172E-2</v>
      </c>
      <c r="BT476" s="52">
        <f t="shared" si="1430"/>
        <v>0.31516587677725116</v>
      </c>
      <c r="BU476" s="112">
        <f t="shared" si="1430"/>
        <v>5.4209919261822392E-2</v>
      </c>
      <c r="BV476" s="52">
        <f t="shared" si="1430"/>
        <v>0.1570926143024618</v>
      </c>
      <c r="BW476" s="52">
        <f t="shared" si="1430"/>
        <v>0.27348394768133177</v>
      </c>
      <c r="BX476" s="52">
        <f t="shared" si="1430"/>
        <v>0.14436619718309851</v>
      </c>
      <c r="BY476" s="52">
        <f t="shared" si="1430"/>
        <v>0.10720720720720722</v>
      </c>
      <c r="BZ476" s="112">
        <f t="shared" si="1430"/>
        <v>0.16575492341356668</v>
      </c>
      <c r="CA476" s="52">
        <f t="shared" ref="CA476" si="1431">+CA475/BV475-1</f>
        <v>0.20263424518743678</v>
      </c>
      <c r="CB476" s="52">
        <f t="shared" ref="CB476:CE476" si="1432">+CB475/BW475-1</f>
        <v>0.1447245564892623</v>
      </c>
      <c r="CC476" s="52">
        <f t="shared" si="1432"/>
        <v>0.18974358974358974</v>
      </c>
      <c r="CD476" s="52">
        <f t="shared" si="1432"/>
        <v>3.173311635476006E-2</v>
      </c>
      <c r="CE476" s="112">
        <f t="shared" si="1432"/>
        <v>0.13585171281088693</v>
      </c>
      <c r="CF476" s="52">
        <f t="shared" ref="CF476" si="1433">+CF475/CA475-1</f>
        <v>1.5164279696714411E-2</v>
      </c>
      <c r="CG476" s="52">
        <f t="shared" ref="CG476:CH476" si="1434">+CG475/CB475-1</f>
        <v>-4.7308319738988636E-2</v>
      </c>
      <c r="CH476" s="52">
        <f t="shared" si="1434"/>
        <v>3.3620689655172509E-2</v>
      </c>
      <c r="CI476" s="52">
        <f t="shared" ref="CI476" si="1435">+CI475/CD475-1</f>
        <v>-9.4637223974763374E-2</v>
      </c>
      <c r="CJ476" s="112">
        <f t="shared" ref="CJ476" si="1436">+CJ475/CE475-1</f>
        <v>-2.4994835777731872E-2</v>
      </c>
      <c r="CK476" s="52">
        <f t="shared" ref="CK476:CL476" si="1437">+CK475/CF475-1</f>
        <v>1.8257261410788317E-2</v>
      </c>
      <c r="CL476" s="52">
        <f t="shared" si="1437"/>
        <v>-2.9965753424657571E-2</v>
      </c>
      <c r="CM476" s="52">
        <f t="shared" ref="CM476" si="1438">+CM475/CH475-1</f>
        <v>-8.8407005838198494E-2</v>
      </c>
      <c r="CN476" s="52">
        <f t="shared" ref="CN476" si="1439">+CN475/CI475-1</f>
        <v>8.5365853658536661E-2</v>
      </c>
      <c r="CO476" s="112">
        <f t="shared" ref="CO476:CP476" si="1440">+CO475/CJ475-1</f>
        <v>-4.4491525423728806E-3</v>
      </c>
      <c r="CP476" s="52">
        <f t="shared" si="1440"/>
        <v>-2.8524857375713086E-2</v>
      </c>
      <c r="CQ476" s="52">
        <f t="shared" ref="CQ476:CS476" si="1441">+CQ475/CL475-1</f>
        <v>-5.3839364518976196E-2</v>
      </c>
      <c r="CR476" s="52">
        <f t="shared" si="1441"/>
        <v>0.10612991765782254</v>
      </c>
      <c r="CS476" s="52">
        <f t="shared" si="1441"/>
        <v>-9.3097913322632397E-2</v>
      </c>
      <c r="CT476" s="112">
        <f t="shared" ref="CT476:CU476" si="1442">+CT475/CO475-1</f>
        <v>-2.0429878697595272E-2</v>
      </c>
      <c r="CU476" s="52">
        <f t="shared" si="1442"/>
        <v>6.9914650156473579E-2</v>
      </c>
      <c r="CV476" s="53">
        <v>3.4140084056375919E-2</v>
      </c>
      <c r="CW476" s="53">
        <v>-4.6185989319587062E-3</v>
      </c>
      <c r="CX476" s="53">
        <v>-4.06945362501685E-2</v>
      </c>
      <c r="CY476" s="112">
        <f t="shared" ref="CY476" si="1443">+CY475/CT475-1</f>
        <v>1.4852861399852868E-2</v>
      </c>
      <c r="CZ476" s="53">
        <v>3.5574662001798929E-2</v>
      </c>
      <c r="DA476" s="53">
        <v>3.9733784251580584E-2</v>
      </c>
      <c r="DB476" s="53">
        <v>4.0595147228490669E-2</v>
      </c>
      <c r="DC476" s="53">
        <v>4.2424593784493148E-2</v>
      </c>
      <c r="DD476" s="112">
        <f t="shared" ref="DD476" si="1444">+DD475/CY475-1</f>
        <v>3.9444611706019428E-2</v>
      </c>
      <c r="DE476" s="53">
        <v>3.5574662001798929E-2</v>
      </c>
      <c r="DF476" s="53">
        <v>3.9733784251580584E-2</v>
      </c>
      <c r="DG476" s="53">
        <v>4.0595147228490669E-2</v>
      </c>
      <c r="DH476" s="53">
        <v>4.2424593784493148E-2</v>
      </c>
      <c r="DI476" s="112">
        <f t="shared" ref="DI476" si="1445">+DI475/DD475-1</f>
        <v>3.9450874993056217E-2</v>
      </c>
    </row>
    <row r="477" spans="1:113" ht="12" customHeight="1">
      <c r="A477" s="219"/>
      <c r="B477" s="17"/>
      <c r="C477" s="79"/>
      <c r="D477" s="6"/>
      <c r="E477" s="79"/>
      <c r="F477" s="6"/>
      <c r="G477" s="79"/>
      <c r="H477" s="6"/>
      <c r="I477" s="79"/>
      <c r="J477" s="6"/>
      <c r="K477" s="79"/>
      <c r="L477" s="6"/>
      <c r="M477" s="79"/>
      <c r="N477" s="6"/>
      <c r="O477" s="79"/>
      <c r="P477" s="6"/>
      <c r="Q477" s="79"/>
      <c r="R477" s="6"/>
      <c r="S477" s="6"/>
      <c r="T477" s="6"/>
      <c r="U477" s="6"/>
      <c r="V477" s="79"/>
      <c r="W477" s="6"/>
      <c r="X477" s="6"/>
      <c r="Y477" s="6"/>
      <c r="Z477" s="6"/>
      <c r="AA477" s="79"/>
      <c r="AB477" s="79"/>
      <c r="AC477" s="6"/>
      <c r="AD477" s="6"/>
      <c r="AE477" s="6"/>
      <c r="AF477" s="6"/>
      <c r="AG477" s="79"/>
      <c r="AH477" s="6"/>
      <c r="AI477" s="6"/>
      <c r="AJ477" s="6"/>
      <c r="AK477" s="6"/>
      <c r="AL477" s="79"/>
      <c r="AM477" s="6"/>
      <c r="AN477" s="6"/>
      <c r="AO477" s="6"/>
      <c r="AP477" s="6"/>
      <c r="AQ477" s="79"/>
      <c r="AR477" s="6"/>
      <c r="AS477" s="6"/>
      <c r="AT477" s="6"/>
      <c r="AU477" s="6"/>
      <c r="AV477" s="79"/>
      <c r="AW477" s="6"/>
      <c r="AX477" s="6"/>
      <c r="AY477" s="6"/>
      <c r="AZ477" s="6"/>
      <c r="BA477" s="79"/>
      <c r="BB477" s="6"/>
      <c r="BC477" s="6"/>
      <c r="BD477" s="6"/>
      <c r="BE477" s="6"/>
      <c r="BF477" s="79"/>
      <c r="BG477" s="6"/>
      <c r="BH477" s="6"/>
      <c r="BI477" s="6"/>
      <c r="BJ477" s="6"/>
      <c r="BK477" s="79"/>
      <c r="BL477" s="6"/>
      <c r="BM477" s="6"/>
      <c r="BN477" s="6"/>
      <c r="BO477" s="6"/>
      <c r="BP477" s="79"/>
      <c r="BQ477" s="6"/>
      <c r="BR477" s="6"/>
      <c r="BS477" s="6"/>
      <c r="BT477" s="6"/>
      <c r="BU477" s="79"/>
      <c r="BV477" s="6"/>
      <c r="BW477" s="6"/>
      <c r="BX477" s="6"/>
      <c r="BY477" s="6"/>
      <c r="BZ477" s="79"/>
      <c r="CA477" s="6"/>
      <c r="CB477" s="6"/>
      <c r="CC477" s="6"/>
      <c r="CD477" s="6"/>
      <c r="CE477" s="79"/>
      <c r="CF477" s="6"/>
      <c r="CG477" s="6"/>
      <c r="CH477" s="6"/>
      <c r="CI477" s="6"/>
      <c r="CJ477" s="79"/>
      <c r="CK477" s="6"/>
      <c r="CL477" s="6"/>
      <c r="CM477" s="6"/>
      <c r="CN477" s="6"/>
      <c r="CO477" s="79"/>
      <c r="CP477" s="6"/>
      <c r="CQ477" s="6"/>
      <c r="CR477" s="6"/>
      <c r="CS477" s="6"/>
      <c r="CT477" s="79"/>
      <c r="CU477" s="6"/>
      <c r="CV477" s="6"/>
      <c r="CW477" s="6"/>
      <c r="CX477" s="6"/>
      <c r="CY477" s="79"/>
      <c r="CZ477" s="6"/>
      <c r="DA477" s="6"/>
      <c r="DB477" s="6"/>
      <c r="DC477" s="6"/>
      <c r="DD477" s="79"/>
      <c r="DE477" s="6"/>
      <c r="DF477" s="6"/>
      <c r="DG477" s="6"/>
      <c r="DH477" s="6"/>
      <c r="DI477" s="79"/>
    </row>
    <row r="478" spans="1:113" ht="12" customHeight="1">
      <c r="A478" s="219"/>
      <c r="B478" s="17" t="s">
        <v>426</v>
      </c>
      <c r="C478" s="79"/>
      <c r="D478" s="6"/>
      <c r="E478" s="79"/>
      <c r="F478" s="6"/>
      <c r="G478" s="79"/>
      <c r="H478" s="6"/>
      <c r="I478" s="79"/>
      <c r="J478" s="6"/>
      <c r="K478" s="79"/>
      <c r="L478" s="6"/>
      <c r="M478" s="79"/>
      <c r="N478" s="6"/>
      <c r="O478" s="79"/>
      <c r="P478" s="6"/>
      <c r="Q478" s="79"/>
      <c r="R478" s="6"/>
      <c r="S478" s="6"/>
      <c r="T478" s="6"/>
      <c r="U478" s="6"/>
      <c r="V478" s="79"/>
      <c r="W478" s="6"/>
      <c r="X478" s="6"/>
      <c r="Y478" s="6"/>
      <c r="Z478" s="6"/>
      <c r="AA478" s="79"/>
      <c r="AB478" s="79"/>
      <c r="AC478" s="6"/>
      <c r="AD478" s="6"/>
      <c r="AE478" s="6"/>
      <c r="AF478" s="6"/>
      <c r="AG478" s="79"/>
      <c r="AH478" s="6"/>
      <c r="AI478" s="6"/>
      <c r="AJ478" s="6"/>
      <c r="AK478" s="6"/>
      <c r="AL478" s="79"/>
      <c r="AM478" s="6"/>
      <c r="AN478" s="6"/>
      <c r="AO478" s="6"/>
      <c r="AP478" s="6"/>
      <c r="AQ478" s="79"/>
      <c r="AR478" s="6"/>
      <c r="AS478" s="6"/>
      <c r="AT478" s="6"/>
      <c r="AU478" s="6"/>
      <c r="AV478" s="79"/>
      <c r="AW478" s="6"/>
      <c r="AX478" s="6"/>
      <c r="AY478" s="6"/>
      <c r="AZ478" s="6"/>
      <c r="BA478" s="79"/>
      <c r="BB478" s="6"/>
      <c r="BC478" s="6"/>
      <c r="BD478" s="6"/>
      <c r="BE478" s="6"/>
      <c r="BF478" s="79"/>
      <c r="BG478" s="6"/>
      <c r="BH478" s="6"/>
      <c r="BI478" s="6"/>
      <c r="BJ478" s="6"/>
      <c r="BK478" s="79"/>
      <c r="BL478" s="6"/>
      <c r="BM478" s="6"/>
      <c r="BN478" s="6"/>
      <c r="BO478" s="6"/>
      <c r="BP478" s="79"/>
      <c r="BQ478" s="6"/>
      <c r="BR478" s="6"/>
      <c r="BS478" s="6"/>
      <c r="BT478" s="6"/>
      <c r="BU478" s="79"/>
      <c r="BV478" s="6"/>
      <c r="BW478" s="6"/>
      <c r="BX478" s="6"/>
      <c r="BY478" s="6"/>
      <c r="BZ478" s="79"/>
      <c r="CA478" s="6"/>
      <c r="CB478" s="6"/>
      <c r="CC478" s="6"/>
      <c r="CD478" s="6"/>
      <c r="CE478" s="36">
        <v>211</v>
      </c>
      <c r="CF478" s="43"/>
      <c r="CG478" s="43"/>
      <c r="CH478" s="43"/>
      <c r="CI478" s="43"/>
      <c r="CJ478" s="36">
        <v>236</v>
      </c>
      <c r="CK478" s="43">
        <v>57</v>
      </c>
      <c r="CL478" s="43">
        <v>59</v>
      </c>
      <c r="CM478" s="43">
        <v>55</v>
      </c>
      <c r="CN478" s="43">
        <f>CO478-CM478-CL478-CK478</f>
        <v>66</v>
      </c>
      <c r="CO478" s="36">
        <v>237</v>
      </c>
      <c r="CP478" s="43">
        <v>54</v>
      </c>
      <c r="CQ478" s="43">
        <v>55</v>
      </c>
      <c r="CR478" s="43">
        <v>58</v>
      </c>
      <c r="CS478" s="43">
        <f t="shared" ref="CS478:CS479" si="1446">CT478-CR478-CQ478-CP478</f>
        <v>64</v>
      </c>
      <c r="CT478" s="36">
        <v>231</v>
      </c>
      <c r="CU478" s="43"/>
      <c r="CV478" s="43"/>
      <c r="CW478" s="43"/>
      <c r="CX478" s="43"/>
      <c r="CY478" s="36"/>
      <c r="CZ478" s="43"/>
      <c r="DA478" s="43"/>
      <c r="DB478" s="43"/>
      <c r="DC478" s="43"/>
      <c r="DD478" s="36"/>
      <c r="DE478" s="43"/>
      <c r="DF478" s="43"/>
      <c r="DG478" s="43"/>
      <c r="DH478" s="43"/>
      <c r="DI478" s="36"/>
    </row>
    <row r="479" spans="1:113" ht="12" customHeight="1">
      <c r="A479" s="219"/>
      <c r="B479" s="17" t="s">
        <v>427</v>
      </c>
      <c r="C479" s="79"/>
      <c r="D479" s="6"/>
      <c r="E479" s="79"/>
      <c r="F479" s="6"/>
      <c r="G479" s="79"/>
      <c r="H479" s="6"/>
      <c r="I479" s="79"/>
      <c r="J479" s="6"/>
      <c r="K479" s="79"/>
      <c r="L479" s="6"/>
      <c r="M479" s="79"/>
      <c r="N479" s="6"/>
      <c r="O479" s="79"/>
      <c r="P479" s="6"/>
      <c r="Q479" s="79"/>
      <c r="R479" s="6"/>
      <c r="S479" s="6"/>
      <c r="T479" s="6"/>
      <c r="U479" s="6"/>
      <c r="V479" s="79"/>
      <c r="W479" s="6"/>
      <c r="X479" s="6"/>
      <c r="Y479" s="6"/>
      <c r="Z479" s="6"/>
      <c r="AA479" s="79"/>
      <c r="AB479" s="79"/>
      <c r="AC479" s="6"/>
      <c r="AD479" s="6"/>
      <c r="AE479" s="6"/>
      <c r="AF479" s="6"/>
      <c r="AG479" s="79"/>
      <c r="AH479" s="6"/>
      <c r="AI479" s="6"/>
      <c r="AJ479" s="6"/>
      <c r="AK479" s="6"/>
      <c r="AL479" s="79"/>
      <c r="AM479" s="6"/>
      <c r="AN479" s="6"/>
      <c r="AO479" s="6"/>
      <c r="AP479" s="6"/>
      <c r="AQ479" s="79"/>
      <c r="AR479" s="6"/>
      <c r="AS479" s="6"/>
      <c r="AT479" s="6"/>
      <c r="AU479" s="6"/>
      <c r="AV479" s="79"/>
      <c r="AW479" s="6"/>
      <c r="AX479" s="6"/>
      <c r="AY479" s="6"/>
      <c r="AZ479" s="6"/>
      <c r="BA479" s="79"/>
      <c r="BB479" s="6"/>
      <c r="BC479" s="6"/>
      <c r="BD479" s="6"/>
      <c r="BE479" s="6"/>
      <c r="BF479" s="79"/>
      <c r="BG479" s="6"/>
      <c r="BH479" s="6"/>
      <c r="BI479" s="6"/>
      <c r="BJ479" s="6"/>
      <c r="BK479" s="79"/>
      <c r="BL479" s="6"/>
      <c r="BM479" s="6"/>
      <c r="BN479" s="6"/>
      <c r="BO479" s="6"/>
      <c r="BP479" s="79"/>
      <c r="BQ479" s="6"/>
      <c r="BR479" s="6"/>
      <c r="BS479" s="6"/>
      <c r="BT479" s="6"/>
      <c r="BU479" s="79"/>
      <c r="BV479" s="6"/>
      <c r="BW479" s="6"/>
      <c r="BX479" s="6"/>
      <c r="BY479" s="6"/>
      <c r="BZ479" s="79"/>
      <c r="CA479" s="6"/>
      <c r="CB479" s="6"/>
      <c r="CC479" s="6"/>
      <c r="CD479" s="6"/>
      <c r="CE479" s="36">
        <v>232</v>
      </c>
      <c r="CF479" s="43"/>
      <c r="CG479" s="43"/>
      <c r="CH479" s="43"/>
      <c r="CI479" s="43"/>
      <c r="CJ479" s="36">
        <v>166</v>
      </c>
      <c r="CK479" s="39" t="s">
        <v>126</v>
      </c>
      <c r="CL479" s="39" t="s">
        <v>126</v>
      </c>
      <c r="CM479" s="39" t="s">
        <v>126</v>
      </c>
      <c r="CN479" s="39" t="s">
        <v>126</v>
      </c>
      <c r="CO479" s="36">
        <v>148</v>
      </c>
      <c r="CP479" s="43">
        <v>142</v>
      </c>
      <c r="CQ479" s="43">
        <v>152</v>
      </c>
      <c r="CR479" s="7">
        <v>157</v>
      </c>
      <c r="CS479" s="43">
        <f t="shared" si="1446"/>
        <v>-285</v>
      </c>
      <c r="CT479" s="36">
        <v>166</v>
      </c>
      <c r="CU479" s="43"/>
      <c r="CV479" s="43"/>
      <c r="CW479" s="43"/>
      <c r="CX479" s="43"/>
      <c r="CY479" s="36"/>
      <c r="CZ479" s="43"/>
      <c r="DA479" s="43"/>
      <c r="DB479" s="43"/>
      <c r="DC479" s="43"/>
      <c r="DD479" s="36"/>
      <c r="DE479" s="43"/>
      <c r="DF479" s="43"/>
      <c r="DG479" s="43"/>
      <c r="DH479" s="43"/>
      <c r="DI479" s="36"/>
    </row>
    <row r="480" spans="1:113" ht="12" customHeight="1">
      <c r="A480" s="219"/>
      <c r="B480" s="491" t="s">
        <v>348</v>
      </c>
      <c r="C480" s="79"/>
      <c r="D480" s="6"/>
      <c r="E480" s="79"/>
      <c r="F480" s="6"/>
      <c r="G480" s="79"/>
      <c r="H480" s="6"/>
      <c r="I480" s="79"/>
      <c r="J480" s="6"/>
      <c r="K480" s="79"/>
      <c r="L480" s="6"/>
      <c r="M480" s="79"/>
      <c r="N480" s="6"/>
      <c r="O480" s="79"/>
      <c r="P480" s="6"/>
      <c r="Q480" s="79"/>
      <c r="R480" s="6"/>
      <c r="S480" s="6"/>
      <c r="T480" s="6"/>
      <c r="U480" s="6"/>
      <c r="V480" s="79"/>
      <c r="W480" s="6"/>
      <c r="X480" s="6"/>
      <c r="Y480" s="6"/>
      <c r="Z480" s="6"/>
      <c r="AA480" s="79"/>
      <c r="AB480" s="79"/>
      <c r="AC480" s="6"/>
      <c r="AD480" s="6"/>
      <c r="AE480" s="6"/>
      <c r="AF480" s="6"/>
      <c r="AG480" s="79"/>
      <c r="AH480" s="6"/>
      <c r="AI480" s="6"/>
      <c r="AJ480" s="6"/>
      <c r="AK480" s="6"/>
      <c r="AL480" s="79"/>
      <c r="AM480" s="6"/>
      <c r="AN480" s="6"/>
      <c r="AO480" s="6"/>
      <c r="AP480" s="6"/>
      <c r="AQ480" s="79"/>
      <c r="AR480" s="6"/>
      <c r="AS480" s="6"/>
      <c r="AT480" s="6"/>
      <c r="AU480" s="6"/>
      <c r="AV480" s="79"/>
      <c r="AW480" s="6"/>
      <c r="AX480" s="6"/>
      <c r="AY480" s="6"/>
      <c r="AZ480" s="6"/>
      <c r="BA480" s="79"/>
      <c r="BB480" s="6"/>
      <c r="BC480" s="6"/>
      <c r="BD480" s="6"/>
      <c r="BE480" s="6"/>
      <c r="BF480" s="79"/>
      <c r="BG480" s="6"/>
      <c r="BH480" s="6"/>
      <c r="BI480" s="6"/>
      <c r="BJ480" s="6"/>
      <c r="BK480" s="79"/>
      <c r="BL480" s="6"/>
      <c r="BM480" s="6"/>
      <c r="BN480" s="6"/>
      <c r="BO480" s="6"/>
      <c r="BP480" s="79"/>
      <c r="BQ480" s="6"/>
      <c r="BR480" s="6"/>
      <c r="BS480" s="6"/>
      <c r="BT480" s="6"/>
      <c r="BU480" s="79"/>
      <c r="BV480" s="6"/>
      <c r="BW480" s="6"/>
      <c r="BX480" s="6"/>
      <c r="BY480" s="6"/>
      <c r="BZ480" s="79"/>
      <c r="CA480" s="6"/>
      <c r="CB480" s="6"/>
      <c r="CC480" s="6"/>
      <c r="CD480" s="6"/>
      <c r="CE480" s="232" t="s">
        <v>126</v>
      </c>
      <c r="CF480" s="27"/>
      <c r="CG480" s="27"/>
      <c r="CH480" s="27"/>
      <c r="CI480" s="27"/>
      <c r="CJ480" s="112">
        <f>CJ479/CE479-1</f>
        <v>-0.28448275862068961</v>
      </c>
      <c r="CK480" s="39" t="s">
        <v>126</v>
      </c>
      <c r="CL480" s="39" t="s">
        <v>126</v>
      </c>
      <c r="CM480" s="39" t="s">
        <v>126</v>
      </c>
      <c r="CN480" s="39" t="s">
        <v>126</v>
      </c>
      <c r="CO480" s="112">
        <f>CO479/CJ479-1</f>
        <v>-0.10843373493975905</v>
      </c>
      <c r="CP480" s="213" t="s">
        <v>126</v>
      </c>
      <c r="CQ480" s="213" t="s">
        <v>126</v>
      </c>
      <c r="CR480" s="213" t="s">
        <v>126</v>
      </c>
      <c r="CS480" s="39" t="s">
        <v>126</v>
      </c>
      <c r="CT480" s="112">
        <f>CT479/CO479-1</f>
        <v>0.12162162162162171</v>
      </c>
      <c r="CU480" s="213"/>
      <c r="CV480" s="27"/>
      <c r="CW480" s="27"/>
      <c r="CX480" s="27"/>
      <c r="CY480" s="112"/>
      <c r="CZ480" s="27"/>
      <c r="DA480" s="27"/>
      <c r="DB480" s="27"/>
      <c r="DC480" s="27"/>
      <c r="DD480" s="112"/>
      <c r="DE480" s="27"/>
      <c r="DF480" s="27"/>
      <c r="DG480" s="27"/>
      <c r="DH480" s="27"/>
      <c r="DI480" s="112"/>
    </row>
    <row r="481" spans="1:113" ht="12" customHeight="1">
      <c r="A481" s="219"/>
      <c r="B481" s="17"/>
      <c r="C481" s="79"/>
      <c r="D481" s="6"/>
      <c r="E481" s="79"/>
      <c r="F481" s="6"/>
      <c r="G481" s="79"/>
      <c r="H481" s="6"/>
      <c r="I481" s="79"/>
      <c r="J481" s="6"/>
      <c r="K481" s="79"/>
      <c r="L481" s="6"/>
      <c r="M481" s="79"/>
      <c r="N481" s="6"/>
      <c r="O481" s="79"/>
      <c r="P481" s="6"/>
      <c r="Q481" s="79"/>
      <c r="R481" s="6"/>
      <c r="S481" s="6"/>
      <c r="T481" s="6"/>
      <c r="U481" s="6"/>
      <c r="V481" s="79"/>
      <c r="W481" s="6"/>
      <c r="X481" s="6"/>
      <c r="Y481" s="6"/>
      <c r="Z481" s="6"/>
      <c r="AA481" s="79"/>
      <c r="AB481" s="79"/>
      <c r="AC481" s="6"/>
      <c r="AD481" s="6"/>
      <c r="AE481" s="6"/>
      <c r="AF481" s="6"/>
      <c r="AG481" s="79"/>
      <c r="AH481" s="6"/>
      <c r="AI481" s="6"/>
      <c r="AJ481" s="6"/>
      <c r="AK481" s="6"/>
      <c r="AL481" s="79"/>
      <c r="AM481" s="6"/>
      <c r="AN481" s="6"/>
      <c r="AO481" s="6"/>
      <c r="AP481" s="6"/>
      <c r="AQ481" s="79"/>
      <c r="AR481" s="6"/>
      <c r="AS481" s="6"/>
      <c r="AT481" s="6"/>
      <c r="AU481" s="6"/>
      <c r="AV481" s="79"/>
      <c r="AW481" s="6"/>
      <c r="AX481" s="6"/>
      <c r="AY481" s="6"/>
      <c r="AZ481" s="6"/>
      <c r="BA481" s="79"/>
      <c r="BB481" s="6"/>
      <c r="BC481" s="6"/>
      <c r="BD481" s="6"/>
      <c r="BE481" s="6"/>
      <c r="BF481" s="79"/>
      <c r="BG481" s="6"/>
      <c r="BH481" s="6"/>
      <c r="BI481" s="6"/>
      <c r="BJ481" s="6"/>
      <c r="BK481" s="79"/>
      <c r="BL481" s="6"/>
      <c r="BM481" s="6"/>
      <c r="BN481" s="6"/>
      <c r="BO481" s="6"/>
      <c r="BP481" s="79"/>
      <c r="BQ481" s="6"/>
      <c r="BR481" s="6"/>
      <c r="BS481" s="6"/>
      <c r="BT481" s="6"/>
      <c r="BU481" s="79"/>
      <c r="BV481" s="6"/>
      <c r="BW481" s="6"/>
      <c r="BX481" s="6"/>
      <c r="BY481" s="6"/>
      <c r="BZ481" s="79"/>
      <c r="CA481" s="6"/>
      <c r="CB481" s="6"/>
      <c r="CC481" s="6"/>
      <c r="CD481" s="6"/>
      <c r="CE481" s="79"/>
      <c r="CF481" s="6"/>
      <c r="CG481" s="6"/>
      <c r="CH481" s="6"/>
      <c r="CI481" s="6"/>
      <c r="CJ481" s="79"/>
      <c r="CK481" s="6"/>
      <c r="CL481" s="6"/>
      <c r="CM481" s="6"/>
      <c r="CN481" s="6"/>
      <c r="CO481" s="79"/>
      <c r="CP481" s="6"/>
      <c r="CQ481" s="6"/>
      <c r="CR481" s="6"/>
      <c r="CS481" s="6"/>
      <c r="CT481" s="79"/>
      <c r="CU481" s="6"/>
      <c r="CV481" s="6"/>
      <c r="CW481" s="6"/>
      <c r="CX481" s="6"/>
      <c r="CY481" s="79"/>
      <c r="CZ481" s="6"/>
      <c r="DA481" s="6"/>
      <c r="DB481" s="6"/>
      <c r="DC481" s="6"/>
      <c r="DD481" s="79"/>
      <c r="DE481" s="6"/>
      <c r="DF481" s="6"/>
      <c r="DG481" s="6"/>
      <c r="DH481" s="6"/>
      <c r="DI481" s="79"/>
    </row>
    <row r="482" spans="1:113" ht="12" customHeight="1">
      <c r="A482" s="5" t="str">
        <f t="shared" si="1336"/>
        <v xml:space="preserve"> </v>
      </c>
      <c r="B482" s="61" t="s">
        <v>100</v>
      </c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37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90"/>
      <c r="AP482" s="90"/>
      <c r="AQ482" s="89"/>
      <c r="AR482" s="89"/>
      <c r="AS482" s="89"/>
      <c r="AT482" s="90"/>
      <c r="AU482" s="90"/>
      <c r="AV482" s="90"/>
      <c r="AW482" s="89"/>
      <c r="AX482" s="89"/>
      <c r="AY482" s="90"/>
      <c r="AZ482" s="90"/>
      <c r="BA482" s="90"/>
      <c r="BB482" s="89"/>
      <c r="BC482" s="89"/>
      <c r="BD482" s="90"/>
      <c r="BE482" s="90"/>
      <c r="BF482" s="90"/>
      <c r="BG482" s="108"/>
      <c r="BH482" s="108"/>
      <c r="BI482" s="108"/>
      <c r="BJ482" s="108"/>
      <c r="BK482" s="90"/>
      <c r="BL482" s="89"/>
      <c r="BM482" s="89"/>
      <c r="BN482" s="90"/>
      <c r="BO482" s="90"/>
      <c r="BP482" s="90"/>
      <c r="BQ482" s="89"/>
      <c r="BR482" s="89"/>
      <c r="BS482" s="89"/>
      <c r="BT482" s="89"/>
      <c r="BU482" s="90"/>
      <c r="BV482" s="89"/>
      <c r="BW482" s="89"/>
      <c r="BX482" s="90"/>
      <c r="BY482" s="90"/>
      <c r="BZ482" s="90"/>
      <c r="CA482" s="89"/>
      <c r="CB482" s="89"/>
      <c r="CC482" s="90"/>
      <c r="CD482" s="90"/>
      <c r="CE482" s="90"/>
      <c r="CF482" s="89"/>
      <c r="CG482" s="89"/>
      <c r="CH482" s="90"/>
      <c r="CI482" s="90"/>
      <c r="CJ482" s="90"/>
      <c r="CK482" s="89"/>
      <c r="CL482" s="89"/>
      <c r="CM482" s="90"/>
      <c r="CN482" s="90"/>
      <c r="CO482" s="90"/>
      <c r="CP482" s="89"/>
      <c r="CQ482" s="89"/>
      <c r="CR482" s="90"/>
      <c r="CS482" s="90"/>
      <c r="CT482" s="90"/>
      <c r="CU482" s="89"/>
      <c r="CV482" s="47"/>
      <c r="CW482" s="208"/>
      <c r="CX482" s="89"/>
      <c r="CY482" s="47"/>
      <c r="CZ482" s="89"/>
      <c r="DA482" s="47"/>
      <c r="DB482" s="89"/>
      <c r="DC482" s="47"/>
      <c r="DD482" s="89"/>
      <c r="DE482" s="47"/>
      <c r="DF482" s="89"/>
      <c r="DG482" s="90"/>
      <c r="DH482" s="90"/>
      <c r="DI482" s="182"/>
    </row>
    <row r="483" spans="1:113" s="7" customFormat="1" ht="12" customHeight="1">
      <c r="A483" s="239" t="str">
        <f t="shared" si="1336"/>
        <v xml:space="preserve"> </v>
      </c>
      <c r="B483" s="20" t="s">
        <v>195</v>
      </c>
      <c r="C483" s="36"/>
      <c r="D483" s="43"/>
      <c r="E483" s="36"/>
      <c r="F483" s="43"/>
      <c r="G483" s="36"/>
      <c r="H483" s="43"/>
      <c r="I483" s="36"/>
      <c r="J483" s="43"/>
      <c r="K483" s="36"/>
      <c r="L483" s="43"/>
      <c r="M483" s="36"/>
      <c r="N483" s="43"/>
      <c r="O483" s="36"/>
      <c r="P483" s="43"/>
      <c r="Q483" s="36"/>
      <c r="R483" s="43">
        <v>694</v>
      </c>
      <c r="S483" s="43">
        <v>639</v>
      </c>
      <c r="T483" s="43">
        <v>680</v>
      </c>
      <c r="U483" s="43">
        <v>773</v>
      </c>
      <c r="V483" s="36">
        <f>SUM(R483:U483)</f>
        <v>2786</v>
      </c>
      <c r="W483" s="369">
        <v>773</v>
      </c>
      <c r="X483" s="369">
        <v>673</v>
      </c>
      <c r="Y483" s="369">
        <v>753</v>
      </c>
      <c r="Z483" s="369">
        <v>896</v>
      </c>
      <c r="AA483" s="36">
        <f>SUM(W483:Z483)</f>
        <v>3095</v>
      </c>
      <c r="AB483" s="36"/>
      <c r="AC483" s="43">
        <v>418</v>
      </c>
      <c r="AD483" s="43">
        <v>316</v>
      </c>
      <c r="AE483" s="43">
        <v>361</v>
      </c>
      <c r="AF483" s="43">
        <v>354</v>
      </c>
      <c r="AG483" s="36">
        <f>SUM(AC483:AF483)</f>
        <v>1449</v>
      </c>
      <c r="AH483" s="43">
        <v>494</v>
      </c>
      <c r="AI483" s="43">
        <v>360</v>
      </c>
      <c r="AJ483" s="43">
        <v>420</v>
      </c>
      <c r="AK483" s="43">
        <v>410</v>
      </c>
      <c r="AL483" s="36">
        <f>SUM(AH483:AK483)</f>
        <v>1684</v>
      </c>
      <c r="AM483" s="43">
        <v>575</v>
      </c>
      <c r="AN483" s="43">
        <v>434</v>
      </c>
      <c r="AO483" s="43">
        <v>538</v>
      </c>
      <c r="AP483" s="43">
        <v>435</v>
      </c>
      <c r="AQ483" s="36">
        <f>SUM(AM483:AP483)</f>
        <v>1982</v>
      </c>
      <c r="AR483" s="43">
        <v>555</v>
      </c>
      <c r="AS483" s="43">
        <v>398</v>
      </c>
      <c r="AT483" s="43">
        <v>489</v>
      </c>
      <c r="AU483" s="43">
        <v>513</v>
      </c>
      <c r="AV483" s="36">
        <f>SUM(AR483:AU483)</f>
        <v>1955</v>
      </c>
      <c r="AW483" s="43">
        <v>574</v>
      </c>
      <c r="AX483" s="43">
        <v>416</v>
      </c>
      <c r="AY483" s="43">
        <v>498</v>
      </c>
      <c r="AZ483" s="43">
        <v>554</v>
      </c>
      <c r="BA483" s="36">
        <f>SUM(AW483:AZ483)</f>
        <v>2042</v>
      </c>
      <c r="BB483" s="43">
        <v>483</v>
      </c>
      <c r="BC483" s="43">
        <v>408</v>
      </c>
      <c r="BD483" s="43">
        <v>483</v>
      </c>
      <c r="BE483" s="43">
        <v>512</v>
      </c>
      <c r="BF483" s="36">
        <f>SUM(BB483:BE483)</f>
        <v>1886</v>
      </c>
      <c r="BG483" s="43">
        <v>527</v>
      </c>
      <c r="BH483" s="43">
        <v>425</v>
      </c>
      <c r="BI483" s="43">
        <v>463</v>
      </c>
      <c r="BJ483" s="43">
        <v>491</v>
      </c>
      <c r="BK483" s="36">
        <f>SUM(BG483:BJ483)</f>
        <v>1906</v>
      </c>
      <c r="BL483" s="43">
        <v>555</v>
      </c>
      <c r="BM483" s="43">
        <v>480</v>
      </c>
      <c r="BN483" s="43">
        <v>506</v>
      </c>
      <c r="BO483" s="43">
        <v>305</v>
      </c>
      <c r="BP483" s="36">
        <f>SUM(BL483:BO483)</f>
        <v>1846</v>
      </c>
      <c r="BQ483" s="43">
        <v>563</v>
      </c>
      <c r="BR483" s="43">
        <v>476</v>
      </c>
      <c r="BS483" s="43">
        <v>570</v>
      </c>
      <c r="BT483" s="43">
        <v>596</v>
      </c>
      <c r="BU483" s="36">
        <f>SUM(BQ483:BT483)</f>
        <v>2205</v>
      </c>
      <c r="BV483" s="43">
        <v>629</v>
      </c>
      <c r="BW483" s="43">
        <v>557</v>
      </c>
      <c r="BX483" s="43">
        <v>567</v>
      </c>
      <c r="BY483" s="43">
        <v>593</v>
      </c>
      <c r="BZ483" s="36">
        <f>SUM(BV483:BY483)</f>
        <v>2346</v>
      </c>
      <c r="CA483" s="43">
        <v>643</v>
      </c>
      <c r="CB483" s="43">
        <v>586</v>
      </c>
      <c r="CC483" s="43">
        <v>612</v>
      </c>
      <c r="CD483" s="369">
        <v>586</v>
      </c>
      <c r="CE483" s="36">
        <f>SUM(CA483:CD483)</f>
        <v>2427</v>
      </c>
      <c r="CF483" s="43">
        <v>588</v>
      </c>
      <c r="CG483" s="43">
        <v>519</v>
      </c>
      <c r="CH483" s="43">
        <v>495</v>
      </c>
      <c r="CI483" s="43">
        <v>480</v>
      </c>
      <c r="CJ483" s="36">
        <f>SUM(CF483:CI483)</f>
        <v>2082</v>
      </c>
      <c r="CK483" s="43">
        <v>501</v>
      </c>
      <c r="CL483" s="43">
        <v>429</v>
      </c>
      <c r="CM483" s="43">
        <v>405</v>
      </c>
      <c r="CN483" s="43">
        <v>357</v>
      </c>
      <c r="CO483" s="36">
        <f>SUM(CK483:CN483)</f>
        <v>1692</v>
      </c>
      <c r="CP483" s="43">
        <v>366</v>
      </c>
      <c r="CQ483" s="43">
        <v>300</v>
      </c>
      <c r="CR483" s="43">
        <v>264</v>
      </c>
      <c r="CS483" s="43">
        <v>244</v>
      </c>
      <c r="CT483" s="36">
        <f>SUM(CP483:CS483)</f>
        <v>1174</v>
      </c>
      <c r="CU483" s="43">
        <v>263</v>
      </c>
      <c r="CV483" s="43">
        <f>CQ483*(1+CV485)*(1+CV486)</f>
        <v>225</v>
      </c>
      <c r="CW483" s="43">
        <f>CR483*(1+CW485)*(1+CW486)</f>
        <v>211.20000000000002</v>
      </c>
      <c r="CX483" s="43">
        <f>CS483*(1+CX485)*(1+CX486)</f>
        <v>195.20000000000002</v>
      </c>
      <c r="CY483" s="36">
        <f>SUM(CU483:CX483)</f>
        <v>894.40000000000009</v>
      </c>
      <c r="CZ483" s="43">
        <f>CU483*(1+CZ485)*(1+CZ486)</f>
        <v>249.85</v>
      </c>
      <c r="DA483" s="43">
        <f>CV483*(1+DA485)*(1+DA486)</f>
        <v>213.75</v>
      </c>
      <c r="DB483" s="43">
        <f>CW483*(1+DB485)*(1+DB486)</f>
        <v>206.976</v>
      </c>
      <c r="DC483" s="43">
        <f>CX483*(1+DC485)*(1+DC486)</f>
        <v>191.29600000000002</v>
      </c>
      <c r="DD483" s="36">
        <f>SUM(CZ483:DC483)</f>
        <v>861.87200000000007</v>
      </c>
      <c r="DE483" s="43">
        <f>CZ483*(1+DE485)*(1+DE486)</f>
        <v>249.85</v>
      </c>
      <c r="DF483" s="43">
        <f>DA483*(1+DF485)*(1+DF486)</f>
        <v>213.75</v>
      </c>
      <c r="DG483" s="43">
        <f>DB483*(1+DG485)*(1+DG486)</f>
        <v>206.976</v>
      </c>
      <c r="DH483" s="43">
        <f>DC483*(1+DH485)*(1+DH486)</f>
        <v>191.29600000000002</v>
      </c>
      <c r="DI483" s="36">
        <f>SUM(DE483:DH483)</f>
        <v>861.87200000000007</v>
      </c>
    </row>
    <row r="484" spans="1:113" ht="12" customHeight="1">
      <c r="A484" s="219" t="str">
        <f t="shared" si="1336"/>
        <v xml:space="preserve"> </v>
      </c>
      <c r="B484" s="491" t="s">
        <v>171</v>
      </c>
      <c r="C484" s="492"/>
      <c r="D484" s="522"/>
      <c r="E484" s="492"/>
      <c r="F484" s="522"/>
      <c r="G484" s="492"/>
      <c r="H484" s="522"/>
      <c r="I484" s="492"/>
      <c r="J484" s="522"/>
      <c r="K484" s="492"/>
      <c r="L484" s="522"/>
      <c r="M484" s="492"/>
      <c r="N484" s="522"/>
      <c r="O484" s="492"/>
      <c r="P484" s="522"/>
      <c r="Q484" s="492"/>
      <c r="R484" s="378" t="s">
        <v>126</v>
      </c>
      <c r="S484" s="522" t="s">
        <v>126</v>
      </c>
      <c r="T484" s="522" t="s">
        <v>126</v>
      </c>
      <c r="U484" s="522" t="s">
        <v>126</v>
      </c>
      <c r="V484" s="492" t="s">
        <v>126</v>
      </c>
      <c r="W484" s="52">
        <f>+W483/R483-1</f>
        <v>0.11383285302593671</v>
      </c>
      <c r="X484" s="52">
        <f>+X483/S483-1</f>
        <v>5.3208137715180071E-2</v>
      </c>
      <c r="Y484" s="52">
        <f>+Y483/T483-1</f>
        <v>0.10735294117647065</v>
      </c>
      <c r="Z484" s="52">
        <f>+Z483/U483-1</f>
        <v>0.15912031047865449</v>
      </c>
      <c r="AA484" s="112">
        <f>+AA483/V483-1</f>
        <v>0.11091170136396267</v>
      </c>
      <c r="AB484" s="112"/>
      <c r="AC484" s="52">
        <f>+AC483/W483-1</f>
        <v>-0.45924967658473481</v>
      </c>
      <c r="AD484" s="52">
        <f>+AD483/X483-1</f>
        <v>-0.53046062407132244</v>
      </c>
      <c r="AE484" s="52">
        <f>+AE483/Y483-1</f>
        <v>-0.52058432934926957</v>
      </c>
      <c r="AF484" s="52">
        <f>+AF483/Z483-1</f>
        <v>-0.6049107142857143</v>
      </c>
      <c r="AG484" s="112">
        <f>+AG483/AA483-1</f>
        <v>-0.53182552504038771</v>
      </c>
      <c r="AH484" s="52">
        <f t="shared" ref="AH484:AZ484" si="1447">+AH483/AC483-1</f>
        <v>0.18181818181818188</v>
      </c>
      <c r="AI484" s="52">
        <f t="shared" si="1447"/>
        <v>0.139240506329114</v>
      </c>
      <c r="AJ484" s="52">
        <f t="shared" si="1447"/>
        <v>0.16343490304709141</v>
      </c>
      <c r="AK484" s="52">
        <f t="shared" si="1447"/>
        <v>0.15819209039548032</v>
      </c>
      <c r="AL484" s="112">
        <f t="shared" si="1447"/>
        <v>0.16218081435472742</v>
      </c>
      <c r="AM484" s="52">
        <f t="shared" si="1447"/>
        <v>0.16396761133603244</v>
      </c>
      <c r="AN484" s="52">
        <f t="shared" si="1447"/>
        <v>0.20555555555555549</v>
      </c>
      <c r="AO484" s="52">
        <f t="shared" si="1447"/>
        <v>0.28095238095238084</v>
      </c>
      <c r="AP484" s="52">
        <f t="shared" si="1447"/>
        <v>6.0975609756097615E-2</v>
      </c>
      <c r="AQ484" s="112">
        <f t="shared" si="1447"/>
        <v>0.1769596199524941</v>
      </c>
      <c r="AR484" s="52">
        <f t="shared" si="1447"/>
        <v>-3.4782608695652195E-2</v>
      </c>
      <c r="AS484" s="52">
        <f t="shared" si="1447"/>
        <v>-8.2949308755760343E-2</v>
      </c>
      <c r="AT484" s="52">
        <f t="shared" si="1447"/>
        <v>-9.1078066914498157E-2</v>
      </c>
      <c r="AU484" s="52">
        <f t="shared" si="1447"/>
        <v>0.17931034482758612</v>
      </c>
      <c r="AV484" s="112">
        <f t="shared" si="1447"/>
        <v>-1.3622603430877955E-2</v>
      </c>
      <c r="AW484" s="52">
        <f t="shared" si="1447"/>
        <v>3.4234234234234329E-2</v>
      </c>
      <c r="AX484" s="52">
        <f t="shared" si="1447"/>
        <v>4.5226130653266416E-2</v>
      </c>
      <c r="AY484" s="52">
        <f t="shared" si="1447"/>
        <v>1.8404907975460016E-2</v>
      </c>
      <c r="AZ484" s="52">
        <f t="shared" si="1447"/>
        <v>7.9922027290448394E-2</v>
      </c>
      <c r="BA484" s="112">
        <f t="shared" ref="BA484:BP484" si="1448">+BA483/AV483-1</f>
        <v>4.4501278772378416E-2</v>
      </c>
      <c r="BB484" s="52">
        <f t="shared" si="1448"/>
        <v>-0.15853658536585369</v>
      </c>
      <c r="BC484" s="52">
        <f t="shared" si="1448"/>
        <v>-1.9230769230769273E-2</v>
      </c>
      <c r="BD484" s="52">
        <f t="shared" si="1448"/>
        <v>-3.0120481927710885E-2</v>
      </c>
      <c r="BE484" s="52">
        <f t="shared" si="1448"/>
        <v>-7.5812274368231014E-2</v>
      </c>
      <c r="BF484" s="112">
        <f t="shared" si="1448"/>
        <v>-7.6395690499510338E-2</v>
      </c>
      <c r="BG484" s="52">
        <f t="shared" si="1448"/>
        <v>9.109730848861286E-2</v>
      </c>
      <c r="BH484" s="52">
        <f t="shared" si="1448"/>
        <v>4.1666666666666741E-2</v>
      </c>
      <c r="BI484" s="52">
        <f t="shared" si="1448"/>
        <v>-4.1407867494824058E-2</v>
      </c>
      <c r="BJ484" s="52">
        <f t="shared" si="1448"/>
        <v>-4.1015625E-2</v>
      </c>
      <c r="BK484" s="112">
        <f t="shared" si="1448"/>
        <v>1.0604453870625585E-2</v>
      </c>
      <c r="BL484" s="52">
        <f t="shared" si="1448"/>
        <v>5.3130929791271431E-2</v>
      </c>
      <c r="BM484" s="52">
        <f t="shared" si="1448"/>
        <v>0.12941176470588234</v>
      </c>
      <c r="BN484" s="52">
        <f t="shared" si="1448"/>
        <v>9.2872570194384441E-2</v>
      </c>
      <c r="BO484" s="52">
        <f t="shared" si="1448"/>
        <v>-0.37881873727087578</v>
      </c>
      <c r="BP484" s="112">
        <f t="shared" si="1448"/>
        <v>-3.147953830010497E-2</v>
      </c>
      <c r="BQ484" s="52">
        <f t="shared" ref="BQ484:BZ484" si="1449">+BQ483/BL483-1</f>
        <v>1.4414414414414489E-2</v>
      </c>
      <c r="BR484" s="52">
        <f t="shared" si="1449"/>
        <v>-8.3333333333333037E-3</v>
      </c>
      <c r="BS484" s="52">
        <f t="shared" si="1449"/>
        <v>0.12648221343873511</v>
      </c>
      <c r="BT484" s="52">
        <f t="shared" si="1449"/>
        <v>0.95409836065573761</v>
      </c>
      <c r="BU484" s="112">
        <f t="shared" si="1449"/>
        <v>0.19447453954496208</v>
      </c>
      <c r="BV484" s="52">
        <f t="shared" si="1449"/>
        <v>0.1172291296625223</v>
      </c>
      <c r="BW484" s="52">
        <f t="shared" si="1449"/>
        <v>0.17016806722689082</v>
      </c>
      <c r="BX484" s="52">
        <f t="shared" si="1449"/>
        <v>-5.2631578947368585E-3</v>
      </c>
      <c r="BY484" s="52">
        <f t="shared" si="1449"/>
        <v>-5.0335570469798308E-3</v>
      </c>
      <c r="BZ484" s="112">
        <f t="shared" si="1449"/>
        <v>6.3945578231292544E-2</v>
      </c>
      <c r="CA484" s="52">
        <f t="shared" ref="CA484" si="1450">+CA483/BV483-1</f>
        <v>2.2257551669316422E-2</v>
      </c>
      <c r="CB484" s="52">
        <f t="shared" ref="CB484:CD484" si="1451">+CB483/BW483-1</f>
        <v>5.2064631956912022E-2</v>
      </c>
      <c r="CC484" s="52">
        <f t="shared" si="1451"/>
        <v>7.9365079365079305E-2</v>
      </c>
      <c r="CD484" s="52">
        <f t="shared" si="1451"/>
        <v>-1.180438448566612E-2</v>
      </c>
      <c r="CE484" s="112">
        <f t="shared" ref="CE484" si="1452">+CE483/BZ483-1</f>
        <v>3.4526854219948833E-2</v>
      </c>
      <c r="CF484" s="52">
        <f t="shared" ref="CF484" si="1453">+CF483/CA483-1</f>
        <v>-8.5536547433903598E-2</v>
      </c>
      <c r="CG484" s="52">
        <f t="shared" ref="CG484:CH484" si="1454">+CG483/CB483-1</f>
        <v>-0.11433447098976113</v>
      </c>
      <c r="CH484" s="52">
        <f t="shared" si="1454"/>
        <v>-0.19117647058823528</v>
      </c>
      <c r="CI484" s="52">
        <f t="shared" ref="CI484" si="1455">+CI483/CD483-1</f>
        <v>-0.1808873720136519</v>
      </c>
      <c r="CJ484" s="112">
        <f t="shared" ref="CJ484:CM484" si="1456">+CJ483/CE483-1</f>
        <v>-0.14215080346106301</v>
      </c>
      <c r="CK484" s="52">
        <f t="shared" si="1456"/>
        <v>-0.14795918367346939</v>
      </c>
      <c r="CL484" s="52">
        <f t="shared" si="1456"/>
        <v>-0.17341040462427748</v>
      </c>
      <c r="CM484" s="52">
        <f t="shared" si="1456"/>
        <v>-0.18181818181818177</v>
      </c>
      <c r="CN484" s="52">
        <f t="shared" ref="CN484" si="1457">+CN483/CI483-1</f>
        <v>-0.25624999999999998</v>
      </c>
      <c r="CO484" s="112">
        <f t="shared" ref="CO484:CR484" si="1458">+CO483/CJ483-1</f>
        <v>-0.18731988472622474</v>
      </c>
      <c r="CP484" s="52">
        <f t="shared" si="1458"/>
        <v>-0.26946107784431139</v>
      </c>
      <c r="CQ484" s="52">
        <f t="shared" si="1458"/>
        <v>-0.30069930069930073</v>
      </c>
      <c r="CR484" s="52">
        <f t="shared" si="1458"/>
        <v>-0.3481481481481481</v>
      </c>
      <c r="CS484" s="52">
        <f t="shared" ref="CS484" si="1459">+CS483/CN483-1</f>
        <v>-0.31652661064425769</v>
      </c>
      <c r="CT484" s="112">
        <f t="shared" ref="CT484" si="1460">+CT483/CO483-1</f>
        <v>-0.30614657210401897</v>
      </c>
      <c r="CU484" s="52">
        <f t="shared" ref="CU484" si="1461">+CU483/CP483-1</f>
        <v>-0.28142076502732238</v>
      </c>
      <c r="CV484" s="52">
        <f t="shared" ref="CV484" si="1462">+CV483/CQ483-1</f>
        <v>-0.25</v>
      </c>
      <c r="CW484" s="52">
        <f t="shared" ref="CW484" si="1463">+CW483/CR483-1</f>
        <v>-0.19999999999999996</v>
      </c>
      <c r="CX484" s="52">
        <f t="shared" ref="CX484" si="1464">+CX483/CS483-1</f>
        <v>-0.19999999999999996</v>
      </c>
      <c r="CY484" s="112">
        <f t="shared" ref="CY484" si="1465">+CY483/CT483-1</f>
        <v>-0.23816013628620092</v>
      </c>
      <c r="CZ484" s="52">
        <f t="shared" ref="CZ484" si="1466">+CZ483/CU483-1</f>
        <v>-5.0000000000000044E-2</v>
      </c>
      <c r="DA484" s="52">
        <f t="shared" ref="DA484" si="1467">+DA483/CV483-1</f>
        <v>-5.0000000000000044E-2</v>
      </c>
      <c r="DB484" s="52">
        <f t="shared" ref="DB484" si="1468">+DB483/CW483-1</f>
        <v>-2.0000000000000129E-2</v>
      </c>
      <c r="DC484" s="52">
        <f t="shared" ref="DC484" si="1469">+DC483/CX483-1</f>
        <v>-2.0000000000000018E-2</v>
      </c>
      <c r="DD484" s="112">
        <f t="shared" ref="DD484" si="1470">+DD483/CY483-1</f>
        <v>-3.6368515205724483E-2</v>
      </c>
      <c r="DE484" s="52">
        <f t="shared" ref="DE484" si="1471">+DE483/CZ483-1</f>
        <v>0</v>
      </c>
      <c r="DF484" s="52">
        <f t="shared" ref="DF484" si="1472">+DF483/DA483-1</f>
        <v>0</v>
      </c>
      <c r="DG484" s="52">
        <f t="shared" ref="DG484" si="1473">+DG483/DB483-1</f>
        <v>0</v>
      </c>
      <c r="DH484" s="52">
        <f t="shared" ref="DH484" si="1474">+DH483/DC483-1</f>
        <v>0</v>
      </c>
      <c r="DI484" s="112">
        <f t="shared" ref="DI484" si="1475">+DI483/DD483-1</f>
        <v>0</v>
      </c>
    </row>
    <row r="485" spans="1:113" s="529" customFormat="1" ht="12" customHeight="1">
      <c r="A485" s="219" t="str">
        <f t="shared" si="1336"/>
        <v xml:space="preserve"> </v>
      </c>
      <c r="B485" s="526" t="s">
        <v>172</v>
      </c>
      <c r="C485" s="112"/>
      <c r="D485" s="52"/>
      <c r="E485" s="112"/>
      <c r="F485" s="52"/>
      <c r="G485" s="112"/>
      <c r="H485" s="52"/>
      <c r="I485" s="112"/>
      <c r="J485" s="52"/>
      <c r="K485" s="112"/>
      <c r="L485" s="52"/>
      <c r="M485" s="112"/>
      <c r="N485" s="52"/>
      <c r="O485" s="112"/>
      <c r="P485" s="52"/>
      <c r="Q485" s="112"/>
      <c r="R485" s="52"/>
      <c r="S485" s="52"/>
      <c r="T485" s="52"/>
      <c r="U485" s="52"/>
      <c r="V485" s="112"/>
      <c r="W485" s="52"/>
      <c r="X485" s="52"/>
      <c r="Y485" s="52"/>
      <c r="Z485" s="52"/>
      <c r="AA485" s="112"/>
      <c r="AB485" s="112"/>
      <c r="AC485" s="52">
        <v>8.5470085470085388E-2</v>
      </c>
      <c r="AD485" s="52">
        <v>6.1475409836065475E-2</v>
      </c>
      <c r="AE485" s="52">
        <v>9.2362344582593181E-2</v>
      </c>
      <c r="AF485" s="52">
        <v>0.10574018126888207</v>
      </c>
      <c r="AG485" s="112">
        <f>SUMPRODUCT(AC485:AF485,W483:Z483)/AA483</f>
        <v>8.7797536276464958E-2</v>
      </c>
      <c r="AH485" s="52">
        <v>0.18181818181818188</v>
      </c>
      <c r="AI485" s="52">
        <v>0.09</v>
      </c>
      <c r="AJ485" s="52">
        <v>0.16</v>
      </c>
      <c r="AK485" s="52">
        <v>0.15</v>
      </c>
      <c r="AL485" s="112">
        <f>SUMPRODUCT(AH485:AK485,AC483:AF483)/AG483</f>
        <v>0.14858523119392686</v>
      </c>
      <c r="AM485" s="52">
        <v>0.16396761133603244</v>
      </c>
      <c r="AN485" s="52">
        <v>0.24</v>
      </c>
      <c r="AO485" s="52">
        <v>0.33</v>
      </c>
      <c r="AP485" s="52">
        <v>0.14000000000000001</v>
      </c>
      <c r="AQ485" s="112">
        <f>SUMPRODUCT(AM485:AP485,AH483:AK483)/AL483</f>
        <v>0.21579572446555817</v>
      </c>
      <c r="AR485" s="52">
        <v>0.03</v>
      </c>
      <c r="AS485" s="52">
        <v>-0.05</v>
      </c>
      <c r="AT485" s="52">
        <v>-0.05</v>
      </c>
      <c r="AU485" s="52">
        <v>0.18</v>
      </c>
      <c r="AV485" s="112">
        <f>SUMPRODUCT(AR485:AU485,AM483:AP483)/AQ483</f>
        <v>2.3688193743693232E-2</v>
      </c>
      <c r="AW485" s="52">
        <v>0.04</v>
      </c>
      <c r="AX485" s="52">
        <v>0.05</v>
      </c>
      <c r="AY485" s="52">
        <v>0.03</v>
      </c>
      <c r="AZ485" s="52">
        <v>0.1</v>
      </c>
      <c r="BA485" s="112">
        <f>SUMPRODUCT(AW485:AZ485,AR483:AU483)/AV483</f>
        <v>5.5278772378516625E-2</v>
      </c>
      <c r="BB485" s="52">
        <v>-0.16</v>
      </c>
      <c r="BC485" s="52">
        <v>-0.04</v>
      </c>
      <c r="BD485" s="114">
        <v>-0.08</v>
      </c>
      <c r="BE485" s="114">
        <v>-0.14000000000000001</v>
      </c>
      <c r="BF485" s="112">
        <f>SUMPRODUCT(BB485:BE485,AW483:AZ483)/BA483</f>
        <v>-0.11061704211557297</v>
      </c>
      <c r="BG485" s="114">
        <v>7.0000000000000007E-2</v>
      </c>
      <c r="BH485" s="114">
        <v>0.06</v>
      </c>
      <c r="BI485" s="114">
        <v>-0.02</v>
      </c>
      <c r="BJ485" s="114">
        <v>0</v>
      </c>
      <c r="BK485" s="112">
        <f>SUMPRODUCT(BG485:BJ485,BB483:BE483)/BF483</f>
        <v>2.5784729586426303E-2</v>
      </c>
      <c r="BL485" s="114">
        <v>0.08</v>
      </c>
      <c r="BM485" s="114">
        <v>0.15</v>
      </c>
      <c r="BN485" s="114">
        <v>0.11</v>
      </c>
      <c r="BO485" s="114">
        <v>-0.36</v>
      </c>
      <c r="BP485" s="112">
        <f>SUMPRODUCT(BL485:BO485,BG483:BJ483)/BK483</f>
        <v>-1.045120671563483E-2</v>
      </c>
      <c r="BQ485" s="114">
        <v>0.02</v>
      </c>
      <c r="BR485" s="114">
        <v>-0.04</v>
      </c>
      <c r="BS485" s="114">
        <v>0.08</v>
      </c>
      <c r="BT485" s="114">
        <v>0.85</v>
      </c>
      <c r="BU485" s="112">
        <f>SUMPRODUCT(BQ485:BT485,BL483:BO483)/BP483</f>
        <v>0.15797941495124593</v>
      </c>
      <c r="BV485" s="114">
        <v>7.0000000000000007E-2</v>
      </c>
      <c r="BW485" s="114">
        <v>0.16</v>
      </c>
      <c r="BX485" s="114">
        <v>0.02</v>
      </c>
      <c r="BY485" s="114">
        <v>0.03</v>
      </c>
      <c r="BZ485" s="112">
        <f>SUMPRODUCT(BV485:BY485,BQ483:BT483)/BU483</f>
        <v>6.5691609977324261E-2</v>
      </c>
      <c r="CA485" s="114">
        <v>0.08</v>
      </c>
      <c r="CB485" s="114">
        <v>0.12</v>
      </c>
      <c r="CC485" s="114">
        <v>0.12</v>
      </c>
      <c r="CD485" s="114">
        <v>0.01</v>
      </c>
      <c r="CE485" s="112">
        <f>SUMPRODUCT(CA485:CD485,BV483:BY483)/BZ483</f>
        <v>8.1470588235294114E-2</v>
      </c>
      <c r="CF485" s="114">
        <v>-0.09</v>
      </c>
      <c r="CG485" s="114">
        <v>-0.13</v>
      </c>
      <c r="CH485" s="114">
        <v>-0.2</v>
      </c>
      <c r="CI485" s="114">
        <v>-0.17</v>
      </c>
      <c r="CJ485" s="112">
        <f>SUMPRODUCT(CF485:CI485,CA483:CD483)/CE483</f>
        <v>-0.14671199011124847</v>
      </c>
      <c r="CK485" s="114">
        <v>-0.14000000000000001</v>
      </c>
      <c r="CL485" s="114">
        <v>-0.18</v>
      </c>
      <c r="CM485" s="114">
        <v>-0.16</v>
      </c>
      <c r="CN485" s="114">
        <v>-0.26</v>
      </c>
      <c r="CO485" s="112">
        <f>SUMPRODUCT(CK485:CN485,CF483:CI483)/CJ483</f>
        <v>-0.18239193083573488</v>
      </c>
      <c r="CP485" s="114">
        <v>-0.28000000000000003</v>
      </c>
      <c r="CQ485" s="114">
        <v>-0.31</v>
      </c>
      <c r="CR485" s="114">
        <v>-0.37</v>
      </c>
      <c r="CS485" s="114">
        <v>-0.34</v>
      </c>
      <c r="CT485" s="112">
        <f>SUMPRODUCT(CP485:CS485,CK483:CN483)/CO483</f>
        <v>-0.32180851063829785</v>
      </c>
      <c r="CU485" s="114">
        <v>-0.28000000000000003</v>
      </c>
      <c r="CV485" s="53">
        <v>-0.25</v>
      </c>
      <c r="CW485" s="53">
        <v>-0.2</v>
      </c>
      <c r="CX485" s="53">
        <v>-0.2</v>
      </c>
      <c r="CY485" s="112">
        <f>SUMPRODUCT(CU485:CX485,CP483:CS483)/CT483</f>
        <v>-0.23771720613287908</v>
      </c>
      <c r="CZ485" s="53">
        <v>-0.05</v>
      </c>
      <c r="DA485" s="53">
        <v>-0.05</v>
      </c>
      <c r="DB485" s="53">
        <v>-0.02</v>
      </c>
      <c r="DC485" s="53">
        <v>-0.02</v>
      </c>
      <c r="DD485" s="112">
        <f>SUMPRODUCT(CZ485:DC485,CU483:CX483)/CY483</f>
        <v>-3.6368515205724504E-2</v>
      </c>
      <c r="DE485" s="53">
        <v>0</v>
      </c>
      <c r="DF485" s="53">
        <v>0</v>
      </c>
      <c r="DG485" s="53">
        <v>0</v>
      </c>
      <c r="DH485" s="53">
        <v>0</v>
      </c>
      <c r="DI485" s="112">
        <f>SUMPRODUCT(DE485:DH485,CZ483:DC483)/DD483</f>
        <v>0</v>
      </c>
    </row>
    <row r="486" spans="1:113" ht="12" customHeight="1">
      <c r="A486" s="219" t="str">
        <f t="shared" si="1336"/>
        <v xml:space="preserve"> </v>
      </c>
      <c r="B486" s="491" t="s">
        <v>141</v>
      </c>
      <c r="C486" s="492"/>
      <c r="D486" s="522"/>
      <c r="E486" s="492"/>
      <c r="F486" s="522"/>
      <c r="G486" s="492"/>
      <c r="H486" s="522"/>
      <c r="I486" s="492"/>
      <c r="J486" s="522"/>
      <c r="K486" s="492"/>
      <c r="L486" s="522"/>
      <c r="M486" s="492"/>
      <c r="N486" s="522"/>
      <c r="O486" s="492"/>
      <c r="P486" s="522"/>
      <c r="Q486" s="492"/>
      <c r="R486" s="376"/>
      <c r="S486" s="376"/>
      <c r="T486" s="376"/>
      <c r="U486" s="376"/>
      <c r="V486" s="375"/>
      <c r="W486" s="376"/>
      <c r="X486" s="376"/>
      <c r="Y486" s="376"/>
      <c r="Z486" s="376"/>
      <c r="AA486" s="375"/>
      <c r="AB486" s="375"/>
      <c r="AC486" s="52">
        <f>(1+AC484)/(1+AC485)-1</f>
        <v>-0.50182844220798395</v>
      </c>
      <c r="AD486" s="52">
        <f>(1+AD484)/(1+AD485)-1</f>
        <v>-0.55765402422163191</v>
      </c>
      <c r="AE486" s="52">
        <f>(1+AE484)/(1+AE485)-1</f>
        <v>-0.56112028849372153</v>
      </c>
      <c r="AF486" s="52">
        <f>(1+AF484)/(1+AF485)-1</f>
        <v>-0.6426924765807962</v>
      </c>
      <c r="AG486" s="112">
        <f>SUMPRODUCT(AC486:AF486,W483:Z483)/AA483</f>
        <v>-0.56917304697256721</v>
      </c>
      <c r="AH486" s="52">
        <f>(1+AH484)/(1+AH485)-1</f>
        <v>0</v>
      </c>
      <c r="AI486" s="52">
        <f>(1+AI484)/(1+AI485)-1</f>
        <v>4.5174776448728471E-2</v>
      </c>
      <c r="AJ486" s="52">
        <f>(1+AJ484)/(1+AJ485)-1</f>
        <v>2.9611233164581474E-3</v>
      </c>
      <c r="AK486" s="52">
        <f>(1+AK484)/(1+AK485)-1</f>
        <v>7.12355686563515E-3</v>
      </c>
      <c r="AL486" s="112">
        <f>SUMPRODUCT(AH486:AK486,AC483:AF483)/AG483</f>
        <v>1.2329837132832594E-2</v>
      </c>
      <c r="AM486" s="52">
        <f>(1+AM484)/(1+AM485)-1</f>
        <v>0</v>
      </c>
      <c r="AN486" s="52">
        <f>(1+AN484)/(1+AN485)-1</f>
        <v>-2.777777777777779E-2</v>
      </c>
      <c r="AO486" s="52">
        <f>(1+AO484)/(1+AO485)-1</f>
        <v>-3.6877909058360303E-2</v>
      </c>
      <c r="AP486" s="52">
        <f>(1+AP484)/(1+AP485)-1</f>
        <v>-6.9319640564826757E-2</v>
      </c>
      <c r="AQ486" s="112">
        <f>SUMPRODUCT(AM486:AP486,AH483:AK483)/AL483</f>
        <v>-3.2012930187702078E-2</v>
      </c>
      <c r="AR486" s="52">
        <f>(1+AR484)/(1+AR485)-1</f>
        <v>-6.2895736597720631E-2</v>
      </c>
      <c r="AS486" s="52">
        <f>(1+AS484)/(1+AS485)-1</f>
        <v>-3.4683482900800366E-2</v>
      </c>
      <c r="AT486" s="52">
        <f>(1+AT484)/(1+AT485)-1</f>
        <v>-4.3240070436313838E-2</v>
      </c>
      <c r="AU486" s="52">
        <f>(1+AU484)/(1+AU485)-1</f>
        <v>-5.8445353594394067E-4</v>
      </c>
      <c r="AV486" s="112">
        <f>SUMPRODUCT(AR486:AU486,AM483:AP483)/AQ483</f>
        <v>-3.7706899750509178E-2</v>
      </c>
      <c r="AW486" s="52">
        <f>(1+AW484)/(1+AW485)-1</f>
        <v>-5.5440055440054703E-3</v>
      </c>
      <c r="AX486" s="52">
        <f>(1+AX484)/(1+AX485)-1</f>
        <v>-4.5465422349844076E-3</v>
      </c>
      <c r="AY486" s="52">
        <f>(1+AY484)/(1+AY485)-1</f>
        <v>-1.1257370897611696E-2</v>
      </c>
      <c r="AZ486" s="52">
        <f>(1+AZ484)/(1+AZ485)-1</f>
        <v>-1.8252702463228854E-2</v>
      </c>
      <c r="BA486" s="112">
        <f>SUMPRODUCT(AW486:AZ486,AR483:AU483)/AV483</f>
        <v>-1.0104827426606318E-2</v>
      </c>
      <c r="BB486" s="52">
        <f>(1+BB484)/(1+BB485)-1</f>
        <v>1.7421602787457413E-3</v>
      </c>
      <c r="BC486" s="52">
        <f>(1+BC484)/(1+BC485)-1</f>
        <v>2.1634615384615419E-2</v>
      </c>
      <c r="BD486" s="52">
        <f>(1+BD484)/(1+BD485)-1</f>
        <v>5.4216867469879526E-2</v>
      </c>
      <c r="BE486" s="52">
        <f>(1+BE484)/(1+BE485)-1</f>
        <v>7.4636890269498934E-2</v>
      </c>
      <c r="BF486" s="112">
        <f>SUMPRODUCT(BB486:BE486,AW483:AZ483)/BA483</f>
        <v>3.836867640024607E-2</v>
      </c>
      <c r="BG486" s="52">
        <f>(1+BG484)/(1+BG485)-1</f>
        <v>1.9717110737021315E-2</v>
      </c>
      <c r="BH486" s="52">
        <f>(1+BH484)/(1+BH485)-1</f>
        <v>-1.729559748427667E-2</v>
      </c>
      <c r="BI486" s="114">
        <f>(1+BI484)/(1+BI485)-1</f>
        <v>-2.1844762749820501E-2</v>
      </c>
      <c r="BJ486" s="114">
        <f>(1+BJ484)/(1+BJ485)-1</f>
        <v>-4.1015625E-2</v>
      </c>
      <c r="BK486" s="112">
        <f>SUMPRODUCT(BG486:BJ486,BB483:BE483)/BF483</f>
        <v>-1.5421134515252857E-2</v>
      </c>
      <c r="BL486" s="114">
        <f>(1+BL484)/(1+BL485)-1</f>
        <v>-2.4878768711785737E-2</v>
      </c>
      <c r="BM486" s="114">
        <f>(1+BM484)/(1+BM485)-1</f>
        <v>-1.7902813299232712E-2</v>
      </c>
      <c r="BN486" s="114">
        <f>(1+BN484)/(1+BN485)-1</f>
        <v>-1.5430116941996141E-2</v>
      </c>
      <c r="BO486" s="114">
        <f>(1+BO484)/(1+BO485)-1</f>
        <v>-2.9404276985743438E-2</v>
      </c>
      <c r="BP486" s="112">
        <f>SUMPRODUCT(BL486:BO486,BG483:BJ483)/BK483</f>
        <v>-2.2193835733173781E-2</v>
      </c>
      <c r="BQ486" s="114">
        <f>(1+BQ484)/(1+BQ485)-1</f>
        <v>-5.4760642995936859E-3</v>
      </c>
      <c r="BR486" s="114">
        <f>(1+BR484)/(1+BR485)-1</f>
        <v>3.298611111111116E-2</v>
      </c>
      <c r="BS486" s="114">
        <f>(1+BS484)/(1+BS485)-1</f>
        <v>4.3039086517347336E-2</v>
      </c>
      <c r="BT486" s="114">
        <f>(1+BT484)/(1+BT485)-1</f>
        <v>5.6269384138236456E-2</v>
      </c>
      <c r="BU486" s="112">
        <f>SUMPRODUCT(BQ486:BT486,BL483:BO483)/BP483</f>
        <v>2.8024949938785879E-2</v>
      </c>
      <c r="BV486" s="114">
        <f>(1+BV484)/(1+BV485)-1</f>
        <v>4.4139373516375979E-2</v>
      </c>
      <c r="BW486" s="114">
        <f>(1+BW484)/(1+BW485)-1</f>
        <v>8.7655751955955097E-3</v>
      </c>
      <c r="BX486" s="114">
        <f>(1+BX484)/(1+BX485)-1</f>
        <v>-2.4767801857585203E-2</v>
      </c>
      <c r="BY486" s="114">
        <f>(1+BY484)/(1+BY485)-1</f>
        <v>-3.4013162181533829E-2</v>
      </c>
      <c r="BZ486" s="112">
        <f>SUMPRODUCT(BV486:BY486,BQ483:BT483)/BU483</f>
        <v>-2.4338370232175003E-3</v>
      </c>
      <c r="CA486" s="114">
        <f>(1+CA484)/(1+CA485)-1</f>
        <v>-5.3465229935818148E-2</v>
      </c>
      <c r="CB486" s="114">
        <f>(1+CB484)/(1+CB485)-1</f>
        <v>-6.0656578609900036E-2</v>
      </c>
      <c r="CC486" s="114">
        <f>(1+CC484)/(1+CC485)-1</f>
        <v>-3.6281179138322184E-2</v>
      </c>
      <c r="CD486" s="114">
        <f>(1+CD484)/(1+CD485)-1</f>
        <v>-2.1588499490758584E-2</v>
      </c>
      <c r="CE486" s="112">
        <f>SUMPRODUCT(CA486:CD486,BV483:BY483)/BZ483</f>
        <v>-4.2961957666151941E-2</v>
      </c>
      <c r="CF486" s="114">
        <f>(1+CF484)/(1+CF485)-1</f>
        <v>4.904892929776139E-3</v>
      </c>
      <c r="CG486" s="114">
        <f>(1+CG484)/(1+CG485)-1</f>
        <v>1.8006355184182699E-2</v>
      </c>
      <c r="CH486" s="114">
        <f>(1+CH484)/(1+CH485)-1</f>
        <v>1.1029411764705843E-2</v>
      </c>
      <c r="CI486" s="114">
        <f>(1+CI484)/(1+CI485)-1</f>
        <v>-1.3117315679098684E-2</v>
      </c>
      <c r="CJ486" s="112">
        <f>SUMPRODUCT(CF486:CI486,CA483:CD483)/CE483</f>
        <v>5.2611550489597304E-3</v>
      </c>
      <c r="CK486" s="114">
        <f>(1+CK484)/(1+CK485)-1</f>
        <v>-9.2548647365923165E-3</v>
      </c>
      <c r="CL486" s="114">
        <f>(1+CL484)/(1+CL485)-1</f>
        <v>8.036091921612698E-3</v>
      </c>
      <c r="CM486" s="114">
        <f>(1+CM484)/(1+CM485)-1</f>
        <v>-2.5974025974025872E-2</v>
      </c>
      <c r="CN486" s="114">
        <f>(1+CN484)/(1+CN485)-1</f>
        <v>5.0675675675675436E-3</v>
      </c>
      <c r="CO486" s="112">
        <f>SUMPRODUCT(CK486:CN486,CF483:CI483)/CJ483</f>
        <v>-5.6175980703696811E-3</v>
      </c>
      <c r="CP486" s="114">
        <f>(1+CP484)/(1+CP485)-1</f>
        <v>1.4637391882900808E-2</v>
      </c>
      <c r="CQ486" s="114">
        <f>(1+CQ484)/(1+CQ485)-1</f>
        <v>1.3479274348839665E-2</v>
      </c>
      <c r="CR486" s="114">
        <f>(1+CR484)/(1+CR485)-1</f>
        <v>3.4685479129923591E-2</v>
      </c>
      <c r="CS486" s="114">
        <f>(1+CS484)/(1+CS485)-1</f>
        <v>3.5565741448094546E-2</v>
      </c>
      <c r="CT486" s="112">
        <f>SUMPRODUCT(CP486:CS486,CK483:CN483)/CO483</f>
        <v>2.3558233317715321E-2</v>
      </c>
      <c r="CU486" s="114">
        <f>(1+CU484)/(1+CU485)-1</f>
        <v>-1.9732847601698911E-3</v>
      </c>
      <c r="CV486" s="53">
        <v>0</v>
      </c>
      <c r="CW486" s="53">
        <v>0</v>
      </c>
      <c r="CX486" s="53">
        <v>0</v>
      </c>
      <c r="CY486" s="112">
        <f>SUMPRODUCT(CU486:CX486,CP483:CS483)/CT483</f>
        <v>-6.1518076850270885E-4</v>
      </c>
      <c r="CZ486" s="53">
        <v>0</v>
      </c>
      <c r="DA486" s="53">
        <v>0</v>
      </c>
      <c r="DB486" s="53">
        <v>0</v>
      </c>
      <c r="DC486" s="53">
        <v>0</v>
      </c>
      <c r="DD486" s="112">
        <f>SUMPRODUCT(CZ486:DC486,CU483:CX483)/CY483</f>
        <v>0</v>
      </c>
      <c r="DE486" s="53">
        <v>0</v>
      </c>
      <c r="DF486" s="53">
        <v>0</v>
      </c>
      <c r="DG486" s="53">
        <v>0</v>
      </c>
      <c r="DH486" s="53">
        <v>0</v>
      </c>
      <c r="DI486" s="112">
        <f>SUMPRODUCT(DE486:DH486,CZ483:DC483)/DD483</f>
        <v>0</v>
      </c>
    </row>
    <row r="487" spans="1:113" ht="12" customHeight="1">
      <c r="A487" s="219"/>
      <c r="B487" s="17"/>
      <c r="C487" s="79"/>
      <c r="D487" s="6"/>
      <c r="E487" s="79"/>
      <c r="F487" s="6"/>
      <c r="G487" s="79"/>
      <c r="H487" s="6"/>
      <c r="I487" s="79"/>
      <c r="J487" s="6"/>
      <c r="K487" s="79"/>
      <c r="L487" s="6"/>
      <c r="M487" s="79"/>
      <c r="N487" s="6"/>
      <c r="O487" s="79"/>
      <c r="P487" s="6"/>
      <c r="Q487" s="79"/>
      <c r="R487" s="6"/>
      <c r="S487" s="6"/>
      <c r="T487" s="6"/>
      <c r="U487" s="6"/>
      <c r="V487" s="79"/>
      <c r="W487" s="6"/>
      <c r="X487" s="6"/>
      <c r="Y487" s="6"/>
      <c r="Z487" s="6"/>
      <c r="AA487" s="79"/>
      <c r="AB487" s="79"/>
      <c r="AC487" s="6"/>
      <c r="AD487" s="6"/>
      <c r="AE487" s="6"/>
      <c r="AF487" s="6"/>
      <c r="AG487" s="79"/>
      <c r="AH487" s="6"/>
      <c r="AI487" s="6"/>
      <c r="AJ487" s="6"/>
      <c r="AK487" s="6"/>
      <c r="AL487" s="79"/>
      <c r="AM487" s="6"/>
      <c r="AN487" s="6"/>
      <c r="AO487" s="6"/>
      <c r="AP487" s="6"/>
      <c r="AQ487" s="79"/>
      <c r="AR487" s="6"/>
      <c r="AS487" s="6"/>
      <c r="AT487" s="6"/>
      <c r="AU487" s="6"/>
      <c r="AV487" s="79"/>
      <c r="AW487" s="6"/>
      <c r="AX487" s="6"/>
      <c r="AY487" s="6"/>
      <c r="AZ487" s="6"/>
      <c r="BA487" s="79"/>
      <c r="BB487" s="6"/>
      <c r="BC487" s="6"/>
      <c r="BD487" s="6"/>
      <c r="BE487" s="6"/>
      <c r="BF487" s="79"/>
      <c r="BG487" s="6"/>
      <c r="BH487" s="6"/>
      <c r="BI487" s="6"/>
      <c r="BJ487" s="6"/>
      <c r="BK487" s="79"/>
      <c r="BL487" s="6"/>
      <c r="BM487" s="6"/>
      <c r="BN487" s="6"/>
      <c r="BO487" s="6"/>
      <c r="BP487" s="79"/>
      <c r="BQ487" s="6"/>
      <c r="BR487" s="6"/>
      <c r="BS487" s="6"/>
      <c r="BT487" s="6"/>
      <c r="BU487" s="79"/>
      <c r="BV487" s="6"/>
      <c r="BW487" s="6"/>
      <c r="BX487" s="6"/>
      <c r="BY487" s="6"/>
      <c r="BZ487" s="79"/>
      <c r="CA487" s="6"/>
      <c r="CB487" s="6"/>
      <c r="CC487" s="6"/>
      <c r="CD487" s="6"/>
      <c r="CE487" s="79"/>
      <c r="CF487" s="6"/>
      <c r="CG487" s="6"/>
      <c r="CH487" s="6"/>
      <c r="CI487" s="6"/>
      <c r="CJ487" s="79"/>
      <c r="CK487" s="6"/>
      <c r="CL487" s="6"/>
      <c r="CM487" s="6"/>
      <c r="CN487" s="6"/>
      <c r="CO487" s="79"/>
      <c r="CP487" s="6"/>
      <c r="CQ487" s="6"/>
      <c r="CR487" s="6"/>
      <c r="CS487" s="6"/>
      <c r="CT487" s="79"/>
      <c r="CU487" s="6"/>
      <c r="CV487" s="6"/>
      <c r="CW487" s="6"/>
      <c r="CX487" s="6"/>
      <c r="CY487" s="79"/>
      <c r="CZ487" s="6"/>
      <c r="DA487" s="6"/>
      <c r="DB487" s="6"/>
      <c r="DC487" s="6"/>
      <c r="DD487" s="79"/>
      <c r="DE487" s="6"/>
      <c r="DF487" s="6"/>
      <c r="DG487" s="6"/>
      <c r="DH487" s="6"/>
      <c r="DI487" s="79"/>
    </row>
    <row r="488" spans="1:113" ht="12" hidden="1" customHeight="1" outlineLevel="1">
      <c r="A488" s="219" t="str">
        <f t="shared" si="1336"/>
        <v xml:space="preserve"> </v>
      </c>
      <c r="B488" s="17" t="s">
        <v>288</v>
      </c>
      <c r="C488" s="79"/>
      <c r="D488" s="6"/>
      <c r="E488" s="79"/>
      <c r="F488" s="6"/>
      <c r="G488" s="79"/>
      <c r="H488" s="6"/>
      <c r="I488" s="79"/>
      <c r="J488" s="6"/>
      <c r="K488" s="79"/>
      <c r="L488" s="6"/>
      <c r="M488" s="79"/>
      <c r="N488" s="6"/>
      <c r="O488" s="79"/>
      <c r="P488" s="6"/>
      <c r="Q488" s="79"/>
      <c r="R488" s="6"/>
      <c r="S488" s="6"/>
      <c r="T488" s="6"/>
      <c r="U488" s="6"/>
      <c r="V488" s="79"/>
      <c r="W488" s="6"/>
      <c r="X488" s="6"/>
      <c r="Y488" s="6"/>
      <c r="Z488" s="6"/>
      <c r="AA488" s="79"/>
      <c r="AB488" s="79"/>
      <c r="AC488" s="6"/>
      <c r="AD488" s="6"/>
      <c r="AE488" s="6"/>
      <c r="AF488" s="6"/>
      <c r="AG488" s="79"/>
      <c r="AH488" s="6"/>
      <c r="AI488" s="6"/>
      <c r="AJ488" s="6"/>
      <c r="AK488" s="6"/>
      <c r="AL488" s="79"/>
      <c r="AM488" s="6"/>
      <c r="AN488" s="6"/>
      <c r="AO488" s="6"/>
      <c r="AP488" s="6"/>
      <c r="AQ488" s="79"/>
      <c r="AR488" s="6"/>
      <c r="AS488" s="6"/>
      <c r="AT488" s="6"/>
      <c r="AU488" s="6"/>
      <c r="AV488" s="608">
        <v>0.04</v>
      </c>
      <c r="AW488" s="609">
        <v>0.04</v>
      </c>
      <c r="AX488" s="609">
        <v>0.08</v>
      </c>
      <c r="AY488" s="609">
        <v>0.02</v>
      </c>
      <c r="AZ488" s="609">
        <f t="shared" ref="AZ488:AZ493" si="1476">BA488*4-SUM(AW488:AY488)</f>
        <v>2.0000000000000018E-2</v>
      </c>
      <c r="BA488" s="608">
        <v>0.04</v>
      </c>
      <c r="BB488" s="609">
        <v>-0.17</v>
      </c>
      <c r="BC488" s="609">
        <v>-7.0000000000000007E-2</v>
      </c>
      <c r="BD488" s="609">
        <v>-0.11</v>
      </c>
      <c r="BE488" s="609">
        <f t="shared" ref="BE488:BE493" si="1477">BF488*4-SUM(BB488:BD488)</f>
        <v>-0.12999999999999995</v>
      </c>
      <c r="BF488" s="608">
        <v>-0.12</v>
      </c>
      <c r="BG488" s="609">
        <v>7.0000000000000007E-2</v>
      </c>
      <c r="BH488" s="609">
        <v>0.05</v>
      </c>
      <c r="BI488" s="609">
        <v>-0.02</v>
      </c>
      <c r="BJ488" s="609">
        <f t="shared" ref="BJ488:BJ493" si="1478">BK488*4-SUM(BG488:BI488)</f>
        <v>-2.0000000000000004E-2</v>
      </c>
      <c r="BK488" s="608">
        <v>0.02</v>
      </c>
      <c r="BL488" s="6"/>
      <c r="BM488" s="6"/>
      <c r="BN488" s="6"/>
      <c r="BO488" s="609"/>
      <c r="BP488" s="79"/>
      <c r="BQ488" s="6"/>
      <c r="BR488" s="6"/>
      <c r="BS488" s="6"/>
      <c r="BT488" s="6"/>
      <c r="BU488" s="79"/>
      <c r="BV488" s="6"/>
      <c r="BW488" s="6"/>
      <c r="BX488" s="6"/>
      <c r="BY488" s="6"/>
      <c r="BZ488" s="79"/>
      <c r="CA488" s="6"/>
      <c r="CB488" s="6"/>
      <c r="CC488" s="6"/>
      <c r="CD488" s="6"/>
      <c r="CE488" s="79"/>
      <c r="CF488" s="6"/>
      <c r="CG488" s="6"/>
      <c r="CH488" s="6"/>
      <c r="CI488" s="6"/>
      <c r="CJ488" s="79"/>
      <c r="CK488" s="6"/>
      <c r="CL488" s="6"/>
      <c r="CM488" s="6"/>
      <c r="CN488" s="6"/>
      <c r="CO488" s="79"/>
      <c r="CP488" s="6"/>
      <c r="CQ488" s="6"/>
      <c r="CR488" s="6"/>
      <c r="CS488" s="6"/>
      <c r="CT488" s="79"/>
      <c r="CU488" s="6"/>
      <c r="CV488" s="6"/>
      <c r="CW488" s="6"/>
      <c r="CX488" s="6"/>
      <c r="CY488" s="79"/>
      <c r="CZ488" s="6"/>
      <c r="DA488" s="6"/>
      <c r="DB488" s="6"/>
      <c r="DC488" s="6"/>
      <c r="DD488" s="79"/>
      <c r="DE488" s="6"/>
      <c r="DF488" s="6"/>
      <c r="DG488" s="6"/>
      <c r="DH488" s="6"/>
      <c r="DI488" s="79"/>
    </row>
    <row r="489" spans="1:113" ht="12" hidden="1" customHeight="1" outlineLevel="1">
      <c r="A489" s="219" t="str">
        <f t="shared" si="1336"/>
        <v xml:space="preserve"> </v>
      </c>
      <c r="B489" s="491" t="s">
        <v>142</v>
      </c>
      <c r="C489" s="79"/>
      <c r="D489" s="6"/>
      <c r="E489" s="79"/>
      <c r="F489" s="6"/>
      <c r="G489" s="79"/>
      <c r="H489" s="6"/>
      <c r="I489" s="79"/>
      <c r="J489" s="6"/>
      <c r="K489" s="79"/>
      <c r="L489" s="6"/>
      <c r="M489" s="79"/>
      <c r="N489" s="6"/>
      <c r="O489" s="79"/>
      <c r="P489" s="6"/>
      <c r="Q489" s="79"/>
      <c r="R489" s="6"/>
      <c r="S489" s="6"/>
      <c r="T489" s="6"/>
      <c r="U489" s="6"/>
      <c r="V489" s="79"/>
      <c r="W489" s="6"/>
      <c r="X489" s="6"/>
      <c r="Y489" s="6"/>
      <c r="Z489" s="6"/>
      <c r="AA489" s="79"/>
      <c r="AB489" s="79"/>
      <c r="AC489" s="6"/>
      <c r="AD489" s="6"/>
      <c r="AE489" s="6"/>
      <c r="AF489" s="6"/>
      <c r="AG489" s="79"/>
      <c r="AH489" s="6"/>
      <c r="AI489" s="6"/>
      <c r="AJ489" s="6"/>
      <c r="AK489" s="6"/>
      <c r="AL489" s="79"/>
      <c r="AM489" s="6"/>
      <c r="AN489" s="6"/>
      <c r="AO489" s="6"/>
      <c r="AP489" s="6"/>
      <c r="AQ489" s="79"/>
      <c r="AR489" s="6"/>
      <c r="AS489" s="6"/>
      <c r="AT489" s="6"/>
      <c r="AU489" s="6"/>
      <c r="AV489" s="608">
        <v>-0.02</v>
      </c>
      <c r="AW489" s="609">
        <v>0.01</v>
      </c>
      <c r="AX489" s="609">
        <v>7.0000000000000007E-2</v>
      </c>
      <c r="AY489" s="609">
        <v>0.01</v>
      </c>
      <c r="AZ489" s="609">
        <f t="shared" si="1476"/>
        <v>-9.999999999999995E-3</v>
      </c>
      <c r="BA489" s="608">
        <v>0.02</v>
      </c>
      <c r="BB489" s="609">
        <v>-0.17</v>
      </c>
      <c r="BC489" s="609">
        <v>-0.12</v>
      </c>
      <c r="BD489" s="609">
        <v>-0.15</v>
      </c>
      <c r="BE489" s="609">
        <f t="shared" si="1477"/>
        <v>-0.12</v>
      </c>
      <c r="BF489" s="608">
        <v>-0.14000000000000001</v>
      </c>
      <c r="BG489" s="609">
        <v>0.01</v>
      </c>
      <c r="BH489" s="609">
        <v>-0.01</v>
      </c>
      <c r="BI489" s="609">
        <v>-0.04</v>
      </c>
      <c r="BJ489" s="609">
        <f t="shared" si="1478"/>
        <v>-7.9999999999999988E-2</v>
      </c>
      <c r="BK489" s="608">
        <v>-0.03</v>
      </c>
      <c r="BL489" s="6"/>
      <c r="BM489" s="6"/>
      <c r="BN489" s="6"/>
      <c r="BO489" s="609"/>
      <c r="BP489" s="79"/>
      <c r="BQ489" s="6"/>
      <c r="BR489" s="6"/>
      <c r="BS489" s="609">
        <v>-0.05</v>
      </c>
      <c r="BT489" s="6"/>
      <c r="BU489" s="79"/>
      <c r="BV489" s="6"/>
      <c r="BW489" s="6"/>
      <c r="BX489" s="6"/>
      <c r="BY489" s="6"/>
      <c r="BZ489" s="79"/>
      <c r="CA489" s="6"/>
      <c r="CB489" s="6"/>
      <c r="CC489" s="6"/>
      <c r="CD489" s="6"/>
      <c r="CE489" s="79"/>
      <c r="CF489" s="6"/>
      <c r="CG489" s="6"/>
      <c r="CH489" s="6"/>
      <c r="CI489" s="6"/>
      <c r="CJ489" s="79"/>
      <c r="CK489" s="6"/>
      <c r="CL489" s="6"/>
      <c r="CM489" s="6"/>
      <c r="CN489" s="6"/>
      <c r="CO489" s="79"/>
      <c r="CP489" s="6"/>
      <c r="CQ489" s="6"/>
      <c r="CR489" s="6"/>
      <c r="CS489" s="6"/>
      <c r="CT489" s="79"/>
      <c r="CU489" s="6"/>
      <c r="CV489" s="6"/>
      <c r="CW489" s="6"/>
      <c r="CX489" s="6"/>
      <c r="CY489" s="79"/>
      <c r="CZ489" s="6"/>
      <c r="DA489" s="6"/>
      <c r="DB489" s="6"/>
      <c r="DC489" s="6"/>
      <c r="DD489" s="79"/>
      <c r="DE489" s="6"/>
      <c r="DF489" s="6"/>
      <c r="DG489" s="6"/>
      <c r="DH489" s="6"/>
      <c r="DI489" s="79"/>
    </row>
    <row r="490" spans="1:113" ht="12" hidden="1" customHeight="1" outlineLevel="1">
      <c r="A490" s="219" t="str">
        <f t="shared" si="1336"/>
        <v xml:space="preserve"> </v>
      </c>
      <c r="B490" s="491" t="s">
        <v>143</v>
      </c>
      <c r="C490" s="79"/>
      <c r="D490" s="6"/>
      <c r="E490" s="79"/>
      <c r="F490" s="6"/>
      <c r="G490" s="79"/>
      <c r="H490" s="6"/>
      <c r="I490" s="79"/>
      <c r="J490" s="6"/>
      <c r="K490" s="79"/>
      <c r="L490" s="6"/>
      <c r="M490" s="79"/>
      <c r="N490" s="6"/>
      <c r="O490" s="79"/>
      <c r="P490" s="6"/>
      <c r="Q490" s="79"/>
      <c r="R490" s="6"/>
      <c r="S490" s="6"/>
      <c r="T490" s="6"/>
      <c r="U490" s="6"/>
      <c r="V490" s="79"/>
      <c r="W490" s="6"/>
      <c r="X490" s="6"/>
      <c r="Y490" s="6"/>
      <c r="Z490" s="6"/>
      <c r="AA490" s="79"/>
      <c r="AB490" s="79"/>
      <c r="AC490" s="6"/>
      <c r="AD490" s="6"/>
      <c r="AE490" s="6"/>
      <c r="AF490" s="6"/>
      <c r="AG490" s="79"/>
      <c r="AH490" s="6"/>
      <c r="AI490" s="6"/>
      <c r="AJ490" s="6"/>
      <c r="AK490" s="6"/>
      <c r="AL490" s="79"/>
      <c r="AM490" s="6"/>
      <c r="AN490" s="6"/>
      <c r="AO490" s="6"/>
      <c r="AP490" s="6"/>
      <c r="AQ490" s="79"/>
      <c r="AR490" s="6"/>
      <c r="AS490" s="6"/>
      <c r="AT490" s="6"/>
      <c r="AU490" s="6"/>
      <c r="AV490" s="608">
        <v>0.06</v>
      </c>
      <c r="AW490" s="609">
        <v>0.03</v>
      </c>
      <c r="AX490" s="609">
        <v>0.01</v>
      </c>
      <c r="AY490" s="609">
        <v>0.03</v>
      </c>
      <c r="AZ490" s="609">
        <f t="shared" si="1476"/>
        <v>9.999999999999995E-3</v>
      </c>
      <c r="BA490" s="608">
        <v>0.02</v>
      </c>
      <c r="BB490" s="609">
        <v>0</v>
      </c>
      <c r="BC490" s="609">
        <v>0.05</v>
      </c>
      <c r="BD490" s="609">
        <v>0.04</v>
      </c>
      <c r="BE490" s="609">
        <f t="shared" si="1477"/>
        <v>-9.999999999999995E-3</v>
      </c>
      <c r="BF490" s="608">
        <v>0.02</v>
      </c>
      <c r="BG490" s="609">
        <v>0.06</v>
      </c>
      <c r="BH490" s="609">
        <v>0.06</v>
      </c>
      <c r="BI490" s="609">
        <v>0.02</v>
      </c>
      <c r="BJ490" s="609">
        <f t="shared" si="1478"/>
        <v>6.0000000000000026E-2</v>
      </c>
      <c r="BK490" s="608">
        <v>0.05</v>
      </c>
      <c r="BL490" s="6"/>
      <c r="BM490" s="6"/>
      <c r="BN490" s="6"/>
      <c r="BO490" s="609"/>
      <c r="BP490" s="79"/>
      <c r="BQ490" s="6"/>
      <c r="BR490" s="6"/>
      <c r="BS490" s="609">
        <v>0.14000000000000001</v>
      </c>
      <c r="BT490" s="6"/>
      <c r="BU490" s="79"/>
      <c r="BV490" s="6"/>
      <c r="BW490" s="6"/>
      <c r="BX490" s="6"/>
      <c r="BY490" s="6"/>
      <c r="BZ490" s="79"/>
      <c r="CA490" s="6"/>
      <c r="CB490" s="6"/>
      <c r="CC490" s="6"/>
      <c r="CD490" s="6"/>
      <c r="CE490" s="79"/>
      <c r="CF490" s="6"/>
      <c r="CG490" s="6"/>
      <c r="CH490" s="6"/>
      <c r="CI490" s="6"/>
      <c r="CJ490" s="79"/>
      <c r="CK490" s="6"/>
      <c r="CL490" s="6"/>
      <c r="CM490" s="6"/>
      <c r="CN490" s="6"/>
      <c r="CO490" s="79"/>
      <c r="CP490" s="6"/>
      <c r="CQ490" s="6"/>
      <c r="CR490" s="6"/>
      <c r="CS490" s="6"/>
      <c r="CT490" s="79"/>
      <c r="CU490" s="6"/>
      <c r="CV490" s="6"/>
      <c r="CW490" s="6"/>
      <c r="CX490" s="6"/>
      <c r="CY490" s="79"/>
      <c r="CZ490" s="6"/>
      <c r="DA490" s="6"/>
      <c r="DB490" s="6"/>
      <c r="DC490" s="6"/>
      <c r="DD490" s="79"/>
      <c r="DE490" s="6"/>
      <c r="DF490" s="6"/>
      <c r="DG490" s="6"/>
      <c r="DH490" s="6"/>
      <c r="DI490" s="79"/>
    </row>
    <row r="491" spans="1:113" ht="12" hidden="1" customHeight="1" outlineLevel="1">
      <c r="A491" s="219" t="str">
        <f t="shared" si="1336"/>
        <v xml:space="preserve"> </v>
      </c>
      <c r="B491" s="491" t="s">
        <v>289</v>
      </c>
      <c r="C491" s="79"/>
      <c r="D491" s="6"/>
      <c r="E491" s="79"/>
      <c r="F491" s="6"/>
      <c r="G491" s="79"/>
      <c r="H491" s="6"/>
      <c r="I491" s="79"/>
      <c r="J491" s="6"/>
      <c r="K491" s="79"/>
      <c r="L491" s="6"/>
      <c r="M491" s="79"/>
      <c r="N491" s="6"/>
      <c r="O491" s="79"/>
      <c r="P491" s="6"/>
      <c r="Q491" s="79"/>
      <c r="R491" s="6"/>
      <c r="S491" s="6"/>
      <c r="T491" s="6"/>
      <c r="U491" s="6"/>
      <c r="V491" s="79"/>
      <c r="W491" s="6"/>
      <c r="X491" s="6"/>
      <c r="Y491" s="6"/>
      <c r="Z491" s="6"/>
      <c r="AA491" s="79"/>
      <c r="AB491" s="79"/>
      <c r="AC491" s="6"/>
      <c r="AD491" s="6"/>
      <c r="AE491" s="6"/>
      <c r="AF491" s="6"/>
      <c r="AG491" s="79"/>
      <c r="AH491" s="6"/>
      <c r="AI491" s="6"/>
      <c r="AJ491" s="6"/>
      <c r="AK491" s="6"/>
      <c r="AL491" s="79"/>
      <c r="AM491" s="6"/>
      <c r="AN491" s="6"/>
      <c r="AO491" s="6"/>
      <c r="AP491" s="6"/>
      <c r="AQ491" s="79"/>
      <c r="AR491" s="6"/>
      <c r="AS491" s="6"/>
      <c r="AT491" s="6"/>
      <c r="AU491" s="6"/>
      <c r="AV491" s="608">
        <v>0</v>
      </c>
      <c r="AW491" s="609">
        <v>0.01</v>
      </c>
      <c r="AX491" s="609">
        <v>0</v>
      </c>
      <c r="AY491" s="609">
        <v>0.02</v>
      </c>
      <c r="AZ491" s="609">
        <f t="shared" si="1476"/>
        <v>0.05</v>
      </c>
      <c r="BA491" s="608">
        <v>0.02</v>
      </c>
      <c r="BB491" s="609">
        <v>0.01</v>
      </c>
      <c r="BC491" s="609">
        <v>0.04</v>
      </c>
      <c r="BD491" s="609">
        <v>0.03</v>
      </c>
      <c r="BE491" s="609">
        <f t="shared" si="1477"/>
        <v>-0.04</v>
      </c>
      <c r="BF491" s="608">
        <v>0.01</v>
      </c>
      <c r="BG491" s="609">
        <v>0</v>
      </c>
      <c r="BH491" s="609">
        <v>0</v>
      </c>
      <c r="BI491" s="609">
        <v>0</v>
      </c>
      <c r="BJ491" s="609">
        <f t="shared" si="1478"/>
        <v>0</v>
      </c>
      <c r="BK491" s="608">
        <v>0</v>
      </c>
      <c r="BL491" s="6"/>
      <c r="BM491" s="6"/>
      <c r="BN491" s="6"/>
      <c r="BO491" s="609"/>
      <c r="BP491" s="79"/>
      <c r="BQ491" s="6"/>
      <c r="BR491" s="6"/>
      <c r="BS491" s="6"/>
      <c r="BT491" s="6"/>
      <c r="BU491" s="79"/>
      <c r="BV491" s="6"/>
      <c r="BW491" s="6"/>
      <c r="BX491" s="6"/>
      <c r="BY491" s="6"/>
      <c r="BZ491" s="79"/>
      <c r="CA491" s="6"/>
      <c r="CB491" s="6"/>
      <c r="CC491" s="6"/>
      <c r="CD491" s="6"/>
      <c r="CE491" s="79"/>
      <c r="CF491" s="6"/>
      <c r="CG491" s="6"/>
      <c r="CH491" s="6"/>
      <c r="CI491" s="6"/>
      <c r="CJ491" s="79"/>
      <c r="CK491" s="6"/>
      <c r="CL491" s="6"/>
      <c r="CM491" s="6"/>
      <c r="CN491" s="6"/>
      <c r="CO491" s="79"/>
      <c r="CP491" s="6"/>
      <c r="CQ491" s="6"/>
      <c r="CR491" s="6"/>
      <c r="CS491" s="6"/>
      <c r="CT491" s="79"/>
      <c r="CU491" s="6"/>
      <c r="CV491" s="6"/>
      <c r="CW491" s="6"/>
      <c r="CX491" s="6"/>
      <c r="CY491" s="79"/>
      <c r="CZ491" s="6"/>
      <c r="DA491" s="6"/>
      <c r="DB491" s="6"/>
      <c r="DC491" s="6"/>
      <c r="DD491" s="79"/>
      <c r="DE491" s="6"/>
      <c r="DF491" s="6"/>
      <c r="DG491" s="6"/>
      <c r="DH491" s="6"/>
      <c r="DI491" s="79"/>
    </row>
    <row r="492" spans="1:113" ht="12" hidden="1" customHeight="1" outlineLevel="1">
      <c r="A492" s="219" t="str">
        <f t="shared" si="1336"/>
        <v xml:space="preserve"> </v>
      </c>
      <c r="B492" s="616" t="s">
        <v>290</v>
      </c>
      <c r="C492" s="79"/>
      <c r="D492" s="6"/>
      <c r="E492" s="79"/>
      <c r="F492" s="6"/>
      <c r="G492" s="79"/>
      <c r="H492" s="6"/>
      <c r="I492" s="79"/>
      <c r="J492" s="6"/>
      <c r="K492" s="79"/>
      <c r="L492" s="6"/>
      <c r="M492" s="79"/>
      <c r="N492" s="6"/>
      <c r="O492" s="79"/>
      <c r="P492" s="6"/>
      <c r="Q492" s="79"/>
      <c r="R492" s="6"/>
      <c r="S492" s="6"/>
      <c r="T492" s="6"/>
      <c r="U492" s="6"/>
      <c r="V492" s="79"/>
      <c r="W492" s="6"/>
      <c r="X492" s="6"/>
      <c r="Y492" s="6"/>
      <c r="Z492" s="6"/>
      <c r="AA492" s="79"/>
      <c r="AB492" s="79"/>
      <c r="AC492" s="6"/>
      <c r="AD492" s="6"/>
      <c r="AE492" s="6"/>
      <c r="AF492" s="6"/>
      <c r="AG492" s="79"/>
      <c r="AH492" s="6"/>
      <c r="AI492" s="6"/>
      <c r="AJ492" s="6"/>
      <c r="AK492" s="6"/>
      <c r="AL492" s="79"/>
      <c r="AM492" s="6"/>
      <c r="AN492" s="6"/>
      <c r="AO492" s="6"/>
      <c r="AP492" s="6"/>
      <c r="AQ492" s="79"/>
      <c r="AR492" s="6"/>
      <c r="AS492" s="6"/>
      <c r="AT492" s="6"/>
      <c r="AU492" s="6"/>
      <c r="AV492" s="608">
        <v>-0.15</v>
      </c>
      <c r="AW492" s="609">
        <v>-0.03</v>
      </c>
      <c r="AX492" s="609">
        <v>-0.2</v>
      </c>
      <c r="AY492" s="609">
        <v>-0.11</v>
      </c>
      <c r="AZ492" s="609">
        <f t="shared" si="1476"/>
        <v>0.14000000000000001</v>
      </c>
      <c r="BA492" s="608">
        <v>-0.05</v>
      </c>
      <c r="BB492" s="609">
        <v>-0.17</v>
      </c>
      <c r="BC492" s="609">
        <v>-0.11</v>
      </c>
      <c r="BD492" s="609">
        <v>-0.15</v>
      </c>
      <c r="BE492" s="609">
        <f t="shared" si="1477"/>
        <v>-0.13</v>
      </c>
      <c r="BF492" s="608">
        <v>-0.14000000000000001</v>
      </c>
      <c r="BG492" s="609">
        <v>0.1</v>
      </c>
      <c r="BH492" s="609">
        <v>0.11</v>
      </c>
      <c r="BI492" s="609">
        <v>0.15</v>
      </c>
      <c r="BJ492" s="609">
        <f t="shared" si="1478"/>
        <v>-0.12</v>
      </c>
      <c r="BK492" s="608">
        <v>0.06</v>
      </c>
      <c r="BL492" s="6"/>
      <c r="BM492" s="6"/>
      <c r="BN492" s="6"/>
      <c r="BO492" s="609"/>
      <c r="BP492" s="79"/>
      <c r="BQ492" s="6"/>
      <c r="BR492" s="6"/>
      <c r="BS492" s="6"/>
      <c r="BT492" s="6"/>
      <c r="BU492" s="79"/>
      <c r="BV492" s="6"/>
      <c r="BW492" s="6"/>
      <c r="BX492" s="6"/>
      <c r="BY492" s="6"/>
      <c r="BZ492" s="79"/>
      <c r="CA492" s="6"/>
      <c r="CB492" s="6"/>
      <c r="CC492" s="6"/>
      <c r="CD492" s="6"/>
      <c r="CE492" s="79"/>
      <c r="CF492" s="6"/>
      <c r="CG492" s="6"/>
      <c r="CH492" s="6"/>
      <c r="CI492" s="6"/>
      <c r="CJ492" s="79"/>
      <c r="CK492" s="6"/>
      <c r="CL492" s="6"/>
      <c r="CM492" s="6"/>
      <c r="CN492" s="6"/>
      <c r="CO492" s="79"/>
      <c r="CP492" s="6"/>
      <c r="CQ492" s="6"/>
      <c r="CR492" s="6"/>
      <c r="CS492" s="6"/>
      <c r="CT492" s="79"/>
      <c r="CU492" s="6"/>
      <c r="CV492" s="6"/>
      <c r="CW492" s="6"/>
      <c r="CX492" s="6"/>
      <c r="CY492" s="79"/>
      <c r="CZ492" s="6"/>
      <c r="DA492" s="6"/>
      <c r="DB492" s="6"/>
      <c r="DC492" s="6"/>
      <c r="DD492" s="79"/>
      <c r="DE492" s="6"/>
      <c r="DF492" s="6"/>
      <c r="DG492" s="6"/>
      <c r="DH492" s="6"/>
      <c r="DI492" s="79"/>
    </row>
    <row r="493" spans="1:113" ht="12" hidden="1" customHeight="1" outlineLevel="1">
      <c r="A493" s="219" t="str">
        <f t="shared" si="1336"/>
        <v xml:space="preserve"> </v>
      </c>
      <c r="B493" s="616" t="s">
        <v>291</v>
      </c>
      <c r="C493" s="79"/>
      <c r="D493" s="6"/>
      <c r="E493" s="79"/>
      <c r="F493" s="6"/>
      <c r="G493" s="79"/>
      <c r="H493" s="6"/>
      <c r="I493" s="79"/>
      <c r="J493" s="6"/>
      <c r="K493" s="79"/>
      <c r="L493" s="6"/>
      <c r="M493" s="79"/>
      <c r="N493" s="6"/>
      <c r="O493" s="79"/>
      <c r="P493" s="6"/>
      <c r="Q493" s="79"/>
      <c r="R493" s="6"/>
      <c r="S493" s="6"/>
      <c r="T493" s="6"/>
      <c r="U493" s="6"/>
      <c r="V493" s="79"/>
      <c r="W493" s="6"/>
      <c r="X493" s="6"/>
      <c r="Y493" s="6"/>
      <c r="Z493" s="6"/>
      <c r="AA493" s="79"/>
      <c r="AB493" s="79"/>
      <c r="AC493" s="6"/>
      <c r="AD493" s="6"/>
      <c r="AE493" s="6"/>
      <c r="AF493" s="6"/>
      <c r="AG493" s="79"/>
      <c r="AH493" s="6"/>
      <c r="AI493" s="6"/>
      <c r="AJ493" s="6"/>
      <c r="AK493" s="6"/>
      <c r="AL493" s="79"/>
      <c r="AM493" s="6"/>
      <c r="AN493" s="6"/>
      <c r="AO493" s="6"/>
      <c r="AP493" s="6"/>
      <c r="AQ493" s="79"/>
      <c r="AR493" s="6"/>
      <c r="AS493" s="6"/>
      <c r="AT493" s="6"/>
      <c r="AU493" s="6"/>
      <c r="AV493" s="608">
        <v>-0.01</v>
      </c>
      <c r="AW493" s="6">
        <v>0</v>
      </c>
      <c r="AX493" s="609">
        <v>-0.02</v>
      </c>
      <c r="AY493" s="609">
        <v>-0.01</v>
      </c>
      <c r="AZ493" s="609">
        <f t="shared" si="1476"/>
        <v>0.03</v>
      </c>
      <c r="BA493" s="608">
        <v>0</v>
      </c>
      <c r="BB493" s="609">
        <v>-0.01</v>
      </c>
      <c r="BC493" s="609">
        <v>-0.01</v>
      </c>
      <c r="BD493" s="609">
        <v>-0.01</v>
      </c>
      <c r="BE493" s="609">
        <f t="shared" si="1477"/>
        <v>-1.0000000000000002E-2</v>
      </c>
      <c r="BF493" s="608">
        <v>-0.01</v>
      </c>
      <c r="BG493" s="609">
        <v>0.01</v>
      </c>
      <c r="BH493" s="609">
        <v>0.01</v>
      </c>
      <c r="BI493" s="609">
        <v>0.01</v>
      </c>
      <c r="BJ493" s="609">
        <f t="shared" si="1478"/>
        <v>-0.03</v>
      </c>
      <c r="BK493" s="608">
        <v>0</v>
      </c>
      <c r="BL493" s="6"/>
      <c r="BM493" s="6"/>
      <c r="BN493" s="6"/>
      <c r="BO493" s="609"/>
      <c r="BP493" s="79"/>
      <c r="BQ493" s="6"/>
      <c r="BR493" s="6"/>
      <c r="BS493" s="6"/>
      <c r="BT493" s="6"/>
      <c r="BU493" s="79"/>
      <c r="BV493" s="6"/>
      <c r="BW493" s="6"/>
      <c r="BX493" s="6"/>
      <c r="BY493" s="6"/>
      <c r="BZ493" s="79"/>
      <c r="CA493" s="6"/>
      <c r="CB493" s="6"/>
      <c r="CC493" s="6"/>
      <c r="CD493" s="6"/>
      <c r="CE493" s="79"/>
      <c r="CF493" s="6"/>
      <c r="CG493" s="6"/>
      <c r="CH493" s="6"/>
      <c r="CI493" s="6"/>
      <c r="CJ493" s="79"/>
      <c r="CK493" s="6"/>
      <c r="CL493" s="6"/>
      <c r="CM493" s="6"/>
      <c r="CN493" s="6"/>
      <c r="CO493" s="79"/>
      <c r="CP493" s="6"/>
      <c r="CQ493" s="6"/>
      <c r="CR493" s="6"/>
      <c r="CS493" s="6"/>
      <c r="CT493" s="79"/>
      <c r="CU493" s="6"/>
      <c r="CV493" s="6"/>
      <c r="CW493" s="6"/>
      <c r="CX493" s="6"/>
      <c r="CY493" s="79"/>
      <c r="CZ493" s="6"/>
      <c r="DA493" s="6"/>
      <c r="DB493" s="6"/>
      <c r="DC493" s="6"/>
      <c r="DD493" s="79"/>
      <c r="DE493" s="6"/>
      <c r="DF493" s="6"/>
      <c r="DG493" s="6"/>
      <c r="DH493" s="6"/>
      <c r="DI493" s="79"/>
    </row>
    <row r="494" spans="1:113" ht="12" hidden="1" customHeight="1" outlineLevel="1">
      <c r="A494" s="219"/>
      <c r="B494" s="17"/>
      <c r="C494" s="79"/>
      <c r="D494" s="6"/>
      <c r="E494" s="79"/>
      <c r="F494" s="6"/>
      <c r="G494" s="79"/>
      <c r="H494" s="6"/>
      <c r="I494" s="79"/>
      <c r="J494" s="6"/>
      <c r="K494" s="79"/>
      <c r="L494" s="6"/>
      <c r="M494" s="79"/>
      <c r="N494" s="6"/>
      <c r="O494" s="79"/>
      <c r="P494" s="6"/>
      <c r="Q494" s="79"/>
      <c r="R494" s="6"/>
      <c r="S494" s="6"/>
      <c r="T494" s="6"/>
      <c r="U494" s="6"/>
      <c r="V494" s="79"/>
      <c r="W494" s="6"/>
      <c r="X494" s="6"/>
      <c r="Y494" s="6"/>
      <c r="Z494" s="6"/>
      <c r="AA494" s="79"/>
      <c r="AB494" s="79"/>
      <c r="AC494" s="6"/>
      <c r="AD494" s="6"/>
      <c r="AE494" s="6"/>
      <c r="AF494" s="6"/>
      <c r="AG494" s="79"/>
      <c r="AH494" s="6"/>
      <c r="AI494" s="6"/>
      <c r="AJ494" s="6"/>
      <c r="AK494" s="6"/>
      <c r="AL494" s="79"/>
      <c r="AM494" s="6"/>
      <c r="AN494" s="6"/>
      <c r="AO494" s="6"/>
      <c r="AP494" s="6"/>
      <c r="AQ494" s="79"/>
      <c r="AR494" s="6"/>
      <c r="AS494" s="6"/>
      <c r="AT494" s="6"/>
      <c r="AU494" s="6"/>
      <c r="AV494" s="79"/>
      <c r="AW494" s="6"/>
      <c r="AX494" s="6"/>
      <c r="AY494" s="6"/>
      <c r="AZ494" s="6"/>
      <c r="BA494" s="79"/>
      <c r="BB494" s="6"/>
      <c r="BC494" s="6"/>
      <c r="BD494" s="6"/>
      <c r="BE494" s="6"/>
      <c r="BF494" s="79"/>
      <c r="BG494" s="6"/>
      <c r="BH494" s="6"/>
      <c r="BI494" s="6"/>
      <c r="BJ494" s="6"/>
      <c r="BK494" s="79"/>
      <c r="BL494" s="6"/>
      <c r="BM494" s="6"/>
      <c r="BN494" s="6"/>
      <c r="BO494" s="6"/>
      <c r="BP494" s="79"/>
      <c r="BQ494" s="6"/>
      <c r="BR494" s="6"/>
      <c r="BS494" s="6"/>
      <c r="BT494" s="6"/>
      <c r="BU494" s="79"/>
      <c r="BV494" s="6"/>
      <c r="BW494" s="6"/>
      <c r="BX494" s="6"/>
      <c r="BY494" s="6"/>
      <c r="BZ494" s="79"/>
      <c r="CA494" s="6"/>
      <c r="CB494" s="6"/>
      <c r="CC494" s="6"/>
      <c r="CD494" s="6"/>
      <c r="CE494" s="79"/>
      <c r="CF494" s="6"/>
      <c r="CG494" s="6"/>
      <c r="CH494" s="6"/>
      <c r="CI494" s="6"/>
      <c r="CJ494" s="79"/>
      <c r="CK494" s="6"/>
      <c r="CL494" s="6"/>
      <c r="CM494" s="6"/>
      <c r="CN494" s="6"/>
      <c r="CO494" s="79"/>
      <c r="CP494" s="6"/>
      <c r="CQ494" s="6"/>
      <c r="CR494" s="6"/>
      <c r="CS494" s="6"/>
      <c r="CT494" s="79"/>
      <c r="CU494" s="6"/>
      <c r="CV494" s="6"/>
      <c r="CW494" s="6"/>
      <c r="CX494" s="6"/>
      <c r="CY494" s="79"/>
      <c r="CZ494" s="6"/>
      <c r="DA494" s="6"/>
      <c r="DB494" s="6"/>
      <c r="DC494" s="6"/>
      <c r="DD494" s="79"/>
      <c r="DE494" s="6"/>
      <c r="DF494" s="6"/>
      <c r="DG494" s="6"/>
      <c r="DH494" s="6"/>
      <c r="DI494" s="79"/>
    </row>
    <row r="495" spans="1:113" ht="12" hidden="1" customHeight="1" outlineLevel="1">
      <c r="A495" s="219" t="str">
        <f t="shared" si="1336"/>
        <v xml:space="preserve"> </v>
      </c>
      <c r="B495" s="17" t="s">
        <v>307</v>
      </c>
      <c r="C495" s="41"/>
      <c r="D495" s="9"/>
      <c r="E495" s="41"/>
      <c r="F495" s="9"/>
      <c r="G495" s="41"/>
      <c r="H495" s="9"/>
      <c r="I495" s="41"/>
      <c r="J495" s="9"/>
      <c r="K495" s="41"/>
      <c r="L495" s="9"/>
      <c r="M495" s="41"/>
      <c r="N495" s="9"/>
      <c r="O495" s="41"/>
      <c r="P495" s="9"/>
      <c r="Q495" s="41"/>
      <c r="R495" s="9"/>
      <c r="S495" s="9"/>
      <c r="T495" s="9"/>
      <c r="U495" s="9"/>
      <c r="V495" s="41"/>
      <c r="W495" s="9"/>
      <c r="X495" s="9"/>
      <c r="Y495" s="9"/>
      <c r="Z495" s="9"/>
      <c r="AA495" s="41"/>
      <c r="AB495" s="41"/>
      <c r="AC495" s="9"/>
      <c r="AD495" s="9"/>
      <c r="AE495" s="9"/>
      <c r="AF495" s="9"/>
      <c r="AG495" s="41"/>
      <c r="AH495" s="9"/>
      <c r="AI495" s="9"/>
      <c r="AJ495" s="9"/>
      <c r="AK495" s="9"/>
      <c r="AL495" s="41"/>
      <c r="AM495" s="9"/>
      <c r="AN495" s="9"/>
      <c r="AO495" s="9"/>
      <c r="AP495" s="9"/>
      <c r="AQ495" s="41"/>
      <c r="AR495" s="9"/>
      <c r="AS495" s="9"/>
      <c r="AT495" s="9"/>
      <c r="AU495" s="9"/>
      <c r="AV495" s="41"/>
      <c r="AW495" s="9"/>
      <c r="AX495" s="9"/>
      <c r="AY495" s="9"/>
      <c r="AZ495" s="9"/>
      <c r="BA495" s="41">
        <v>-3</v>
      </c>
      <c r="BB495" s="9"/>
      <c r="BC495" s="9"/>
      <c r="BD495" s="9"/>
      <c r="BE495" s="9"/>
      <c r="BF495" s="41">
        <v>-1</v>
      </c>
      <c r="BG495" s="9">
        <v>1.6</v>
      </c>
      <c r="BH495" s="9">
        <v>1.7</v>
      </c>
      <c r="BI495" s="9">
        <v>2.9</v>
      </c>
      <c r="BJ495" s="9">
        <f>+BK495*4-BI495-BH495-BG495</f>
        <v>1.0000000000000004</v>
      </c>
      <c r="BK495" s="41">
        <v>1.8</v>
      </c>
      <c r="BL495" s="9">
        <v>3.5</v>
      </c>
      <c r="BM495" s="9">
        <v>3.1</v>
      </c>
      <c r="BN495" s="9">
        <v>1.2</v>
      </c>
      <c r="BO495" s="9" t="s">
        <v>322</v>
      </c>
      <c r="BP495" s="79">
        <v>0.6</v>
      </c>
      <c r="BQ495" s="9">
        <v>-2.1</v>
      </c>
      <c r="BR495" s="6">
        <v>-2.2999999999999998</v>
      </c>
      <c r="BS495" s="6">
        <v>-0.5</v>
      </c>
      <c r="BT495" s="9" t="s">
        <v>322</v>
      </c>
      <c r="BU495" s="79" t="s">
        <v>278</v>
      </c>
      <c r="BV495" s="9">
        <v>3.4</v>
      </c>
      <c r="BW495" s="6">
        <v>2.5</v>
      </c>
      <c r="BX495" s="6">
        <v>4.0999999999999996</v>
      </c>
      <c r="BY495" s="9" t="s">
        <v>322</v>
      </c>
      <c r="BZ495" s="79">
        <v>3.6</v>
      </c>
      <c r="CA495" s="9">
        <v>2.2000000000000002</v>
      </c>
      <c r="CB495" s="591">
        <v>3</v>
      </c>
      <c r="CC495" s="6">
        <v>-1.5</v>
      </c>
      <c r="CD495" s="9" t="s">
        <v>322</v>
      </c>
      <c r="CE495" s="79">
        <v>0.5</v>
      </c>
      <c r="CF495" s="591">
        <v>-2</v>
      </c>
      <c r="CG495" s="591">
        <v>-1.6</v>
      </c>
      <c r="CH495" s="591" t="s">
        <v>353</v>
      </c>
      <c r="CI495" s="9" t="s">
        <v>322</v>
      </c>
      <c r="CJ495" s="79">
        <v>-1.3</v>
      </c>
      <c r="CK495" s="591" t="s">
        <v>363</v>
      </c>
      <c r="CL495" s="604" t="s">
        <v>368</v>
      </c>
      <c r="CM495" s="604">
        <v>-4.7</v>
      </c>
      <c r="CN495" s="9" t="s">
        <v>322</v>
      </c>
      <c r="CO495" s="79">
        <v>-3.8</v>
      </c>
      <c r="CP495" s="6"/>
      <c r="CQ495" s="6"/>
      <c r="CR495" s="6"/>
      <c r="CS495" s="9"/>
      <c r="CT495" s="79">
        <v>-4.9000000000000004</v>
      </c>
      <c r="CU495" s="6"/>
      <c r="CV495" s="6"/>
      <c r="CW495" s="6"/>
      <c r="CX495" s="6"/>
      <c r="CY495" s="79"/>
      <c r="CZ495" s="6"/>
      <c r="DA495" s="6"/>
      <c r="DB495" s="6"/>
      <c r="DC495" s="6"/>
      <c r="DD495" s="79"/>
      <c r="DE495" s="6"/>
      <c r="DF495" s="6"/>
      <c r="DG495" s="6"/>
      <c r="DH495" s="6"/>
      <c r="DI495" s="79"/>
    </row>
    <row r="496" spans="1:113" ht="12" hidden="1" customHeight="1" outlineLevel="1">
      <c r="A496" s="219" t="str">
        <f t="shared" si="1336"/>
        <v xml:space="preserve"> </v>
      </c>
      <c r="B496" s="17" t="s">
        <v>168</v>
      </c>
      <c r="C496" s="79"/>
      <c r="D496" s="6"/>
      <c r="E496" s="79"/>
      <c r="F496" s="6"/>
      <c r="G496" s="79"/>
      <c r="H496" s="6"/>
      <c r="I496" s="79"/>
      <c r="J496" s="6"/>
      <c r="K496" s="79"/>
      <c r="L496" s="6"/>
      <c r="M496" s="79"/>
      <c r="N496" s="6"/>
      <c r="O496" s="79"/>
      <c r="P496" s="6"/>
      <c r="Q496" s="79"/>
      <c r="R496" s="6"/>
      <c r="S496" s="6"/>
      <c r="T496" s="6"/>
      <c r="U496" s="6"/>
      <c r="V496" s="79"/>
      <c r="W496" s="6"/>
      <c r="X496" s="6"/>
      <c r="Y496" s="6"/>
      <c r="Z496" s="6"/>
      <c r="AA496" s="79"/>
      <c r="AB496" s="79"/>
      <c r="AC496" s="6"/>
      <c r="AD496" s="6"/>
      <c r="AE496" s="6"/>
      <c r="AF496" s="6"/>
      <c r="AG496" s="79"/>
      <c r="AH496" s="6"/>
      <c r="AI496" s="6"/>
      <c r="AJ496" s="6"/>
      <c r="AK496" s="6"/>
      <c r="AL496" s="79"/>
      <c r="AM496" s="6"/>
      <c r="AN496" s="6"/>
      <c r="AO496" s="6"/>
      <c r="AP496" s="6"/>
      <c r="AQ496" s="79"/>
      <c r="AR496" s="6"/>
      <c r="AS496" s="6"/>
      <c r="AT496" s="6"/>
      <c r="AU496" s="6"/>
      <c r="AV496" s="79"/>
      <c r="AW496" s="6"/>
      <c r="AX496" s="6"/>
      <c r="AY496" s="6"/>
      <c r="AZ496" s="6"/>
      <c r="BA496" s="607">
        <f>((BA553/BA420)-(AV553/AV420))*100-BA495</f>
        <v>1.8595388693779191</v>
      </c>
      <c r="BB496" s="6"/>
      <c r="BC496" s="6"/>
      <c r="BD496" s="6"/>
      <c r="BE496" s="6"/>
      <c r="BF496" s="607">
        <f>((BF553/BF420)-(BA553/BA420))*100-BF495</f>
        <v>-4.0407682488630758</v>
      </c>
      <c r="BG496" s="6" t="s">
        <v>163</v>
      </c>
      <c r="BH496" s="6" t="s">
        <v>163</v>
      </c>
      <c r="BI496" s="6" t="s">
        <v>309</v>
      </c>
      <c r="BJ496" s="605">
        <f>((BJ553/BJ420)-(BE553/BE420))*100-BJ495</f>
        <v>-2.4235992575937724</v>
      </c>
      <c r="BK496" s="607">
        <f>((BK553/BK420)-(BF553/BF420))*100-BK495</f>
        <v>-1.8074807748270054</v>
      </c>
      <c r="BL496" s="6" t="s">
        <v>309</v>
      </c>
      <c r="BM496" s="6" t="s">
        <v>163</v>
      </c>
      <c r="BN496" s="6" t="s">
        <v>161</v>
      </c>
      <c r="BO496" s="605" t="s">
        <v>322</v>
      </c>
      <c r="BP496" s="607" t="s">
        <v>309</v>
      </c>
      <c r="BQ496" s="6" t="s">
        <v>309</v>
      </c>
      <c r="BR496" s="6" t="s">
        <v>309</v>
      </c>
      <c r="BS496" s="6" t="s">
        <v>309</v>
      </c>
      <c r="BT496" s="605" t="s">
        <v>322</v>
      </c>
      <c r="BU496" s="79" t="s">
        <v>328</v>
      </c>
      <c r="BV496" s="6" t="s">
        <v>163</v>
      </c>
      <c r="BW496" s="6" t="s">
        <v>163</v>
      </c>
      <c r="BX496" s="6" t="s">
        <v>163</v>
      </c>
      <c r="BY496" s="605" t="s">
        <v>322</v>
      </c>
      <c r="BZ496" s="79" t="s">
        <v>163</v>
      </c>
      <c r="CA496" s="6" t="s">
        <v>163</v>
      </c>
      <c r="CB496" s="6" t="s">
        <v>163</v>
      </c>
      <c r="CC496" s="6" t="s">
        <v>163</v>
      </c>
      <c r="CD496" s="605" t="s">
        <v>322</v>
      </c>
      <c r="CE496" s="608">
        <v>7.0000000000000007E-2</v>
      </c>
      <c r="CF496" s="6" t="s">
        <v>278</v>
      </c>
      <c r="CG496" s="6" t="s">
        <v>309</v>
      </c>
      <c r="CH496" s="6" t="s">
        <v>309</v>
      </c>
      <c r="CI496" s="605" t="s">
        <v>322</v>
      </c>
      <c r="CJ496" s="608">
        <v>-0.02</v>
      </c>
      <c r="CK496" s="6" t="s">
        <v>309</v>
      </c>
      <c r="CL496" s="609">
        <v>-0.01</v>
      </c>
      <c r="CM496" s="609">
        <v>-0.04</v>
      </c>
      <c r="CN496" s="605" t="s">
        <v>322</v>
      </c>
      <c r="CO496" s="608"/>
      <c r="CP496" s="6"/>
      <c r="CQ496" s="6"/>
      <c r="CR496" s="6"/>
      <c r="CS496" s="605"/>
      <c r="CT496" s="608"/>
      <c r="CU496" s="6"/>
      <c r="CV496" s="6"/>
      <c r="CW496" s="6"/>
      <c r="CX496" s="6"/>
      <c r="CY496" s="79"/>
      <c r="CZ496" s="6"/>
      <c r="DA496" s="6"/>
      <c r="DB496" s="6"/>
      <c r="DC496" s="6"/>
      <c r="DD496" s="79"/>
      <c r="DE496" s="6"/>
      <c r="DF496" s="6"/>
      <c r="DG496" s="6"/>
      <c r="DH496" s="6"/>
      <c r="DI496" s="79"/>
    </row>
    <row r="497" spans="1:113" ht="12" hidden="1" customHeight="1" outlineLevel="1">
      <c r="A497" s="219"/>
      <c r="B497" s="17"/>
      <c r="C497" s="79"/>
      <c r="D497" s="6"/>
      <c r="E497" s="79"/>
      <c r="F497" s="6"/>
      <c r="G497" s="79"/>
      <c r="H497" s="6"/>
      <c r="I497" s="79"/>
      <c r="J497" s="6"/>
      <c r="K497" s="79"/>
      <c r="L497" s="6"/>
      <c r="M497" s="79"/>
      <c r="N497" s="6"/>
      <c r="O497" s="79"/>
      <c r="P497" s="6"/>
      <c r="Q497" s="79"/>
      <c r="R497" s="6"/>
      <c r="S497" s="6"/>
      <c r="T497" s="6"/>
      <c r="U497" s="6"/>
      <c r="V497" s="79"/>
      <c r="W497" s="6"/>
      <c r="X497" s="6"/>
      <c r="Y497" s="6"/>
      <c r="Z497" s="6"/>
      <c r="AA497" s="79"/>
      <c r="AB497" s="79"/>
      <c r="AC497" s="6"/>
      <c r="AD497" s="6"/>
      <c r="AE497" s="6"/>
      <c r="AF497" s="6"/>
      <c r="AG497" s="79"/>
      <c r="AH497" s="6"/>
      <c r="AI497" s="6"/>
      <c r="AJ497" s="6"/>
      <c r="AK497" s="6"/>
      <c r="AL497" s="79"/>
      <c r="AM497" s="6"/>
      <c r="AN497" s="6"/>
      <c r="AO497" s="6"/>
      <c r="AP497" s="6"/>
      <c r="AQ497" s="79"/>
      <c r="AR497" s="6"/>
      <c r="AS497" s="6"/>
      <c r="AT497" s="6"/>
      <c r="AU497" s="6"/>
      <c r="AV497" s="79"/>
      <c r="AW497" s="6"/>
      <c r="AX497" s="6"/>
      <c r="AY497" s="6"/>
      <c r="AZ497" s="6"/>
      <c r="BA497" s="79"/>
      <c r="BB497" s="6"/>
      <c r="BC497" s="6"/>
      <c r="BD497" s="6"/>
      <c r="BE497" s="6"/>
      <c r="BF497" s="79"/>
      <c r="BG497" s="6"/>
      <c r="BH497" s="6"/>
      <c r="BI497" s="6"/>
      <c r="BJ497" s="6"/>
      <c r="BK497" s="79"/>
      <c r="BL497" s="6"/>
      <c r="BM497" s="6"/>
      <c r="BN497" s="6"/>
      <c r="BO497" s="6"/>
      <c r="BP497" s="79"/>
      <c r="BQ497" s="6"/>
      <c r="BR497" s="6"/>
      <c r="BS497" s="6"/>
      <c r="BT497" s="6"/>
      <c r="BU497" s="79"/>
      <c r="BV497" s="6"/>
      <c r="BW497" s="6"/>
      <c r="BX497" s="6"/>
      <c r="BY497" s="6"/>
      <c r="BZ497" s="79"/>
      <c r="CA497" s="6"/>
      <c r="CB497" s="6"/>
      <c r="CC497" s="6"/>
      <c r="CD497" s="6"/>
      <c r="CE497" s="79"/>
      <c r="CF497" s="6"/>
      <c r="CG497" s="6"/>
      <c r="CH497" s="6"/>
      <c r="CI497" s="6"/>
      <c r="CJ497" s="79"/>
      <c r="CK497" s="6"/>
      <c r="CL497" s="6"/>
      <c r="CM497" s="6"/>
      <c r="CN497" s="605"/>
      <c r="CO497" s="79"/>
      <c r="CP497" s="6"/>
      <c r="CQ497" s="6"/>
      <c r="CR497" s="6"/>
      <c r="CS497" s="605"/>
      <c r="CT497" s="79"/>
      <c r="CU497" s="6"/>
      <c r="CV497" s="6"/>
      <c r="CW497" s="6"/>
      <c r="CX497" s="6"/>
      <c r="CY497" s="79"/>
      <c r="CZ497" s="6"/>
      <c r="DA497" s="6"/>
      <c r="DB497" s="6"/>
      <c r="DC497" s="6"/>
      <c r="DD497" s="79"/>
      <c r="DE497" s="6"/>
      <c r="DF497" s="6"/>
      <c r="DG497" s="6"/>
      <c r="DH497" s="6"/>
      <c r="DI497" s="79"/>
    </row>
    <row r="498" spans="1:113" s="8" customFormat="1" ht="12" hidden="1" customHeight="1" outlineLevel="1">
      <c r="A498" s="617" t="str">
        <f t="shared" si="1336"/>
        <v xml:space="preserve"> </v>
      </c>
      <c r="B498" s="365" t="s">
        <v>95</v>
      </c>
      <c r="C498" s="618"/>
      <c r="D498" s="619"/>
      <c r="E498" s="618"/>
      <c r="F498" s="619"/>
      <c r="G498" s="618"/>
      <c r="H498" s="619"/>
      <c r="I498" s="618"/>
      <c r="J498" s="619"/>
      <c r="K498" s="618"/>
      <c r="L498" s="619"/>
      <c r="M498" s="618"/>
      <c r="N498" s="619"/>
      <c r="O498" s="618"/>
      <c r="P498" s="619"/>
      <c r="Q498" s="618"/>
      <c r="R498" s="619"/>
      <c r="S498" s="619"/>
      <c r="T498" s="619"/>
      <c r="U498" s="619"/>
      <c r="V498" s="618"/>
      <c r="W498" s="619"/>
      <c r="X498" s="619"/>
      <c r="Y498" s="619"/>
      <c r="Z498" s="619"/>
      <c r="AA498" s="618"/>
      <c r="AB498" s="618"/>
      <c r="AC498" s="619"/>
      <c r="AD498" s="619"/>
      <c r="AE498" s="619"/>
      <c r="AF498" s="619"/>
      <c r="AG498" s="618"/>
      <c r="AH498" s="619"/>
      <c r="AI498" s="619"/>
      <c r="AJ498" s="619"/>
      <c r="AK498" s="619"/>
      <c r="AL498" s="618"/>
      <c r="AM498" s="619"/>
      <c r="AN498" s="619"/>
      <c r="AO498" s="619"/>
      <c r="AP498" s="619"/>
      <c r="AQ498" s="618"/>
      <c r="AR498" s="619"/>
      <c r="AS498" s="619"/>
      <c r="AT498" s="619"/>
      <c r="AU498" s="619"/>
      <c r="AV498" s="618"/>
      <c r="AW498" s="619"/>
      <c r="AX498" s="619"/>
      <c r="AY498" s="619"/>
      <c r="AZ498" s="619"/>
      <c r="BA498" s="618"/>
      <c r="BB498" s="619"/>
      <c r="BC498" s="619"/>
      <c r="BD498" s="619"/>
      <c r="BE498" s="619"/>
      <c r="BF498" s="618"/>
      <c r="BG498" s="619">
        <v>461</v>
      </c>
      <c r="BH498" s="619">
        <v>356</v>
      </c>
      <c r="BI498" s="619">
        <v>405</v>
      </c>
      <c r="BJ498" s="619">
        <f>BK498-BI498-BH498-BG498</f>
        <v>436</v>
      </c>
      <c r="BK498" s="618">
        <v>1658</v>
      </c>
      <c r="BL498" s="619">
        <v>496</v>
      </c>
      <c r="BM498" s="619">
        <v>416</v>
      </c>
      <c r="BN498" s="619">
        <v>455</v>
      </c>
      <c r="BO498" s="619">
        <f>BP498-BN498-BM498-BL498</f>
        <v>275</v>
      </c>
      <c r="BP498" s="618">
        <v>1642</v>
      </c>
      <c r="BQ498" s="619">
        <v>513</v>
      </c>
      <c r="BR498" s="619">
        <v>416</v>
      </c>
      <c r="BS498" s="619">
        <v>513</v>
      </c>
      <c r="BT498" s="619">
        <f>BU498-BS498-BR498-BQ498</f>
        <v>544</v>
      </c>
      <c r="BU498" s="618">
        <v>1986</v>
      </c>
      <c r="BV498" s="619">
        <v>567</v>
      </c>
      <c r="BW498" s="619">
        <v>485</v>
      </c>
      <c r="BX498" s="619">
        <v>503</v>
      </c>
      <c r="BY498" s="619">
        <f>BZ498-BX498-BW498-BV498</f>
        <v>539</v>
      </c>
      <c r="BZ498" s="618">
        <v>2094</v>
      </c>
      <c r="CA498" s="619">
        <v>577</v>
      </c>
      <c r="CB498" s="619">
        <v>517</v>
      </c>
      <c r="CC498" s="619">
        <v>540</v>
      </c>
      <c r="CD498" s="619">
        <f>CE498-CC498-CB498-CA498</f>
        <v>521</v>
      </c>
      <c r="CE498" s="618">
        <v>2155</v>
      </c>
      <c r="CF498" s="619">
        <v>522</v>
      </c>
      <c r="CG498" s="619">
        <v>442</v>
      </c>
      <c r="CH498" s="619">
        <v>426</v>
      </c>
      <c r="CI498" s="619">
        <f>CJ498-CH498-CG498-CF498</f>
        <v>410</v>
      </c>
      <c r="CJ498" s="618">
        <v>1800</v>
      </c>
      <c r="CK498" s="619">
        <v>436</v>
      </c>
      <c r="CL498" s="619">
        <v>364</v>
      </c>
      <c r="CM498" s="619">
        <v>349</v>
      </c>
      <c r="CN498" s="619">
        <f>CO498-CM498-CL498-CK498</f>
        <v>308</v>
      </c>
      <c r="CO498" s="618">
        <v>1457</v>
      </c>
      <c r="CP498" s="619">
        <v>321</v>
      </c>
      <c r="CQ498" s="619">
        <v>255</v>
      </c>
      <c r="CR498" s="619">
        <v>231</v>
      </c>
      <c r="CS498" s="619">
        <f>CT498-CR498-CQ498-CP498</f>
        <v>206</v>
      </c>
      <c r="CT498" s="618">
        <v>1013</v>
      </c>
      <c r="CU498" s="619"/>
      <c r="CV498" s="619"/>
      <c r="CW498" s="619"/>
      <c r="CX498" s="619"/>
      <c r="CY498" s="618"/>
      <c r="CZ498" s="619"/>
      <c r="DA498" s="619"/>
      <c r="DB498" s="619"/>
      <c r="DC498" s="619"/>
      <c r="DD498" s="618"/>
      <c r="DE498" s="619"/>
      <c r="DF498" s="619"/>
      <c r="DG498" s="619"/>
      <c r="DH498" s="619"/>
      <c r="DI498" s="618"/>
    </row>
    <row r="499" spans="1:113" s="3" customFormat="1" ht="12" hidden="1" customHeight="1" outlineLevel="1">
      <c r="A499" s="490" t="str">
        <f t="shared" si="1336"/>
        <v xml:space="preserve"> </v>
      </c>
      <c r="B499" s="491" t="s">
        <v>171</v>
      </c>
      <c r="C499" s="550"/>
      <c r="D499" s="549"/>
      <c r="E499" s="550"/>
      <c r="F499" s="549"/>
      <c r="G499" s="550"/>
      <c r="H499" s="549"/>
      <c r="I499" s="550"/>
      <c r="J499" s="549"/>
      <c r="K499" s="550"/>
      <c r="L499" s="549"/>
      <c r="M499" s="550"/>
      <c r="N499" s="549"/>
      <c r="O499" s="550"/>
      <c r="P499" s="549"/>
      <c r="Q499" s="550"/>
      <c r="R499" s="549"/>
      <c r="S499" s="549"/>
      <c r="T499" s="549"/>
      <c r="U499" s="549"/>
      <c r="V499" s="550"/>
      <c r="W499" s="549"/>
      <c r="X499" s="549"/>
      <c r="Y499" s="549"/>
      <c r="Z499" s="549"/>
      <c r="AA499" s="550"/>
      <c r="AB499" s="550"/>
      <c r="AC499" s="549"/>
      <c r="AD499" s="549"/>
      <c r="AE499" s="549"/>
      <c r="AF499" s="549"/>
      <c r="AG499" s="550"/>
      <c r="AH499" s="549"/>
      <c r="AI499" s="549"/>
      <c r="AJ499" s="549"/>
      <c r="AK499" s="549"/>
      <c r="AL499" s="550"/>
      <c r="AM499" s="549"/>
      <c r="AN499" s="549"/>
      <c r="AO499" s="549"/>
      <c r="AP499" s="549"/>
      <c r="AQ499" s="550"/>
      <c r="AR499" s="549"/>
      <c r="AS499" s="549"/>
      <c r="AT499" s="549"/>
      <c r="AU499" s="549"/>
      <c r="AV499" s="550"/>
      <c r="AW499" s="549"/>
      <c r="AX499" s="549"/>
      <c r="AY499" s="549"/>
      <c r="AZ499" s="549"/>
      <c r="BA499" s="550"/>
      <c r="BB499" s="549"/>
      <c r="BC499" s="549"/>
      <c r="BD499" s="549"/>
      <c r="BE499" s="549"/>
      <c r="BF499" s="550"/>
      <c r="BG499" s="549"/>
      <c r="BH499" s="52"/>
      <c r="BI499" s="549"/>
      <c r="BJ499" s="549"/>
      <c r="BK499" s="550"/>
      <c r="BL499" s="52">
        <f t="shared" ref="BL499:BN499" si="1479">+BL498/BG498-1</f>
        <v>7.5921908893709311E-2</v>
      </c>
      <c r="BM499" s="52">
        <f t="shared" si="1479"/>
        <v>0.1685393258426966</v>
      </c>
      <c r="BN499" s="52">
        <f t="shared" si="1479"/>
        <v>0.12345679012345689</v>
      </c>
      <c r="BO499" s="52">
        <f t="shared" ref="BO499" si="1480">+BO498/BJ498-1</f>
        <v>-0.36926605504587151</v>
      </c>
      <c r="BP499" s="112">
        <f t="shared" ref="BP499:CH499" si="1481">+BP498/BK498-1</f>
        <v>-9.6501809408926498E-3</v>
      </c>
      <c r="BQ499" s="52">
        <f t="shared" si="1481"/>
        <v>3.4274193548387011E-2</v>
      </c>
      <c r="BR499" s="52">
        <f t="shared" si="1481"/>
        <v>0</v>
      </c>
      <c r="BS499" s="52">
        <f t="shared" si="1481"/>
        <v>0.12747252747252746</v>
      </c>
      <c r="BT499" s="52">
        <f t="shared" si="1481"/>
        <v>0.97818181818181826</v>
      </c>
      <c r="BU499" s="112">
        <f t="shared" si="1481"/>
        <v>0.2095006090133984</v>
      </c>
      <c r="BV499" s="52">
        <f t="shared" si="1481"/>
        <v>0.10526315789473695</v>
      </c>
      <c r="BW499" s="52">
        <f t="shared" si="1481"/>
        <v>0.16586538461538458</v>
      </c>
      <c r="BX499" s="52">
        <f t="shared" si="1481"/>
        <v>-1.9493177387914229E-2</v>
      </c>
      <c r="BY499" s="52">
        <f t="shared" si="1481"/>
        <v>-9.1911764705882026E-3</v>
      </c>
      <c r="BZ499" s="112">
        <f t="shared" si="1481"/>
        <v>5.4380664652567967E-2</v>
      </c>
      <c r="CA499" s="52">
        <f t="shared" si="1481"/>
        <v>1.763668430335108E-2</v>
      </c>
      <c r="CB499" s="52">
        <f t="shared" si="1481"/>
        <v>6.5979381443298957E-2</v>
      </c>
      <c r="CC499" s="52">
        <f t="shared" si="1481"/>
        <v>7.3558648111331948E-2</v>
      </c>
      <c r="CD499" s="52">
        <f t="shared" si="1481"/>
        <v>-3.3395176252319136E-2</v>
      </c>
      <c r="CE499" s="112">
        <f t="shared" si="1481"/>
        <v>2.9130850047755397E-2</v>
      </c>
      <c r="CF499" s="52">
        <f t="shared" si="1481"/>
        <v>-9.5320623916811065E-2</v>
      </c>
      <c r="CG499" s="52">
        <f t="shared" si="1481"/>
        <v>-0.14506769825918764</v>
      </c>
      <c r="CH499" s="52">
        <f t="shared" si="1481"/>
        <v>-0.21111111111111114</v>
      </c>
      <c r="CI499" s="52">
        <f t="shared" ref="CI499" si="1482">+CI498/CD498-1</f>
        <v>-0.21305182341650675</v>
      </c>
      <c r="CJ499" s="112">
        <f t="shared" ref="CJ499:CT499" si="1483">+CJ498/CE498-1</f>
        <v>-0.16473317865429238</v>
      </c>
      <c r="CK499" s="52">
        <f t="shared" si="1483"/>
        <v>-0.16475095785440608</v>
      </c>
      <c r="CL499" s="52">
        <f t="shared" si="1483"/>
        <v>-0.17647058823529416</v>
      </c>
      <c r="CM499" s="52">
        <f t="shared" si="1483"/>
        <v>-0.18075117370892024</v>
      </c>
      <c r="CN499" s="52">
        <f t="shared" si="1483"/>
        <v>-0.24878048780487805</v>
      </c>
      <c r="CO499" s="112">
        <f t="shared" si="1483"/>
        <v>-0.19055555555555559</v>
      </c>
      <c r="CP499" s="52">
        <f t="shared" si="1483"/>
        <v>-0.26376146788990829</v>
      </c>
      <c r="CQ499" s="52">
        <f t="shared" si="1483"/>
        <v>-0.2994505494505495</v>
      </c>
      <c r="CR499" s="52">
        <f t="shared" si="1483"/>
        <v>-0.33810888252148996</v>
      </c>
      <c r="CS499" s="52">
        <f t="shared" si="1483"/>
        <v>-0.33116883116883122</v>
      </c>
      <c r="CT499" s="112">
        <f t="shared" si="1483"/>
        <v>-0.30473575840768707</v>
      </c>
      <c r="CU499" s="52"/>
      <c r="CV499" s="549"/>
      <c r="CW499" s="549"/>
      <c r="CX499" s="549"/>
      <c r="CY499" s="550"/>
      <c r="CZ499" s="549"/>
      <c r="DA499" s="549"/>
      <c r="DB499" s="549"/>
      <c r="DC499" s="549"/>
      <c r="DD499" s="550"/>
      <c r="DE499" s="549"/>
      <c r="DF499" s="549"/>
      <c r="DG499" s="549"/>
      <c r="DH499" s="549"/>
      <c r="DI499" s="550"/>
    </row>
    <row r="500" spans="1:113" s="530" customFormat="1" ht="12" hidden="1" customHeight="1" outlineLevel="1">
      <c r="A500" s="552" t="str">
        <f t="shared" si="1336"/>
        <v xml:space="preserve"> </v>
      </c>
      <c r="B500" s="553" t="s">
        <v>173</v>
      </c>
      <c r="C500" s="492"/>
      <c r="D500" s="522"/>
      <c r="E500" s="492"/>
      <c r="F500" s="522"/>
      <c r="G500" s="492"/>
      <c r="H500" s="522"/>
      <c r="I500" s="492"/>
      <c r="J500" s="522"/>
      <c r="K500" s="492"/>
      <c r="L500" s="522"/>
      <c r="M500" s="492"/>
      <c r="N500" s="522"/>
      <c r="O500" s="492"/>
      <c r="P500" s="522"/>
      <c r="Q500" s="492"/>
      <c r="R500" s="522"/>
      <c r="S500" s="522"/>
      <c r="T500" s="522"/>
      <c r="U500" s="522"/>
      <c r="V500" s="492"/>
      <c r="W500" s="522"/>
      <c r="X500" s="522"/>
      <c r="Y500" s="522"/>
      <c r="Z500" s="522"/>
      <c r="AA500" s="492"/>
      <c r="AB500" s="492"/>
      <c r="AC500" s="522"/>
      <c r="AD500" s="522"/>
      <c r="AE500" s="522"/>
      <c r="AF500" s="522"/>
      <c r="AG500" s="492"/>
      <c r="AH500" s="522"/>
      <c r="AI500" s="522"/>
      <c r="AJ500" s="522"/>
      <c r="AK500" s="522"/>
      <c r="AL500" s="492"/>
      <c r="AM500" s="522"/>
      <c r="AN500" s="522"/>
      <c r="AO500" s="522"/>
      <c r="AP500" s="522"/>
      <c r="AQ500" s="492"/>
      <c r="AR500" s="522"/>
      <c r="AS500" s="522"/>
      <c r="AT500" s="522"/>
      <c r="AU500" s="522"/>
      <c r="AV500" s="492"/>
      <c r="AW500" s="522"/>
      <c r="AX500" s="522"/>
      <c r="AY500" s="522"/>
      <c r="AZ500" s="522"/>
      <c r="BA500" s="492"/>
      <c r="BB500" s="522"/>
      <c r="BC500" s="522"/>
      <c r="BD500" s="522"/>
      <c r="BE500" s="522"/>
      <c r="BF500" s="492"/>
      <c r="BG500" s="522"/>
      <c r="BH500" s="522"/>
      <c r="BI500" s="522"/>
      <c r="BJ500" s="522"/>
      <c r="BK500" s="492"/>
      <c r="BL500" s="114">
        <v>0.11</v>
      </c>
      <c r="BM500" s="522">
        <v>0.19</v>
      </c>
      <c r="BN500" s="522">
        <v>0.14000000000000001</v>
      </c>
      <c r="BO500" s="52">
        <f>((BP500*SUM(BG498:BJ498))-BL500*BG498-BM500*BH498-BN500*BI498)/BJ498</f>
        <v>-0.36346330275229355</v>
      </c>
      <c r="BP500" s="492">
        <v>0.01</v>
      </c>
      <c r="BQ500" s="114">
        <v>0.04</v>
      </c>
      <c r="BR500" s="522">
        <v>-0.03</v>
      </c>
      <c r="BS500" s="522">
        <v>0.08</v>
      </c>
      <c r="BT500" s="52">
        <f>((BU500*SUM(BL498:BO498))-BQ500*BL498-BR500*BM498-BS500*BN498)/BO498</f>
        <v>0.85592727272727298</v>
      </c>
      <c r="BU500" s="492">
        <v>0.17</v>
      </c>
      <c r="BV500" s="114">
        <v>0.06</v>
      </c>
      <c r="BW500" s="522">
        <v>0.16</v>
      </c>
      <c r="BX500" s="522">
        <v>0.01</v>
      </c>
      <c r="BY500" s="52">
        <f>((BZ500*SUM(BQ498:BT498))-BV500*BQ498-BW500*BR498-BX500*BS498)/BT498</f>
        <v>3.068014705882352E-2</v>
      </c>
      <c r="BZ500" s="492">
        <v>0.06</v>
      </c>
      <c r="CA500" s="114">
        <v>7.0000000000000007E-2</v>
      </c>
      <c r="CB500" s="522">
        <v>0.14000000000000001</v>
      </c>
      <c r="CC500" s="522">
        <v>0.11</v>
      </c>
      <c r="CD500" s="52">
        <f>((CE500*SUM(BV498:BY498))-CA500*BV498-CB500*BW498-CC500*BX498)/BY498</f>
        <v>8.534322820037122E-3</v>
      </c>
      <c r="CE500" s="492">
        <v>0.08</v>
      </c>
      <c r="CF500" s="114">
        <v>-0.1</v>
      </c>
      <c r="CG500" s="114">
        <v>-0.16</v>
      </c>
      <c r="CH500" s="114">
        <v>-0.22</v>
      </c>
      <c r="CI500" s="52">
        <f>((CJ500*SUM(CA498:CD498))-CF500*CA498-CG500*CB498-CH500*CC498)/CD498</f>
        <v>-0.20562380038387723</v>
      </c>
      <c r="CJ500" s="492">
        <v>-0.17</v>
      </c>
      <c r="CK500" s="114">
        <v>-0.16</v>
      </c>
      <c r="CL500" s="114">
        <v>-0.18</v>
      </c>
      <c r="CM500" s="114">
        <v>-0.16</v>
      </c>
      <c r="CN500" s="52">
        <f>((CO500*SUM(CF498:CI498))-CK500*CF498-CL500*CG498-CM500*CH498)/CI498</f>
        <v>-0.27014634146341471</v>
      </c>
      <c r="CO500" s="492">
        <v>-0.19</v>
      </c>
      <c r="CP500" s="114">
        <v>-0.28000000000000003</v>
      </c>
      <c r="CQ500" s="114">
        <v>-0.31</v>
      </c>
      <c r="CR500" s="114">
        <v>-0.37</v>
      </c>
      <c r="CS500" s="52">
        <f>((CT500*SUM(CK498:CN498))-CP500*CK498-CQ500*CL498-CR500*CM498)/CN498</f>
        <v>-0.33178571428571418</v>
      </c>
      <c r="CT500" s="492">
        <v>-0.32</v>
      </c>
      <c r="CU500" s="522"/>
      <c r="CV500" s="522"/>
      <c r="CW500" s="522"/>
      <c r="CX500" s="522"/>
      <c r="CY500" s="492"/>
      <c r="CZ500" s="522"/>
      <c r="DA500" s="522"/>
      <c r="DB500" s="522"/>
      <c r="DC500" s="522"/>
      <c r="DD500" s="492"/>
      <c r="DE500" s="522"/>
      <c r="DF500" s="522"/>
      <c r="DG500" s="522"/>
      <c r="DH500" s="522"/>
      <c r="DI500" s="492"/>
    </row>
    <row r="501" spans="1:113" s="3" customFormat="1" ht="12" hidden="1" customHeight="1" outlineLevel="1">
      <c r="A501" s="490" t="str">
        <f t="shared" si="1336"/>
        <v xml:space="preserve"> </v>
      </c>
      <c r="B501" s="491" t="s">
        <v>141</v>
      </c>
      <c r="C501" s="550"/>
      <c r="D501" s="549"/>
      <c r="E501" s="550"/>
      <c r="F501" s="549"/>
      <c r="G501" s="550"/>
      <c r="H501" s="549"/>
      <c r="I501" s="550"/>
      <c r="J501" s="549"/>
      <c r="K501" s="550"/>
      <c r="L501" s="549"/>
      <c r="M501" s="550"/>
      <c r="N501" s="549"/>
      <c r="O501" s="550"/>
      <c r="P501" s="549"/>
      <c r="Q501" s="550"/>
      <c r="R501" s="549"/>
      <c r="S501" s="549"/>
      <c r="T501" s="549"/>
      <c r="U501" s="549"/>
      <c r="V501" s="550"/>
      <c r="W501" s="549"/>
      <c r="X501" s="549"/>
      <c r="Y501" s="549"/>
      <c r="Z501" s="549"/>
      <c r="AA501" s="550"/>
      <c r="AB501" s="550"/>
      <c r="AC501" s="549"/>
      <c r="AD501" s="549"/>
      <c r="AE501" s="549"/>
      <c r="AF501" s="549"/>
      <c r="AG501" s="550"/>
      <c r="AH501" s="549"/>
      <c r="AI501" s="549"/>
      <c r="AJ501" s="549"/>
      <c r="AK501" s="549"/>
      <c r="AL501" s="550"/>
      <c r="AM501" s="549"/>
      <c r="AN501" s="549"/>
      <c r="AO501" s="549"/>
      <c r="AP501" s="549"/>
      <c r="AQ501" s="550"/>
      <c r="AR501" s="549"/>
      <c r="AS501" s="549"/>
      <c r="AT501" s="549"/>
      <c r="AU501" s="549"/>
      <c r="AV501" s="550"/>
      <c r="AW501" s="549"/>
      <c r="AX501" s="549"/>
      <c r="AY501" s="549"/>
      <c r="AZ501" s="549"/>
      <c r="BA501" s="550"/>
      <c r="BB501" s="549"/>
      <c r="BC501" s="549"/>
      <c r="BD501" s="549"/>
      <c r="BE501" s="549"/>
      <c r="BF501" s="550"/>
      <c r="BG501" s="549"/>
      <c r="BH501" s="114"/>
      <c r="BI501" s="549"/>
      <c r="BJ501" s="549"/>
      <c r="BK501" s="550"/>
      <c r="BL501" s="114">
        <f>(1+BL499)/(1+BL500)-1</f>
        <v>-3.0700982978640323E-2</v>
      </c>
      <c r="BM501" s="114">
        <f>(1+BM499)/(1+BM500)-1</f>
        <v>-1.8034179964120489E-2</v>
      </c>
      <c r="BN501" s="114">
        <f>(1+BN499)/(1+BN500)-1</f>
        <v>-1.4511587611002796E-2</v>
      </c>
      <c r="BO501" s="114">
        <f t="shared" ref="BO501:BP501" si="1484">(1+BO499)/(1+BO500)-1</f>
        <v>-9.1161315893777406E-3</v>
      </c>
      <c r="BP501" s="112">
        <f t="shared" si="1484"/>
        <v>-1.9455624693953122E-2</v>
      </c>
      <c r="BQ501" s="114">
        <f>(1+BQ499)/(1+BQ500)-1</f>
        <v>-5.505583126551028E-3</v>
      </c>
      <c r="BR501" s="114">
        <f>(1+BR499)/(1+BR500)-1</f>
        <v>3.0927835051546504E-2</v>
      </c>
      <c r="BS501" s="114">
        <f>(1+BS499)/(1+BS500)-1</f>
        <v>4.39560439560438E-2</v>
      </c>
      <c r="BT501" s="114">
        <f t="shared" ref="BT501:BU501" si="1485">(1+BT499)/(1+BT500)-1</f>
        <v>6.5872487166424909E-2</v>
      </c>
      <c r="BU501" s="112">
        <f t="shared" si="1485"/>
        <v>3.3761204284955992E-2</v>
      </c>
      <c r="BV501" s="114">
        <f>(1+BV499)/(1+BV500)-1</f>
        <v>4.2701092353525372E-2</v>
      </c>
      <c r="BW501" s="114">
        <f>(1+BW499)/(1+BW500)-1</f>
        <v>5.0563660477453976E-3</v>
      </c>
      <c r="BX501" s="114">
        <f>(1+BX499)/(1+BX500)-1</f>
        <v>-2.9201165730608158E-2</v>
      </c>
      <c r="BY501" s="114">
        <f t="shared" ref="BY501:BZ501" si="1486">(1+BY499)/(1+BY500)-1</f>
        <v>-3.8684478053826576E-2</v>
      </c>
      <c r="BZ501" s="112">
        <f t="shared" si="1486"/>
        <v>-5.3012597617283497E-3</v>
      </c>
      <c r="CA501" s="114">
        <f>(1+CA499)/(1+CA500)-1</f>
        <v>-4.8937678221167236E-2</v>
      </c>
      <c r="CB501" s="114">
        <f>(1+CB499)/(1+CB500)-1</f>
        <v>-6.4930367155001001E-2</v>
      </c>
      <c r="CC501" s="114">
        <f>(1+CC499)/(1+CC500)-1</f>
        <v>-3.2830046746547881E-2</v>
      </c>
      <c r="CD501" s="114">
        <f t="shared" ref="CD501" si="1487">(1+CD499)/(1+CD500)-1</f>
        <v>-4.1574687270051647E-2</v>
      </c>
      <c r="CE501" s="112">
        <f t="shared" ref="CE501" si="1488">(1+CE499)/(1+CE500)-1</f>
        <v>-4.7101064770596945E-2</v>
      </c>
      <c r="CF501" s="114">
        <f>(1+CF499)/(1+CF500)-1</f>
        <v>5.199306759098743E-3</v>
      </c>
      <c r="CG501" s="114">
        <f>(1+CG499)/(1+CG500)-1</f>
        <v>1.7776549691443266E-2</v>
      </c>
      <c r="CH501" s="114">
        <f>(1+CH499)/(1+CH500)-1</f>
        <v>1.139601139601143E-2</v>
      </c>
      <c r="CI501" s="114">
        <f t="shared" ref="CI501:CJ501" si="1489">(1+CI499)/(1+CI500)-1</f>
        <v>-9.3507623166693143E-3</v>
      </c>
      <c r="CJ501" s="112">
        <f t="shared" si="1489"/>
        <v>6.3455678863948428E-3</v>
      </c>
      <c r="CK501" s="114">
        <f>(1+CK499)/(1+CK500)-1</f>
        <v>-5.65590220762624E-3</v>
      </c>
      <c r="CL501" s="114">
        <f>(1+CL499)/(1+CL500)-1</f>
        <v>4.3041606886655703E-3</v>
      </c>
      <c r="CM501" s="114">
        <f>(1+CM499)/(1+CM500)-1</f>
        <v>-2.4703778224904993E-2</v>
      </c>
      <c r="CN501" s="114">
        <f t="shared" ref="CN501:CO501" si="1490">(1+CN499)/(1+CN500)-1</f>
        <v>2.9274161208394656E-2</v>
      </c>
      <c r="CO501" s="112">
        <f t="shared" si="1490"/>
        <v>-6.8587105624151601E-4</v>
      </c>
      <c r="CP501" s="114">
        <f>(1+CP499)/(1+CP500)-1</f>
        <v>2.2553516819571851E-2</v>
      </c>
      <c r="CQ501" s="114">
        <f>(1+CQ499)/(1+CQ500)-1</f>
        <v>1.5289058767319563E-2</v>
      </c>
      <c r="CR501" s="114">
        <f>(1+CR499)/(1+CR500)-1</f>
        <v>5.0620821394460336E-2</v>
      </c>
      <c r="CS501" s="114">
        <f t="shared" ref="CS501:CT501" si="1491">(1+CS499)/(1+CS500)-1</f>
        <v>9.2318157523907374E-4</v>
      </c>
      <c r="CT501" s="112">
        <f t="shared" si="1491"/>
        <v>2.2447414106342656E-2</v>
      </c>
      <c r="CU501" s="114"/>
      <c r="CV501" s="549"/>
      <c r="CW501" s="549"/>
      <c r="CX501" s="549"/>
      <c r="CY501" s="550"/>
      <c r="CZ501" s="549"/>
      <c r="DA501" s="549"/>
      <c r="DB501" s="549"/>
      <c r="DC501" s="549"/>
      <c r="DD501" s="550"/>
      <c r="DE501" s="549"/>
      <c r="DF501" s="549"/>
      <c r="DG501" s="549"/>
      <c r="DH501" s="549"/>
      <c r="DI501" s="550"/>
    </row>
    <row r="502" spans="1:113" ht="12" hidden="1" customHeight="1" outlineLevel="1">
      <c r="A502" s="219"/>
      <c r="B502" s="17"/>
      <c r="C502" s="79"/>
      <c r="D502" s="6"/>
      <c r="E502" s="79"/>
      <c r="F502" s="6"/>
      <c r="G502" s="79"/>
      <c r="H502" s="6"/>
      <c r="I502" s="79"/>
      <c r="J502" s="6"/>
      <c r="K502" s="79"/>
      <c r="L502" s="6"/>
      <c r="M502" s="79"/>
      <c r="N502" s="6"/>
      <c r="O502" s="79"/>
      <c r="P502" s="6"/>
      <c r="Q502" s="79"/>
      <c r="R502" s="6"/>
      <c r="S502" s="6"/>
      <c r="T502" s="6"/>
      <c r="U502" s="6"/>
      <c r="V502" s="79"/>
      <c r="W502" s="6"/>
      <c r="X502" s="6"/>
      <c r="Y502" s="6"/>
      <c r="Z502" s="6"/>
      <c r="AA502" s="79"/>
      <c r="AB502" s="79"/>
      <c r="AC502" s="6"/>
      <c r="AD502" s="6"/>
      <c r="AE502" s="6"/>
      <c r="AF502" s="6"/>
      <c r="AG502" s="79"/>
      <c r="AH502" s="6"/>
      <c r="AI502" s="6"/>
      <c r="AJ502" s="6"/>
      <c r="AK502" s="6"/>
      <c r="AL502" s="79"/>
      <c r="AM502" s="6"/>
      <c r="AN502" s="6"/>
      <c r="AO502" s="6"/>
      <c r="AP502" s="6"/>
      <c r="AQ502" s="79"/>
      <c r="AR502" s="6"/>
      <c r="AS502" s="6"/>
      <c r="AT502" s="6"/>
      <c r="AU502" s="6"/>
      <c r="AV502" s="79"/>
      <c r="AW502" s="6"/>
      <c r="AX502" s="6"/>
      <c r="AY502" s="6"/>
      <c r="AZ502" s="6"/>
      <c r="BA502" s="79"/>
      <c r="BB502" s="6"/>
      <c r="BC502" s="6"/>
      <c r="BD502" s="6"/>
      <c r="BE502" s="6"/>
      <c r="BF502" s="79"/>
      <c r="BG502" s="6"/>
      <c r="BH502" s="6"/>
      <c r="BI502" s="6"/>
      <c r="BJ502" s="6"/>
      <c r="BK502" s="79"/>
      <c r="BL502" s="6"/>
      <c r="BM502" s="6"/>
      <c r="BN502" s="6"/>
      <c r="BO502" s="6"/>
      <c r="BP502" s="79"/>
      <c r="BQ502" s="6"/>
      <c r="BR502" s="6"/>
      <c r="BS502" s="6"/>
      <c r="BT502" s="6"/>
      <c r="BU502" s="79"/>
      <c r="BV502" s="6"/>
      <c r="BW502" s="6"/>
      <c r="BX502" s="6"/>
      <c r="BY502" s="6"/>
      <c r="BZ502" s="79"/>
      <c r="CA502" s="6"/>
      <c r="CB502" s="6"/>
      <c r="CC502" s="6"/>
      <c r="CD502" s="6"/>
      <c r="CE502" s="79"/>
      <c r="CF502" s="6"/>
      <c r="CG502" s="6"/>
      <c r="CH502" s="6"/>
      <c r="CI502" s="6"/>
      <c r="CJ502" s="79"/>
      <c r="CK502" s="6"/>
      <c r="CL502" s="6"/>
      <c r="CM502" s="6"/>
      <c r="CN502" s="6"/>
      <c r="CO502" s="79"/>
      <c r="CP502" s="6"/>
      <c r="CQ502" s="6"/>
      <c r="CR502" s="6"/>
      <c r="CS502" s="6"/>
      <c r="CT502" s="79"/>
      <c r="CU502" s="6"/>
      <c r="CV502" s="6"/>
      <c r="CW502" s="6"/>
      <c r="CX502" s="6"/>
      <c r="CY502" s="79"/>
      <c r="CZ502" s="6"/>
      <c r="DA502" s="6"/>
      <c r="DB502" s="6"/>
      <c r="DC502" s="6"/>
      <c r="DD502" s="79"/>
      <c r="DE502" s="6"/>
      <c r="DF502" s="6"/>
      <c r="DG502" s="6"/>
      <c r="DH502" s="6"/>
      <c r="DI502" s="79"/>
    </row>
    <row r="503" spans="1:113" s="8" customFormat="1" ht="12" hidden="1" customHeight="1" outlineLevel="1">
      <c r="A503" s="617" t="str">
        <f t="shared" si="1336"/>
        <v xml:space="preserve"> </v>
      </c>
      <c r="B503" s="365" t="s">
        <v>96</v>
      </c>
      <c r="C503" s="618"/>
      <c r="D503" s="619"/>
      <c r="E503" s="618"/>
      <c r="F503" s="619"/>
      <c r="G503" s="618"/>
      <c r="H503" s="619"/>
      <c r="I503" s="618"/>
      <c r="J503" s="619"/>
      <c r="K503" s="618"/>
      <c r="L503" s="619"/>
      <c r="M503" s="618"/>
      <c r="N503" s="619"/>
      <c r="O503" s="618"/>
      <c r="P503" s="619"/>
      <c r="Q503" s="618"/>
      <c r="R503" s="619"/>
      <c r="S503" s="619"/>
      <c r="T503" s="619"/>
      <c r="U503" s="619"/>
      <c r="V503" s="618"/>
      <c r="W503" s="619"/>
      <c r="X503" s="619"/>
      <c r="Y503" s="619"/>
      <c r="Z503" s="619"/>
      <c r="AA503" s="618"/>
      <c r="AB503" s="618"/>
      <c r="AC503" s="619"/>
      <c r="AD503" s="619"/>
      <c r="AE503" s="619"/>
      <c r="AF503" s="619"/>
      <c r="AG503" s="618"/>
      <c r="AH503" s="619"/>
      <c r="AI503" s="619"/>
      <c r="AJ503" s="619"/>
      <c r="AK503" s="619"/>
      <c r="AL503" s="618"/>
      <c r="AM503" s="619"/>
      <c r="AN503" s="619"/>
      <c r="AO503" s="619"/>
      <c r="AP503" s="619"/>
      <c r="AQ503" s="618"/>
      <c r="AR503" s="619"/>
      <c r="AS503" s="619"/>
      <c r="AT503" s="619"/>
      <c r="AU503" s="619"/>
      <c r="AV503" s="618"/>
      <c r="AW503" s="619"/>
      <c r="AX503" s="619"/>
      <c r="AY503" s="619"/>
      <c r="AZ503" s="619"/>
      <c r="BA503" s="618"/>
      <c r="BB503" s="619"/>
      <c r="BC503" s="619"/>
      <c r="BD503" s="619"/>
      <c r="BE503" s="619"/>
      <c r="BF503" s="618"/>
      <c r="BG503" s="619">
        <v>30</v>
      </c>
      <c r="BH503" s="619">
        <v>36</v>
      </c>
      <c r="BI503" s="619">
        <v>27</v>
      </c>
      <c r="BJ503" s="619">
        <f>BK503-BI503-BH503-BG503</f>
        <v>25</v>
      </c>
      <c r="BK503" s="618">
        <v>118</v>
      </c>
      <c r="BL503" s="619">
        <v>26</v>
      </c>
      <c r="BM503" s="619">
        <v>30</v>
      </c>
      <c r="BN503" s="619">
        <v>20</v>
      </c>
      <c r="BO503" s="619">
        <f>BP503-BN503-BM503-BL503</f>
        <v>13</v>
      </c>
      <c r="BP503" s="618">
        <v>89</v>
      </c>
      <c r="BQ503" s="619">
        <v>22</v>
      </c>
      <c r="BR503" s="619">
        <v>32</v>
      </c>
      <c r="BS503" s="619">
        <v>28</v>
      </c>
      <c r="BT503" s="619">
        <f>BU503-BS503-BR503-BQ503</f>
        <v>22</v>
      </c>
      <c r="BU503" s="618">
        <v>104</v>
      </c>
      <c r="BV503" s="619">
        <v>24</v>
      </c>
      <c r="BW503" s="619">
        <v>34</v>
      </c>
      <c r="BX503" s="619">
        <v>29</v>
      </c>
      <c r="BY503" s="619">
        <f>BZ503-BX503-BW503-BV503</f>
        <v>16</v>
      </c>
      <c r="BZ503" s="618">
        <v>103</v>
      </c>
      <c r="CA503" s="619">
        <v>20</v>
      </c>
      <c r="CB503" s="619">
        <v>21</v>
      </c>
      <c r="CC503" s="619">
        <v>29</v>
      </c>
      <c r="CD503" s="619">
        <f>CE503-CC503-CB503-CA503</f>
        <v>20</v>
      </c>
      <c r="CE503" s="618">
        <v>90</v>
      </c>
      <c r="CF503" s="619">
        <v>20</v>
      </c>
      <c r="CG503" s="619">
        <v>30</v>
      </c>
      <c r="CH503" s="619">
        <v>25</v>
      </c>
      <c r="CI503" s="619">
        <f>CJ503-CH503-CG503-CF503</f>
        <v>18</v>
      </c>
      <c r="CJ503" s="618">
        <v>93</v>
      </c>
      <c r="CK503" s="619">
        <v>17</v>
      </c>
      <c r="CL503" s="619">
        <v>26</v>
      </c>
      <c r="CM503" s="619">
        <v>22</v>
      </c>
      <c r="CN503" s="619">
        <f>CO503-CM503-CL503-CK503</f>
        <v>15</v>
      </c>
      <c r="CO503" s="618">
        <v>80</v>
      </c>
      <c r="CP503" s="619">
        <v>11</v>
      </c>
      <c r="CQ503" s="619">
        <v>15</v>
      </c>
      <c r="CR503" s="619">
        <v>12</v>
      </c>
      <c r="CS503" s="619">
        <f>CT503-CR503-CQ503-CP503</f>
        <v>10</v>
      </c>
      <c r="CT503" s="618">
        <v>48</v>
      </c>
      <c r="CU503" s="619"/>
      <c r="CV503" s="619"/>
      <c r="CW503" s="619"/>
      <c r="CX503" s="619"/>
      <c r="CY503" s="618"/>
      <c r="CZ503" s="619"/>
      <c r="DA503" s="619"/>
      <c r="DB503" s="619"/>
      <c r="DC503" s="619"/>
      <c r="DD503" s="618"/>
      <c r="DE503" s="619"/>
      <c r="DF503" s="619"/>
      <c r="DG503" s="619"/>
      <c r="DH503" s="619"/>
      <c r="DI503" s="618"/>
    </row>
    <row r="504" spans="1:113" s="3" customFormat="1" ht="12" hidden="1" customHeight="1" outlineLevel="1">
      <c r="A504" s="490" t="str">
        <f t="shared" si="1336"/>
        <v xml:space="preserve"> </v>
      </c>
      <c r="B504" s="491" t="s">
        <v>171</v>
      </c>
      <c r="C504" s="550"/>
      <c r="D504" s="549"/>
      <c r="E504" s="550"/>
      <c r="F504" s="549"/>
      <c r="G504" s="550"/>
      <c r="H504" s="549"/>
      <c r="I504" s="550"/>
      <c r="J504" s="549"/>
      <c r="K504" s="550"/>
      <c r="L504" s="549"/>
      <c r="M504" s="550"/>
      <c r="N504" s="549"/>
      <c r="O504" s="550"/>
      <c r="P504" s="549"/>
      <c r="Q504" s="550"/>
      <c r="R504" s="549"/>
      <c r="S504" s="549"/>
      <c r="T504" s="549"/>
      <c r="U504" s="549"/>
      <c r="V504" s="550"/>
      <c r="W504" s="549"/>
      <c r="X504" s="549"/>
      <c r="Y504" s="549"/>
      <c r="Z504" s="549"/>
      <c r="AA504" s="550"/>
      <c r="AB504" s="550"/>
      <c r="AC504" s="549"/>
      <c r="AD504" s="549"/>
      <c r="AE504" s="549"/>
      <c r="AF504" s="549"/>
      <c r="AG504" s="550"/>
      <c r="AH504" s="549"/>
      <c r="AI504" s="549"/>
      <c r="AJ504" s="549"/>
      <c r="AK504" s="549"/>
      <c r="AL504" s="550"/>
      <c r="AM504" s="549"/>
      <c r="AN504" s="549"/>
      <c r="AO504" s="549"/>
      <c r="AP504" s="549"/>
      <c r="AQ504" s="550"/>
      <c r="AR504" s="549"/>
      <c r="AS504" s="549"/>
      <c r="AT504" s="549"/>
      <c r="AU504" s="549"/>
      <c r="AV504" s="550"/>
      <c r="AW504" s="549"/>
      <c r="AX504" s="549"/>
      <c r="AY504" s="549"/>
      <c r="AZ504" s="549"/>
      <c r="BA504" s="550"/>
      <c r="BB504" s="549"/>
      <c r="BC504" s="549"/>
      <c r="BD504" s="549"/>
      <c r="BE504" s="549"/>
      <c r="BF504" s="550"/>
      <c r="BG504" s="549"/>
      <c r="BH504" s="52"/>
      <c r="BI504" s="549"/>
      <c r="BJ504" s="549"/>
      <c r="BK504" s="550"/>
      <c r="BL504" s="52">
        <f t="shared" ref="BL504:BM504" si="1492">+BL503/BG503-1</f>
        <v>-0.1333333333333333</v>
      </c>
      <c r="BM504" s="52">
        <f t="shared" si="1492"/>
        <v>-0.16666666666666663</v>
      </c>
      <c r="BN504" s="52">
        <f t="shared" ref="BN504" si="1493">+BN503/BI503-1</f>
        <v>-0.2592592592592593</v>
      </c>
      <c r="BO504" s="52">
        <f t="shared" ref="BO504" si="1494">+BO503/BJ503-1</f>
        <v>-0.48</v>
      </c>
      <c r="BP504" s="112">
        <f t="shared" ref="BP504:CH504" si="1495">+BP503/BK503-1</f>
        <v>-0.24576271186440679</v>
      </c>
      <c r="BQ504" s="52">
        <f t="shared" si="1495"/>
        <v>-0.15384615384615385</v>
      </c>
      <c r="BR504" s="52">
        <f t="shared" si="1495"/>
        <v>6.6666666666666652E-2</v>
      </c>
      <c r="BS504" s="52">
        <f t="shared" si="1495"/>
        <v>0.39999999999999991</v>
      </c>
      <c r="BT504" s="52">
        <f t="shared" si="1495"/>
        <v>0.69230769230769229</v>
      </c>
      <c r="BU504" s="112">
        <f t="shared" si="1495"/>
        <v>0.1685393258426966</v>
      </c>
      <c r="BV504" s="52">
        <f t="shared" si="1495"/>
        <v>9.0909090909090828E-2</v>
      </c>
      <c r="BW504" s="52">
        <f t="shared" si="1495"/>
        <v>6.25E-2</v>
      </c>
      <c r="BX504" s="52">
        <f t="shared" si="1495"/>
        <v>3.5714285714285809E-2</v>
      </c>
      <c r="BY504" s="52">
        <f t="shared" si="1495"/>
        <v>-0.27272727272727271</v>
      </c>
      <c r="BZ504" s="112">
        <f t="shared" si="1495"/>
        <v>-9.6153846153845812E-3</v>
      </c>
      <c r="CA504" s="52">
        <f t="shared" si="1495"/>
        <v>-0.16666666666666663</v>
      </c>
      <c r="CB504" s="52">
        <f t="shared" si="1495"/>
        <v>-0.38235294117647056</v>
      </c>
      <c r="CC504" s="52">
        <f t="shared" si="1495"/>
        <v>0</v>
      </c>
      <c r="CD504" s="52">
        <f t="shared" si="1495"/>
        <v>0.25</v>
      </c>
      <c r="CE504" s="112">
        <f t="shared" si="1495"/>
        <v>-0.12621359223300976</v>
      </c>
      <c r="CF504" s="52">
        <f t="shared" si="1495"/>
        <v>0</v>
      </c>
      <c r="CG504" s="52">
        <f t="shared" si="1495"/>
        <v>0.4285714285714286</v>
      </c>
      <c r="CH504" s="52">
        <f t="shared" si="1495"/>
        <v>-0.13793103448275867</v>
      </c>
      <c r="CI504" s="52">
        <f t="shared" ref="CI504" si="1496">+CI503/CD503-1</f>
        <v>-9.9999999999999978E-2</v>
      </c>
      <c r="CJ504" s="112">
        <f t="shared" ref="CJ504:CT504" si="1497">+CJ503/CE503-1</f>
        <v>3.3333333333333437E-2</v>
      </c>
      <c r="CK504" s="52">
        <f t="shared" si="1497"/>
        <v>-0.15000000000000002</v>
      </c>
      <c r="CL504" s="52">
        <f t="shared" si="1497"/>
        <v>-0.1333333333333333</v>
      </c>
      <c r="CM504" s="52">
        <f t="shared" si="1497"/>
        <v>-0.12</v>
      </c>
      <c r="CN504" s="52">
        <f t="shared" si="1497"/>
        <v>-0.16666666666666663</v>
      </c>
      <c r="CO504" s="112">
        <f t="shared" si="1497"/>
        <v>-0.13978494623655913</v>
      </c>
      <c r="CP504" s="52">
        <f t="shared" si="1497"/>
        <v>-0.3529411764705882</v>
      </c>
      <c r="CQ504" s="52">
        <f t="shared" si="1497"/>
        <v>-0.42307692307692313</v>
      </c>
      <c r="CR504" s="52">
        <f t="shared" si="1497"/>
        <v>-0.45454545454545459</v>
      </c>
      <c r="CS504" s="52">
        <f t="shared" si="1497"/>
        <v>-0.33333333333333337</v>
      </c>
      <c r="CT504" s="112">
        <f t="shared" si="1497"/>
        <v>-0.4</v>
      </c>
      <c r="CU504" s="52"/>
      <c r="CV504" s="549"/>
      <c r="CW504" s="549"/>
      <c r="CX504" s="549"/>
      <c r="CY504" s="550"/>
      <c r="CZ504" s="549"/>
      <c r="DA504" s="549"/>
      <c r="DB504" s="549"/>
      <c r="DC504" s="549"/>
      <c r="DD504" s="550"/>
      <c r="DE504" s="549"/>
      <c r="DF504" s="549"/>
      <c r="DG504" s="549"/>
      <c r="DH504" s="549"/>
      <c r="DI504" s="550"/>
    </row>
    <row r="505" spans="1:113" s="530" customFormat="1" ht="12" hidden="1" customHeight="1" outlineLevel="1">
      <c r="A505" s="552" t="str">
        <f t="shared" si="1336"/>
        <v xml:space="preserve"> </v>
      </c>
      <c r="B505" s="526" t="s">
        <v>173</v>
      </c>
      <c r="C505" s="492"/>
      <c r="D505" s="522"/>
      <c r="E505" s="492"/>
      <c r="F505" s="522"/>
      <c r="G505" s="492"/>
      <c r="H505" s="522"/>
      <c r="I505" s="492"/>
      <c r="J505" s="522"/>
      <c r="K505" s="492"/>
      <c r="L505" s="522"/>
      <c r="M505" s="492"/>
      <c r="N505" s="522"/>
      <c r="O505" s="492"/>
      <c r="P505" s="522"/>
      <c r="Q505" s="492"/>
      <c r="R505" s="522"/>
      <c r="S505" s="522"/>
      <c r="T505" s="522"/>
      <c r="U505" s="522"/>
      <c r="V505" s="492"/>
      <c r="W505" s="522"/>
      <c r="X505" s="522"/>
      <c r="Y505" s="522"/>
      <c r="Z505" s="522"/>
      <c r="AA505" s="492"/>
      <c r="AB505" s="492"/>
      <c r="AC505" s="522"/>
      <c r="AD505" s="522"/>
      <c r="AE505" s="522"/>
      <c r="AF505" s="522"/>
      <c r="AG505" s="492"/>
      <c r="AH505" s="522"/>
      <c r="AI505" s="522"/>
      <c r="AJ505" s="522"/>
      <c r="AK505" s="522"/>
      <c r="AL505" s="492"/>
      <c r="AM505" s="522"/>
      <c r="AN505" s="522"/>
      <c r="AO505" s="522"/>
      <c r="AP505" s="522"/>
      <c r="AQ505" s="492"/>
      <c r="AR505" s="522"/>
      <c r="AS505" s="522"/>
      <c r="AT505" s="522"/>
      <c r="AU505" s="522"/>
      <c r="AV505" s="492"/>
      <c r="AW505" s="522"/>
      <c r="AX505" s="522"/>
      <c r="AY505" s="522"/>
      <c r="AZ505" s="522"/>
      <c r="BA505" s="492"/>
      <c r="BB505" s="522"/>
      <c r="BC505" s="522"/>
      <c r="BD505" s="522"/>
      <c r="BE505" s="522"/>
      <c r="BF505" s="492"/>
      <c r="BG505" s="522"/>
      <c r="BH505" s="522"/>
      <c r="BI505" s="522"/>
      <c r="BJ505" s="522"/>
      <c r="BK505" s="492"/>
      <c r="BL505" s="114">
        <v>-0.11</v>
      </c>
      <c r="BM505" s="522">
        <v>-0.12</v>
      </c>
      <c r="BN505" s="522">
        <v>-0.25</v>
      </c>
      <c r="BO505" s="52">
        <f>((BP505*SUM(BG503:BJ503))-BL505*BG503-BM505*BH503-BN505*BI503)/BJ503</f>
        <v>-0.46360000000000001</v>
      </c>
      <c r="BP505" s="492">
        <v>-0.22</v>
      </c>
      <c r="BQ505" s="114">
        <v>-0.13</v>
      </c>
      <c r="BR505" s="522">
        <v>0</v>
      </c>
      <c r="BS505" s="522">
        <v>0.35</v>
      </c>
      <c r="BT505" s="52">
        <f>((BU505*SUM(BL503:BO503))-BQ505*BL503-BR505*BM503-BS505*BN503)/BO503</f>
        <v>0.61153846153846148</v>
      </c>
      <c r="BU505" s="492">
        <v>0.13</v>
      </c>
      <c r="BV505" s="114">
        <v>-0.01</v>
      </c>
      <c r="BW505" s="522">
        <v>0.05</v>
      </c>
      <c r="BX505" s="522">
        <v>0.02</v>
      </c>
      <c r="BY505" s="52">
        <f>((BZ505*SUM(BQ503:BT503))-BV505*BQ503-BW505*BR503-BX505*BS503)/BT503</f>
        <v>-0.23</v>
      </c>
      <c r="BZ505" s="492">
        <v>-0.03</v>
      </c>
      <c r="CA505" s="114">
        <v>-0.1</v>
      </c>
      <c r="CB505" s="522">
        <v>-0.33</v>
      </c>
      <c r="CC505" s="522">
        <v>7.0000000000000007E-2</v>
      </c>
      <c r="CD505" s="52">
        <f>((CE505*SUM(BV503:BY503))-CA505*BV503-CB505*BW503-CC505*BX503)/BY503</f>
        <v>0.27374999999999999</v>
      </c>
      <c r="CE505" s="492">
        <v>-7.0000000000000007E-2</v>
      </c>
      <c r="CF505" s="114">
        <v>0.01</v>
      </c>
      <c r="CG505" s="114">
        <v>0.45</v>
      </c>
      <c r="CH505" s="114">
        <v>-0.13</v>
      </c>
      <c r="CI505" s="52">
        <f>((CJ505*SUM(CA503:CD503))-CF505*CA503-CG505*CB503-CH505*CC503)/CD503</f>
        <v>-0.11400000000000003</v>
      </c>
      <c r="CJ505" s="492">
        <v>0.04</v>
      </c>
      <c r="CK505" s="114">
        <v>0.13</v>
      </c>
      <c r="CL505" s="114">
        <v>-0.17</v>
      </c>
      <c r="CM505" s="114">
        <v>-0.12</v>
      </c>
      <c r="CN505" s="52">
        <f>((CO505*SUM(CF503:CI503))-CK505*CF503-CL505*CG503-CM505*CH503)/CI503</f>
        <v>-0.41777777777777775</v>
      </c>
      <c r="CO505" s="492">
        <v>-0.14000000000000001</v>
      </c>
      <c r="CP505" s="114">
        <v>-0.35</v>
      </c>
      <c r="CQ505" s="114">
        <v>-0.41</v>
      </c>
      <c r="CR505" s="114">
        <v>-0.45</v>
      </c>
      <c r="CS505" s="52">
        <f>((CT505*SUM(CK503:CN503))-CP505*CK503-CQ505*CL503-CR505*CM503)/CN503</f>
        <v>-0.36599999999999999</v>
      </c>
      <c r="CT505" s="492">
        <v>-0.4</v>
      </c>
      <c r="CU505" s="522"/>
      <c r="CV505" s="522"/>
      <c r="CW505" s="522"/>
      <c r="CX505" s="522"/>
      <c r="CY505" s="492"/>
      <c r="CZ505" s="522"/>
      <c r="DA505" s="522"/>
      <c r="DB505" s="522"/>
      <c r="DC505" s="522"/>
      <c r="DD505" s="492"/>
      <c r="DE505" s="522"/>
      <c r="DF505" s="522"/>
      <c r="DG505" s="522"/>
      <c r="DH505" s="522"/>
      <c r="DI505" s="492"/>
    </row>
    <row r="506" spans="1:113" s="3" customFormat="1" ht="12" hidden="1" customHeight="1" outlineLevel="1">
      <c r="A506" s="490" t="str">
        <f t="shared" si="1336"/>
        <v xml:space="preserve"> </v>
      </c>
      <c r="B506" s="491" t="s">
        <v>141</v>
      </c>
      <c r="C506" s="550"/>
      <c r="D506" s="549"/>
      <c r="E506" s="550"/>
      <c r="F506" s="549"/>
      <c r="G506" s="550"/>
      <c r="H506" s="549"/>
      <c r="I506" s="550"/>
      <c r="J506" s="549"/>
      <c r="K506" s="550"/>
      <c r="L506" s="549"/>
      <c r="M506" s="550"/>
      <c r="N506" s="549"/>
      <c r="O506" s="550"/>
      <c r="P506" s="549"/>
      <c r="Q506" s="550"/>
      <c r="R506" s="549"/>
      <c r="S506" s="549"/>
      <c r="T506" s="549"/>
      <c r="U506" s="549"/>
      <c r="V506" s="550"/>
      <c r="W506" s="549"/>
      <c r="X506" s="549"/>
      <c r="Y506" s="549"/>
      <c r="Z506" s="549"/>
      <c r="AA506" s="550"/>
      <c r="AB506" s="550"/>
      <c r="AC506" s="549"/>
      <c r="AD506" s="549"/>
      <c r="AE506" s="549"/>
      <c r="AF506" s="549"/>
      <c r="AG506" s="550"/>
      <c r="AH506" s="549"/>
      <c r="AI506" s="549"/>
      <c r="AJ506" s="549"/>
      <c r="AK506" s="549"/>
      <c r="AL506" s="550"/>
      <c r="AM506" s="549"/>
      <c r="AN506" s="549"/>
      <c r="AO506" s="549"/>
      <c r="AP506" s="549"/>
      <c r="AQ506" s="550"/>
      <c r="AR506" s="549"/>
      <c r="AS506" s="549"/>
      <c r="AT506" s="549"/>
      <c r="AU506" s="549"/>
      <c r="AV506" s="550"/>
      <c r="AW506" s="549"/>
      <c r="AX506" s="549"/>
      <c r="AY506" s="549"/>
      <c r="AZ506" s="549"/>
      <c r="BA506" s="550"/>
      <c r="BB506" s="549"/>
      <c r="BC506" s="549"/>
      <c r="BD506" s="549"/>
      <c r="BE506" s="549"/>
      <c r="BF506" s="550"/>
      <c r="BG506" s="549"/>
      <c r="BH506" s="114"/>
      <c r="BI506" s="549"/>
      <c r="BJ506" s="549"/>
      <c r="BK506" s="550"/>
      <c r="BL506" s="114">
        <f>(1+BL504)/(1+BL505)-1</f>
        <v>-2.6217228464419429E-2</v>
      </c>
      <c r="BM506" s="114">
        <f>(1+BM504)/(1+BM505)-1</f>
        <v>-5.3030303030302983E-2</v>
      </c>
      <c r="BN506" s="114">
        <f>(1+BN504)/(1+BN505)-1</f>
        <v>-1.2345679012345734E-2</v>
      </c>
      <c r="BO506" s="114">
        <f t="shared" ref="BO506" si="1498">(1+BO504)/(1+BO505)-1</f>
        <v>-3.0574198359433202E-2</v>
      </c>
      <c r="BP506" s="112">
        <f t="shared" ref="BP506" si="1499">(1+BP504)/(1+BP505)-1</f>
        <v>-3.302911777488049E-2</v>
      </c>
      <c r="BQ506" s="114">
        <f>(1+BQ504)/(1+BQ505)-1</f>
        <v>-2.7409372236958496E-2</v>
      </c>
      <c r="BR506" s="114">
        <f>(1+BR504)/(1+BR505)-1</f>
        <v>6.6666666666666652E-2</v>
      </c>
      <c r="BS506" s="114">
        <f>(1+BS504)/(1+BS505)-1</f>
        <v>3.7037037037036979E-2</v>
      </c>
      <c r="BT506" s="114">
        <f t="shared" ref="BT506:BU506" si="1500">(1+BT504)/(1+BT505)-1</f>
        <v>5.0119331742243478E-2</v>
      </c>
      <c r="BU506" s="112">
        <f t="shared" si="1500"/>
        <v>3.4105598090881983E-2</v>
      </c>
      <c r="BV506" s="114">
        <f>(1+BV504)/(1+BV505)-1</f>
        <v>0.10192837465564741</v>
      </c>
      <c r="BW506" s="114">
        <f>(1+BW504)/(1+BW505)-1</f>
        <v>1.1904761904761862E-2</v>
      </c>
      <c r="BX506" s="114">
        <f>(1+BX504)/(1+BX505)-1</f>
        <v>1.5406162464986162E-2</v>
      </c>
      <c r="BY506" s="114">
        <f t="shared" ref="BY506:BZ506" si="1501">(1+BY504)/(1+BY505)-1</f>
        <v>-5.548996458087363E-2</v>
      </c>
      <c r="BZ506" s="112">
        <f t="shared" si="1501"/>
        <v>2.1015067406820132E-2</v>
      </c>
      <c r="CA506" s="114">
        <f>(1+CA504)/(1+CA505)-1</f>
        <v>-7.407407407407407E-2</v>
      </c>
      <c r="CB506" s="114">
        <f>(1+CB504)/(1+CB505)-1</f>
        <v>-7.8138718173836552E-2</v>
      </c>
      <c r="CC506" s="114">
        <f>(1+CC504)/(1+CC505)-1</f>
        <v>-6.5420560747663559E-2</v>
      </c>
      <c r="CD506" s="114">
        <f t="shared" ref="CD506" si="1502">(1+CD504)/(1+CD505)-1</f>
        <v>-1.8645731108930308E-2</v>
      </c>
      <c r="CE506" s="112">
        <f t="shared" ref="CE506" si="1503">(1+CE504)/(1+CE505)-1</f>
        <v>-6.0444722831193176E-2</v>
      </c>
      <c r="CF506" s="114">
        <f>(1+CF504)/(1+CF505)-1</f>
        <v>-9.9009900990099098E-3</v>
      </c>
      <c r="CG506" s="114">
        <f>(1+CG504)/(1+CG505)-1</f>
        <v>-1.4778325123152691E-2</v>
      </c>
      <c r="CH506" s="114">
        <f>(1+CH504)/(1+CH505)-1</f>
        <v>-9.1161315893777406E-3</v>
      </c>
      <c r="CI506" s="114">
        <f t="shared" ref="CI506:CJ506" si="1504">(1+CI504)/(1+CI505)-1</f>
        <v>1.5801354401805856E-2</v>
      </c>
      <c r="CJ506" s="112">
        <f t="shared" si="1504"/>
        <v>-6.4102564102563875E-3</v>
      </c>
      <c r="CK506" s="114">
        <f>(1+CK504)/(1+CK505)-1</f>
        <v>-0.24778761061946897</v>
      </c>
      <c r="CL506" s="114">
        <f>(1+CL504)/(1+CL505)-1</f>
        <v>4.4176706827309342E-2</v>
      </c>
      <c r="CM506" s="114">
        <f>(1+CM504)/(1+CM505)-1</f>
        <v>0</v>
      </c>
      <c r="CN506" s="114">
        <f t="shared" ref="CN506:CO506" si="1505">(1+CN504)/(1+CN505)-1</f>
        <v>0.43129770992366434</v>
      </c>
      <c r="CO506" s="112">
        <f t="shared" si="1505"/>
        <v>2.500625156289793E-4</v>
      </c>
      <c r="CP506" s="114">
        <f>(1+CP504)/(1+CP505)-1</f>
        <v>-4.5248868778280382E-3</v>
      </c>
      <c r="CQ506" s="114">
        <f>(1+CQ504)/(1+CQ505)-1</f>
        <v>-2.2164276401564709E-2</v>
      </c>
      <c r="CR506" s="114">
        <f>(1+CR504)/(1+CR505)-1</f>
        <v>-8.2644628099175499E-3</v>
      </c>
      <c r="CS506" s="114">
        <f t="shared" ref="CS506:CT506" si="1506">(1+CS504)/(1+CS505)-1</f>
        <v>5.1524710830704423E-2</v>
      </c>
      <c r="CT506" s="112">
        <f t="shared" si="1506"/>
        <v>0</v>
      </c>
      <c r="CU506" s="114"/>
      <c r="CV506" s="549"/>
      <c r="CW506" s="549"/>
      <c r="CX506" s="549"/>
      <c r="CY506" s="550"/>
      <c r="CZ506" s="549"/>
      <c r="DA506" s="549"/>
      <c r="DB506" s="549"/>
      <c r="DC506" s="549"/>
      <c r="DD506" s="550"/>
      <c r="DE506" s="549"/>
      <c r="DF506" s="549"/>
      <c r="DG506" s="549"/>
      <c r="DH506" s="549"/>
      <c r="DI506" s="550"/>
    </row>
    <row r="507" spans="1:113" ht="12" hidden="1" customHeight="1" outlineLevel="1">
      <c r="A507" s="219"/>
      <c r="B507" s="17"/>
      <c r="C507" s="79"/>
      <c r="D507" s="6"/>
      <c r="E507" s="79"/>
      <c r="F507" s="6"/>
      <c r="G507" s="79"/>
      <c r="H507" s="6"/>
      <c r="I507" s="79"/>
      <c r="J507" s="6"/>
      <c r="K507" s="79"/>
      <c r="L507" s="6"/>
      <c r="M507" s="79"/>
      <c r="N507" s="6"/>
      <c r="O507" s="79"/>
      <c r="P507" s="6"/>
      <c r="Q507" s="79"/>
      <c r="R507" s="6"/>
      <c r="S507" s="6"/>
      <c r="T507" s="6"/>
      <c r="U507" s="6"/>
      <c r="V507" s="79"/>
      <c r="W507" s="6"/>
      <c r="X507" s="6"/>
      <c r="Y507" s="6"/>
      <c r="Z507" s="6"/>
      <c r="AA507" s="79"/>
      <c r="AB507" s="79"/>
      <c r="AC507" s="6"/>
      <c r="AD507" s="6"/>
      <c r="AE507" s="6"/>
      <c r="AF507" s="6"/>
      <c r="AG507" s="79"/>
      <c r="AH507" s="6"/>
      <c r="AI507" s="6"/>
      <c r="AJ507" s="6"/>
      <c r="AK507" s="6"/>
      <c r="AL507" s="79"/>
      <c r="AM507" s="6"/>
      <c r="AN507" s="6"/>
      <c r="AO507" s="6"/>
      <c r="AP507" s="6"/>
      <c r="AQ507" s="79"/>
      <c r="AR507" s="6"/>
      <c r="AS507" s="6"/>
      <c r="AT507" s="6"/>
      <c r="AU507" s="6"/>
      <c r="AV507" s="79"/>
      <c r="AW507" s="6"/>
      <c r="AX507" s="6"/>
      <c r="AY507" s="6"/>
      <c r="AZ507" s="6"/>
      <c r="BA507" s="79"/>
      <c r="BB507" s="6"/>
      <c r="BC507" s="6"/>
      <c r="BD507" s="6"/>
      <c r="BE507" s="6"/>
      <c r="BF507" s="79"/>
      <c r="BG507" s="6"/>
      <c r="BH507" s="6"/>
      <c r="BI507" s="6"/>
      <c r="BJ507" s="6"/>
      <c r="BK507" s="79"/>
      <c r="BL507" s="6"/>
      <c r="BM507" s="6"/>
      <c r="BN507" s="6"/>
      <c r="BO507" s="6"/>
      <c r="BP507" s="79"/>
      <c r="BQ507" s="6"/>
      <c r="BR507" s="6"/>
      <c r="BS507" s="6"/>
      <c r="BT507" s="6"/>
      <c r="BU507" s="79"/>
      <c r="BV507" s="6"/>
      <c r="BW507" s="6"/>
      <c r="BX507" s="6"/>
      <c r="BY507" s="6"/>
      <c r="BZ507" s="79"/>
      <c r="CA507" s="6"/>
      <c r="CB507" s="6"/>
      <c r="CC507" s="6"/>
      <c r="CD507" s="6"/>
      <c r="CE507" s="79"/>
      <c r="CF507" s="6"/>
      <c r="CG507" s="6"/>
      <c r="CH507" s="6"/>
      <c r="CI507" s="6"/>
      <c r="CJ507" s="79"/>
      <c r="CK507" s="6"/>
      <c r="CL507" s="6"/>
      <c r="CM507" s="6"/>
      <c r="CN507" s="6"/>
      <c r="CO507" s="79"/>
      <c r="CP507" s="6"/>
      <c r="CQ507" s="6"/>
      <c r="CR507" s="6"/>
      <c r="CS507" s="6"/>
      <c r="CT507" s="79"/>
      <c r="CU507" s="6"/>
      <c r="CV507" s="6"/>
      <c r="CW507" s="6"/>
      <c r="CX507" s="6"/>
      <c r="CY507" s="79"/>
      <c r="CZ507" s="6"/>
      <c r="DA507" s="6"/>
      <c r="DB507" s="6"/>
      <c r="DC507" s="6"/>
      <c r="DD507" s="79"/>
      <c r="DE507" s="6"/>
      <c r="DF507" s="6"/>
      <c r="DG507" s="6"/>
      <c r="DH507" s="6"/>
      <c r="DI507" s="79"/>
    </row>
    <row r="508" spans="1:113" s="8" customFormat="1" ht="12" hidden="1" customHeight="1" outlineLevel="1">
      <c r="A508" s="617" t="str">
        <f t="shared" si="1336"/>
        <v xml:space="preserve"> </v>
      </c>
      <c r="B508" s="365" t="s">
        <v>97</v>
      </c>
      <c r="C508" s="618"/>
      <c r="D508" s="619"/>
      <c r="E508" s="618"/>
      <c r="F508" s="619"/>
      <c r="G508" s="618"/>
      <c r="H508" s="619"/>
      <c r="I508" s="618"/>
      <c r="J508" s="619"/>
      <c r="K508" s="618"/>
      <c r="L508" s="619"/>
      <c r="M508" s="618"/>
      <c r="N508" s="619"/>
      <c r="O508" s="618"/>
      <c r="P508" s="619"/>
      <c r="Q508" s="618"/>
      <c r="R508" s="619"/>
      <c r="S508" s="619"/>
      <c r="T508" s="619"/>
      <c r="U508" s="619"/>
      <c r="V508" s="618"/>
      <c r="W508" s="619"/>
      <c r="X508" s="619"/>
      <c r="Y508" s="619"/>
      <c r="Z508" s="619"/>
      <c r="AA508" s="618"/>
      <c r="AB508" s="618"/>
      <c r="AC508" s="619"/>
      <c r="AD508" s="619"/>
      <c r="AE508" s="619"/>
      <c r="AF508" s="619"/>
      <c r="AG508" s="618"/>
      <c r="AH508" s="619"/>
      <c r="AI508" s="619"/>
      <c r="AJ508" s="619"/>
      <c r="AK508" s="619"/>
      <c r="AL508" s="618"/>
      <c r="AM508" s="619"/>
      <c r="AN508" s="619"/>
      <c r="AO508" s="619"/>
      <c r="AP508" s="619"/>
      <c r="AQ508" s="618"/>
      <c r="AR508" s="619"/>
      <c r="AS508" s="619"/>
      <c r="AT508" s="619"/>
      <c r="AU508" s="619"/>
      <c r="AV508" s="618"/>
      <c r="AW508" s="619"/>
      <c r="AX508" s="619"/>
      <c r="AY508" s="619"/>
      <c r="AZ508" s="619"/>
      <c r="BA508" s="618"/>
      <c r="BB508" s="619"/>
      <c r="BC508" s="619"/>
      <c r="BD508" s="619"/>
      <c r="BE508" s="619"/>
      <c r="BF508" s="618"/>
      <c r="BG508" s="619">
        <v>8</v>
      </c>
      <c r="BH508" s="619">
        <v>5</v>
      </c>
      <c r="BI508" s="619">
        <v>5</v>
      </c>
      <c r="BJ508" s="619">
        <f>BK508-BI508-BH508-BG508</f>
        <v>6</v>
      </c>
      <c r="BK508" s="618">
        <v>24</v>
      </c>
      <c r="BL508" s="619">
        <v>9</v>
      </c>
      <c r="BM508" s="619">
        <v>6</v>
      </c>
      <c r="BN508" s="619">
        <v>5</v>
      </c>
      <c r="BO508" s="619">
        <f>BP508-BN508-BM508-BL508</f>
        <v>5</v>
      </c>
      <c r="BP508" s="618">
        <v>25</v>
      </c>
      <c r="BQ508" s="619">
        <v>9</v>
      </c>
      <c r="BR508" s="619">
        <v>7</v>
      </c>
      <c r="BS508" s="619">
        <v>6</v>
      </c>
      <c r="BT508" s="619">
        <f>BU508-BS508-BR508-BQ508</f>
        <v>7</v>
      </c>
      <c r="BU508" s="618">
        <v>29</v>
      </c>
      <c r="BV508" s="619">
        <v>9</v>
      </c>
      <c r="BW508" s="619">
        <v>5</v>
      </c>
      <c r="BX508" s="619">
        <v>7</v>
      </c>
      <c r="BY508" s="619">
        <f>BZ508-BX508-BW508-BV508</f>
        <v>5</v>
      </c>
      <c r="BZ508" s="618">
        <v>26</v>
      </c>
      <c r="CA508" s="619">
        <v>8</v>
      </c>
      <c r="CB508" s="619">
        <v>6</v>
      </c>
      <c r="CC508" s="619">
        <v>6</v>
      </c>
      <c r="CD508" s="619">
        <f>CE508-CC508-CB508-CA508</f>
        <v>8</v>
      </c>
      <c r="CE508" s="618">
        <v>28</v>
      </c>
      <c r="CF508" s="619">
        <v>11</v>
      </c>
      <c r="CG508" s="619">
        <v>7</v>
      </c>
      <c r="CH508" s="619">
        <v>9</v>
      </c>
      <c r="CI508" s="619">
        <f>CJ508-CH508-CG508-CF508</f>
        <v>10</v>
      </c>
      <c r="CJ508" s="618">
        <v>37</v>
      </c>
      <c r="CK508" s="619">
        <v>12</v>
      </c>
      <c r="CL508" s="619">
        <v>6</v>
      </c>
      <c r="CM508" s="619">
        <v>7</v>
      </c>
      <c r="CN508" s="619">
        <f>CO508-CM508-CL508-CK508</f>
        <v>7</v>
      </c>
      <c r="CO508" s="618">
        <v>32</v>
      </c>
      <c r="CP508" s="619">
        <v>8</v>
      </c>
      <c r="CQ508" s="619">
        <v>5</v>
      </c>
      <c r="CR508" s="619">
        <v>4</v>
      </c>
      <c r="CS508" s="619">
        <f>CT508-CR508-CQ508-CP508</f>
        <v>4</v>
      </c>
      <c r="CT508" s="618">
        <v>21</v>
      </c>
      <c r="CU508" s="619"/>
      <c r="CV508" s="619"/>
      <c r="CW508" s="619"/>
      <c r="CX508" s="619"/>
      <c r="CY508" s="618"/>
      <c r="CZ508" s="619"/>
      <c r="DA508" s="619"/>
      <c r="DB508" s="619"/>
      <c r="DC508" s="619"/>
      <c r="DD508" s="618"/>
      <c r="DE508" s="619"/>
      <c r="DF508" s="619"/>
      <c r="DG508" s="619"/>
      <c r="DH508" s="619"/>
      <c r="DI508" s="618"/>
    </row>
    <row r="509" spans="1:113" s="3" customFormat="1" ht="12" hidden="1" customHeight="1" outlineLevel="1">
      <c r="A509" s="490" t="str">
        <f t="shared" si="1336"/>
        <v xml:space="preserve"> </v>
      </c>
      <c r="B509" s="491" t="s">
        <v>171</v>
      </c>
      <c r="C509" s="550"/>
      <c r="D509" s="549"/>
      <c r="E509" s="550"/>
      <c r="F509" s="549"/>
      <c r="G509" s="550"/>
      <c r="H509" s="549"/>
      <c r="I509" s="550"/>
      <c r="J509" s="549"/>
      <c r="K509" s="550"/>
      <c r="L509" s="549"/>
      <c r="M509" s="550"/>
      <c r="N509" s="549"/>
      <c r="O509" s="550"/>
      <c r="P509" s="549"/>
      <c r="Q509" s="550"/>
      <c r="R509" s="549"/>
      <c r="S509" s="549"/>
      <c r="T509" s="549"/>
      <c r="U509" s="549"/>
      <c r="V509" s="550"/>
      <c r="W509" s="549"/>
      <c r="X509" s="549"/>
      <c r="Y509" s="549"/>
      <c r="Z509" s="549"/>
      <c r="AA509" s="550"/>
      <c r="AB509" s="550"/>
      <c r="AC509" s="549"/>
      <c r="AD509" s="549"/>
      <c r="AE509" s="549"/>
      <c r="AF509" s="549"/>
      <c r="AG509" s="550"/>
      <c r="AH509" s="549"/>
      <c r="AI509" s="549"/>
      <c r="AJ509" s="549"/>
      <c r="AK509" s="549"/>
      <c r="AL509" s="550"/>
      <c r="AM509" s="549"/>
      <c r="AN509" s="549"/>
      <c r="AO509" s="549"/>
      <c r="AP509" s="549"/>
      <c r="AQ509" s="550"/>
      <c r="AR509" s="549"/>
      <c r="AS509" s="549"/>
      <c r="AT509" s="549"/>
      <c r="AU509" s="549"/>
      <c r="AV509" s="550"/>
      <c r="AW509" s="549"/>
      <c r="AX509" s="549"/>
      <c r="AY509" s="549"/>
      <c r="AZ509" s="549"/>
      <c r="BA509" s="550"/>
      <c r="BB509" s="549"/>
      <c r="BC509" s="549"/>
      <c r="BD509" s="549"/>
      <c r="BE509" s="549"/>
      <c r="BF509" s="550"/>
      <c r="BG509" s="549"/>
      <c r="BH509" s="52"/>
      <c r="BI509" s="549"/>
      <c r="BJ509" s="549"/>
      <c r="BK509" s="550"/>
      <c r="BL509" s="52">
        <f t="shared" ref="BL509:BM509" si="1507">+BL508/BG508-1</f>
        <v>0.125</v>
      </c>
      <c r="BM509" s="52">
        <f t="shared" si="1507"/>
        <v>0.19999999999999996</v>
      </c>
      <c r="BN509" s="52">
        <f t="shared" ref="BN509" si="1508">+BN508/BI508-1</f>
        <v>0</v>
      </c>
      <c r="BO509" s="52">
        <f t="shared" ref="BO509" si="1509">+BO508/BJ508-1</f>
        <v>-0.16666666666666663</v>
      </c>
      <c r="BP509" s="112">
        <f t="shared" ref="BP509:CH509" si="1510">+BP508/BK508-1</f>
        <v>4.1666666666666741E-2</v>
      </c>
      <c r="BQ509" s="52">
        <f t="shared" si="1510"/>
        <v>0</v>
      </c>
      <c r="BR509" s="52">
        <f t="shared" si="1510"/>
        <v>0.16666666666666674</v>
      </c>
      <c r="BS509" s="52">
        <f t="shared" si="1510"/>
        <v>0.19999999999999996</v>
      </c>
      <c r="BT509" s="52">
        <f t="shared" si="1510"/>
        <v>0.39999999999999991</v>
      </c>
      <c r="BU509" s="112">
        <f t="shared" si="1510"/>
        <v>0.15999999999999992</v>
      </c>
      <c r="BV509" s="52">
        <f t="shared" ref="BV509" si="1511">+BV508/BQ508-1</f>
        <v>0</v>
      </c>
      <c r="BW509" s="52">
        <f t="shared" ref="BW509" si="1512">+BW508/BR508-1</f>
        <v>-0.2857142857142857</v>
      </c>
      <c r="BX509" s="52">
        <f t="shared" ref="BX509" si="1513">+BX508/BS508-1</f>
        <v>0.16666666666666674</v>
      </c>
      <c r="BY509" s="52">
        <f t="shared" ref="BY509" si="1514">+BY508/BT508-1</f>
        <v>-0.2857142857142857</v>
      </c>
      <c r="BZ509" s="112">
        <f t="shared" si="1510"/>
        <v>-0.10344827586206895</v>
      </c>
      <c r="CA509" s="52">
        <f t="shared" si="1510"/>
        <v>-0.11111111111111116</v>
      </c>
      <c r="CB509" s="52">
        <f t="shared" si="1510"/>
        <v>0.19999999999999996</v>
      </c>
      <c r="CC509" s="52">
        <f t="shared" si="1510"/>
        <v>-0.1428571428571429</v>
      </c>
      <c r="CD509" s="52">
        <f t="shared" si="1510"/>
        <v>0.60000000000000009</v>
      </c>
      <c r="CE509" s="112">
        <f t="shared" si="1510"/>
        <v>7.6923076923076872E-2</v>
      </c>
      <c r="CF509" s="52">
        <f t="shared" si="1510"/>
        <v>0.375</v>
      </c>
      <c r="CG509" s="52">
        <f t="shared" si="1510"/>
        <v>0.16666666666666674</v>
      </c>
      <c r="CH509" s="52">
        <f t="shared" si="1510"/>
        <v>0.5</v>
      </c>
      <c r="CI509" s="52">
        <f t="shared" ref="CI509" si="1515">+CI508/CD508-1</f>
        <v>0.25</v>
      </c>
      <c r="CJ509" s="112">
        <f t="shared" ref="CJ509:CT509" si="1516">+CJ508/CE508-1</f>
        <v>0.3214285714285714</v>
      </c>
      <c r="CK509" s="52">
        <f t="shared" si="1516"/>
        <v>9.0909090909090828E-2</v>
      </c>
      <c r="CL509" s="52">
        <f t="shared" si="1516"/>
        <v>-0.1428571428571429</v>
      </c>
      <c r="CM509" s="52">
        <f t="shared" si="1516"/>
        <v>-0.22222222222222221</v>
      </c>
      <c r="CN509" s="52">
        <f t="shared" si="1516"/>
        <v>-0.30000000000000004</v>
      </c>
      <c r="CO509" s="112">
        <f t="shared" si="1516"/>
        <v>-0.13513513513513509</v>
      </c>
      <c r="CP509" s="52">
        <f t="shared" si="1516"/>
        <v>-0.33333333333333337</v>
      </c>
      <c r="CQ509" s="52">
        <f t="shared" si="1516"/>
        <v>-0.16666666666666663</v>
      </c>
      <c r="CR509" s="52">
        <f t="shared" si="1516"/>
        <v>-0.4285714285714286</v>
      </c>
      <c r="CS509" s="52">
        <f t="shared" si="1516"/>
        <v>-0.4285714285714286</v>
      </c>
      <c r="CT509" s="112">
        <f t="shared" si="1516"/>
        <v>-0.34375</v>
      </c>
      <c r="CU509" s="52"/>
      <c r="CV509" s="549"/>
      <c r="CW509" s="549"/>
      <c r="CX509" s="549"/>
      <c r="CY509" s="550"/>
      <c r="CZ509" s="549"/>
      <c r="DA509" s="549"/>
      <c r="DB509" s="549"/>
      <c r="DC509" s="549"/>
      <c r="DD509" s="550"/>
      <c r="DE509" s="549"/>
      <c r="DF509" s="549"/>
      <c r="DG509" s="549"/>
      <c r="DH509" s="549"/>
      <c r="DI509" s="550"/>
    </row>
    <row r="510" spans="1:113" s="530" customFormat="1" ht="12" hidden="1" customHeight="1" outlineLevel="1">
      <c r="A510" s="552" t="str">
        <f t="shared" si="1336"/>
        <v xml:space="preserve"> </v>
      </c>
      <c r="B510" s="553" t="s">
        <v>173</v>
      </c>
      <c r="C510" s="492"/>
      <c r="D510" s="522"/>
      <c r="E510" s="492"/>
      <c r="F510" s="522"/>
      <c r="G510" s="492"/>
      <c r="H510" s="522"/>
      <c r="I510" s="492"/>
      <c r="J510" s="522"/>
      <c r="K510" s="492"/>
      <c r="L510" s="522"/>
      <c r="M510" s="492"/>
      <c r="N510" s="522"/>
      <c r="O510" s="492"/>
      <c r="P510" s="522"/>
      <c r="Q510" s="492"/>
      <c r="R510" s="522"/>
      <c r="S510" s="522"/>
      <c r="T510" s="522"/>
      <c r="U510" s="522"/>
      <c r="V510" s="492"/>
      <c r="W510" s="522"/>
      <c r="X510" s="522"/>
      <c r="Y510" s="522"/>
      <c r="Z510" s="522"/>
      <c r="AA510" s="492"/>
      <c r="AB510" s="492"/>
      <c r="AC510" s="522"/>
      <c r="AD510" s="522"/>
      <c r="AE510" s="522"/>
      <c r="AF510" s="522"/>
      <c r="AG510" s="492"/>
      <c r="AH510" s="522"/>
      <c r="AI510" s="522"/>
      <c r="AJ510" s="522"/>
      <c r="AK510" s="522"/>
      <c r="AL510" s="492"/>
      <c r="AM510" s="522"/>
      <c r="AN510" s="522"/>
      <c r="AO510" s="522"/>
      <c r="AP510" s="522"/>
      <c r="AQ510" s="492"/>
      <c r="AR510" s="522"/>
      <c r="AS510" s="522"/>
      <c r="AT510" s="522"/>
      <c r="AU510" s="522"/>
      <c r="AV510" s="492"/>
      <c r="AW510" s="522"/>
      <c r="AX510" s="522"/>
      <c r="AY510" s="522"/>
      <c r="AZ510" s="522"/>
      <c r="BA510" s="492"/>
      <c r="BB510" s="522"/>
      <c r="BC510" s="522"/>
      <c r="BD510" s="522"/>
      <c r="BE510" s="522"/>
      <c r="BF510" s="492"/>
      <c r="BG510" s="522"/>
      <c r="BH510" s="522"/>
      <c r="BI510" s="522"/>
      <c r="BJ510" s="522"/>
      <c r="BK510" s="492"/>
      <c r="BL510" s="114">
        <v>0.09</v>
      </c>
      <c r="BM510" s="522">
        <v>0.34</v>
      </c>
      <c r="BN510" s="522">
        <v>0.1</v>
      </c>
      <c r="BO510" s="52">
        <f>((BP510*SUM(BG508:BJ508))-BL510*BG508-BM510*BH508-BN510*BI508)/BJ508</f>
        <v>-0.16666666666666671</v>
      </c>
      <c r="BP510" s="492">
        <v>0.08</v>
      </c>
      <c r="BQ510" s="114">
        <v>0.11</v>
      </c>
      <c r="BR510" s="522">
        <v>0.19</v>
      </c>
      <c r="BS510" s="522">
        <v>0.08</v>
      </c>
      <c r="BT510" s="52">
        <f>((BU510*SUM(BL508:BO508))-BQ510*BL508-BR510*BM508-BS510*BN508)/BO508</f>
        <v>0.19400000000000012</v>
      </c>
      <c r="BU510" s="492">
        <v>0.14000000000000001</v>
      </c>
      <c r="BV510" s="114">
        <v>-0.06</v>
      </c>
      <c r="BW510" s="522">
        <v>-0.3</v>
      </c>
      <c r="BX510" s="522">
        <v>0.06</v>
      </c>
      <c r="BY510" s="52">
        <f>((BZ510*SUM(BQ508:BT508))-BV510*BQ508-BW510*BR508-BX510*BS508)/BT508</f>
        <v>-0.33714285714285708</v>
      </c>
      <c r="BZ510" s="492">
        <v>-0.16</v>
      </c>
      <c r="CA510" s="114">
        <v>0.01</v>
      </c>
      <c r="CB510" s="522">
        <v>0.19</v>
      </c>
      <c r="CC510" s="522">
        <v>-0.02</v>
      </c>
      <c r="CD510" s="52">
        <f>((CE510*SUM(BV508:BY508))-CA510*BV508-CB510*BW508-CC510*BX508)/BY508</f>
        <v>0.65200000000000002</v>
      </c>
      <c r="CE510" s="492">
        <v>0.16</v>
      </c>
      <c r="CF510" s="114">
        <v>0.32</v>
      </c>
      <c r="CG510" s="114">
        <v>0.2</v>
      </c>
      <c r="CH510" s="114">
        <v>0.43</v>
      </c>
      <c r="CI510" s="52">
        <f>((CJ510*SUM(CA508:CD508))-CF510*CA508-CG510*CB508-CH510*CC508)/CD508</f>
        <v>0.39750000000000008</v>
      </c>
      <c r="CJ510" s="492">
        <v>0.34</v>
      </c>
      <c r="CK510" s="114">
        <v>0.19</v>
      </c>
      <c r="CL510" s="114">
        <v>-0.28999999999999998</v>
      </c>
      <c r="CM510" s="114">
        <v>-0.22</v>
      </c>
      <c r="CN510" s="52">
        <f>((CO510*SUM(CF508:CI508))-CK510*CF508-CL510*CG508-CM510*CH508)/CI508</f>
        <v>-0.32600000000000001</v>
      </c>
      <c r="CO510" s="492">
        <v>-0.14000000000000001</v>
      </c>
      <c r="CP510" s="114">
        <v>-0.34</v>
      </c>
      <c r="CQ510" s="114">
        <v>-0.19</v>
      </c>
      <c r="CR510" s="114">
        <v>-0.41</v>
      </c>
      <c r="CS510" s="52">
        <f>((CT510*SUM(CK508:CN508))-CP510*CK508-CQ510*CL508-CR510*CM508)/CN508</f>
        <v>-0.48999999999999988</v>
      </c>
      <c r="CT510" s="492">
        <v>-0.36</v>
      </c>
      <c r="CU510" s="522"/>
      <c r="CV510" s="522"/>
      <c r="CW510" s="522"/>
      <c r="CX510" s="522"/>
      <c r="CY510" s="492"/>
      <c r="CZ510" s="522"/>
      <c r="DA510" s="522"/>
      <c r="DB510" s="522"/>
      <c r="DC510" s="522"/>
      <c r="DD510" s="492"/>
      <c r="DE510" s="522"/>
      <c r="DF510" s="522"/>
      <c r="DG510" s="522"/>
      <c r="DH510" s="522"/>
      <c r="DI510" s="492"/>
    </row>
    <row r="511" spans="1:113" s="3" customFormat="1" ht="12" hidden="1" customHeight="1" outlineLevel="1">
      <c r="A511" s="490" t="str">
        <f t="shared" si="1336"/>
        <v xml:space="preserve"> </v>
      </c>
      <c r="B511" s="491" t="s">
        <v>141</v>
      </c>
      <c r="C511" s="550"/>
      <c r="D511" s="549"/>
      <c r="E511" s="550"/>
      <c r="F511" s="549"/>
      <c r="G511" s="550"/>
      <c r="H511" s="549"/>
      <c r="I511" s="550"/>
      <c r="J511" s="549"/>
      <c r="K511" s="550"/>
      <c r="L511" s="549"/>
      <c r="M511" s="550"/>
      <c r="N511" s="549"/>
      <c r="O511" s="550"/>
      <c r="P511" s="549"/>
      <c r="Q511" s="550"/>
      <c r="R511" s="549"/>
      <c r="S511" s="549"/>
      <c r="T511" s="549"/>
      <c r="U511" s="549"/>
      <c r="V511" s="550"/>
      <c r="W511" s="549"/>
      <c r="X511" s="549"/>
      <c r="Y511" s="549"/>
      <c r="Z511" s="549"/>
      <c r="AA511" s="550"/>
      <c r="AB511" s="550"/>
      <c r="AC511" s="549"/>
      <c r="AD511" s="549"/>
      <c r="AE511" s="549"/>
      <c r="AF511" s="549"/>
      <c r="AG511" s="550"/>
      <c r="AH511" s="549"/>
      <c r="AI511" s="549"/>
      <c r="AJ511" s="549"/>
      <c r="AK511" s="549"/>
      <c r="AL511" s="550"/>
      <c r="AM511" s="549"/>
      <c r="AN511" s="549"/>
      <c r="AO511" s="549"/>
      <c r="AP511" s="549"/>
      <c r="AQ511" s="550"/>
      <c r="AR511" s="549"/>
      <c r="AS511" s="549"/>
      <c r="AT511" s="549"/>
      <c r="AU511" s="549"/>
      <c r="AV511" s="550"/>
      <c r="AW511" s="549"/>
      <c r="AX511" s="549"/>
      <c r="AY511" s="549"/>
      <c r="AZ511" s="549"/>
      <c r="BA511" s="550"/>
      <c r="BB511" s="549"/>
      <c r="BC511" s="549"/>
      <c r="BD511" s="549"/>
      <c r="BE511" s="549"/>
      <c r="BF511" s="550"/>
      <c r="BG511" s="549"/>
      <c r="BH511" s="114"/>
      <c r="BI511" s="549"/>
      <c r="BJ511" s="549"/>
      <c r="BK511" s="550"/>
      <c r="BL511" s="114">
        <f t="shared" ref="BL511:BM511" si="1517">(1+BL509)/(1+BL510)-1</f>
        <v>3.2110091743119185E-2</v>
      </c>
      <c r="BM511" s="114">
        <f t="shared" si="1517"/>
        <v>-0.10447761194029859</v>
      </c>
      <c r="BN511" s="114">
        <f>(1+BN509)/(1+BN510)-1</f>
        <v>-9.0909090909090939E-2</v>
      </c>
      <c r="BO511" s="114">
        <f t="shared" ref="BO511" si="1518">(1+BO509)/(1+BO510)-1</f>
        <v>0</v>
      </c>
      <c r="BP511" s="112">
        <f t="shared" ref="BP511:BZ511" si="1519">(1+BP509)/(1+BP510)-1</f>
        <v>-3.5493827160493874E-2</v>
      </c>
      <c r="BQ511" s="114">
        <f t="shared" si="1519"/>
        <v>-9.9099099099099197E-2</v>
      </c>
      <c r="BR511" s="114">
        <f t="shared" si="1519"/>
        <v>-1.9607843137254832E-2</v>
      </c>
      <c r="BS511" s="114">
        <f t="shared" si="1519"/>
        <v>0.11111111111111094</v>
      </c>
      <c r="BT511" s="114">
        <f t="shared" si="1519"/>
        <v>0.17252931323283049</v>
      </c>
      <c r="BU511" s="112">
        <f t="shared" si="1519"/>
        <v>1.754385964912264E-2</v>
      </c>
      <c r="BV511" s="114">
        <f t="shared" si="1519"/>
        <v>6.3829787234042534E-2</v>
      </c>
      <c r="BW511" s="114">
        <f t="shared" ref="BW511" si="1520">(1+BW509)/(1+BW510)-1</f>
        <v>2.0408163265306145E-2</v>
      </c>
      <c r="BX511" s="114">
        <f t="shared" si="1519"/>
        <v>0.10062893081761004</v>
      </c>
      <c r="BY511" s="114">
        <f t="shared" ref="BY511" si="1521">(1+BY509)/(1+BY510)-1</f>
        <v>7.7586206896551602E-2</v>
      </c>
      <c r="BZ511" s="112">
        <f t="shared" si="1519"/>
        <v>6.7323481116584594E-2</v>
      </c>
      <c r="CA511" s="114">
        <f t="shared" ref="CA511:CH511" si="1522">(1+CA509)/(1+CA510)-1</f>
        <v>-0.11991199119911999</v>
      </c>
      <c r="CB511" s="114">
        <f t="shared" si="1522"/>
        <v>8.4033613445377853E-3</v>
      </c>
      <c r="CC511" s="114">
        <f t="shared" si="1522"/>
        <v>-0.12536443148688048</v>
      </c>
      <c r="CD511" s="114">
        <f t="shared" si="1522"/>
        <v>-3.1476997578692489E-2</v>
      </c>
      <c r="CE511" s="112">
        <f t="shared" ref="CE511" si="1523">(1+CE509)/(1+CE510)-1</f>
        <v>-7.1618037135278478E-2</v>
      </c>
      <c r="CF511" s="114">
        <f t="shared" si="1522"/>
        <v>4.1666666666666519E-2</v>
      </c>
      <c r="CG511" s="114">
        <f t="shared" si="1522"/>
        <v>-2.7777777777777679E-2</v>
      </c>
      <c r="CH511" s="114">
        <f t="shared" si="1522"/>
        <v>4.8951048951048959E-2</v>
      </c>
      <c r="CI511" s="114">
        <f t="shared" ref="CI511:CM511" si="1524">(1+CI509)/(1+CI510)-1</f>
        <v>-0.10554561717352418</v>
      </c>
      <c r="CJ511" s="112">
        <f t="shared" si="1524"/>
        <v>-1.3859275053304976E-2</v>
      </c>
      <c r="CK511" s="114">
        <f t="shared" si="1524"/>
        <v>-8.326967150496567E-2</v>
      </c>
      <c r="CL511" s="114">
        <f t="shared" si="1524"/>
        <v>0.20724346076458744</v>
      </c>
      <c r="CM511" s="114">
        <f t="shared" si="1524"/>
        <v>-2.8490028490029129E-3</v>
      </c>
      <c r="CN511" s="114">
        <f t="shared" ref="CN511:CP511" si="1525">(1+CN509)/(1+CN510)-1</f>
        <v>3.8575667655786461E-2</v>
      </c>
      <c r="CO511" s="112">
        <f t="shared" si="1525"/>
        <v>5.6568196103079504E-3</v>
      </c>
      <c r="CP511" s="114">
        <f t="shared" si="1525"/>
        <v>1.0101010101010166E-2</v>
      </c>
      <c r="CQ511" s="114">
        <f t="shared" ref="CQ511:CT511" si="1526">(1+CQ509)/(1+CQ510)-1</f>
        <v>2.8806584362139898E-2</v>
      </c>
      <c r="CR511" s="114">
        <f t="shared" si="1526"/>
        <v>-3.1476997578692711E-2</v>
      </c>
      <c r="CS511" s="114">
        <f t="shared" si="1526"/>
        <v>0.12044817927170826</v>
      </c>
      <c r="CT511" s="112">
        <f t="shared" si="1526"/>
        <v>2.5390625E-2</v>
      </c>
      <c r="CU511" s="114"/>
      <c r="CV511" s="549"/>
      <c r="CW511" s="549"/>
      <c r="CX511" s="549"/>
      <c r="CY511" s="550"/>
      <c r="CZ511" s="549"/>
      <c r="DA511" s="549"/>
      <c r="DB511" s="549"/>
      <c r="DC511" s="549"/>
      <c r="DD511" s="550"/>
      <c r="DE511" s="549"/>
      <c r="DF511" s="549"/>
      <c r="DG511" s="549"/>
      <c r="DH511" s="549"/>
      <c r="DI511" s="550"/>
    </row>
    <row r="512" spans="1:113" ht="12" hidden="1" customHeight="1" outlineLevel="1">
      <c r="A512" s="219"/>
      <c r="B512" s="17"/>
      <c r="C512" s="79"/>
      <c r="D512" s="6"/>
      <c r="E512" s="79"/>
      <c r="F512" s="6"/>
      <c r="G512" s="79"/>
      <c r="H512" s="6"/>
      <c r="I512" s="79"/>
      <c r="J512" s="6"/>
      <c r="K512" s="79"/>
      <c r="L512" s="6"/>
      <c r="M512" s="79"/>
      <c r="N512" s="6"/>
      <c r="O512" s="79"/>
      <c r="P512" s="6"/>
      <c r="Q512" s="79"/>
      <c r="R512" s="6"/>
      <c r="S512" s="6"/>
      <c r="T512" s="6"/>
      <c r="U512" s="6"/>
      <c r="V512" s="79"/>
      <c r="W512" s="6"/>
      <c r="X512" s="6"/>
      <c r="Y512" s="6"/>
      <c r="Z512" s="6"/>
      <c r="AA512" s="79"/>
      <c r="AB512" s="79"/>
      <c r="AC512" s="6"/>
      <c r="AD512" s="6"/>
      <c r="AE512" s="6"/>
      <c r="AF512" s="6"/>
      <c r="AG512" s="79"/>
      <c r="AH512" s="6"/>
      <c r="AI512" s="6"/>
      <c r="AJ512" s="6"/>
      <c r="AK512" s="6"/>
      <c r="AL512" s="79"/>
      <c r="AM512" s="6"/>
      <c r="AN512" s="6"/>
      <c r="AO512" s="6"/>
      <c r="AP512" s="6"/>
      <c r="AQ512" s="79"/>
      <c r="AR512" s="6"/>
      <c r="AS512" s="6"/>
      <c r="AT512" s="6"/>
      <c r="AU512" s="6"/>
      <c r="AV512" s="79"/>
      <c r="AW512" s="6"/>
      <c r="AX512" s="6"/>
      <c r="AY512" s="6"/>
      <c r="AZ512" s="6"/>
      <c r="BA512" s="79"/>
      <c r="BB512" s="6"/>
      <c r="BC512" s="6"/>
      <c r="BD512" s="6"/>
      <c r="BE512" s="6"/>
      <c r="BF512" s="79"/>
      <c r="BG512" s="6"/>
      <c r="BH512" s="6"/>
      <c r="BI512" s="6"/>
      <c r="BJ512" s="6"/>
      <c r="BK512" s="79"/>
      <c r="BL512" s="376"/>
      <c r="BM512" s="376"/>
      <c r="BN512" s="376"/>
      <c r="BO512" s="376"/>
      <c r="BP512" s="79"/>
      <c r="BQ512" s="6"/>
      <c r="BR512" s="6"/>
      <c r="BS512" s="6"/>
      <c r="BT512" s="376"/>
      <c r="BU512" s="79"/>
      <c r="BV512" s="6"/>
      <c r="BW512" s="6"/>
      <c r="BX512" s="6"/>
      <c r="BY512" s="376"/>
      <c r="BZ512" s="79"/>
      <c r="CA512" s="6"/>
      <c r="CB512" s="6"/>
      <c r="CC512" s="6"/>
      <c r="CD512" s="376"/>
      <c r="CE512" s="79"/>
      <c r="CF512" s="6"/>
      <c r="CG512" s="6"/>
      <c r="CH512" s="6"/>
      <c r="CI512" s="376"/>
      <c r="CJ512" s="79"/>
      <c r="CK512" s="6"/>
      <c r="CL512" s="6"/>
      <c r="CM512" s="6"/>
      <c r="CN512" s="376"/>
      <c r="CO512" s="79"/>
      <c r="CP512" s="6"/>
      <c r="CQ512" s="6"/>
      <c r="CR512" s="6"/>
      <c r="CS512" s="376"/>
      <c r="CT512" s="79"/>
      <c r="CU512" s="6"/>
      <c r="CV512" s="6"/>
      <c r="CW512" s="6"/>
      <c r="CX512" s="6"/>
      <c r="CY512" s="79"/>
      <c r="CZ512" s="6"/>
      <c r="DA512" s="6"/>
      <c r="DB512" s="6"/>
      <c r="DC512" s="6"/>
      <c r="DD512" s="79"/>
      <c r="DE512" s="6"/>
      <c r="DF512" s="6"/>
      <c r="DG512" s="6"/>
      <c r="DH512" s="6"/>
      <c r="DI512" s="79"/>
    </row>
    <row r="513" spans="1:113" s="8" customFormat="1" ht="12" hidden="1" customHeight="1" outlineLevel="1">
      <c r="A513" s="617" t="str">
        <f t="shared" si="1336"/>
        <v xml:space="preserve"> </v>
      </c>
      <c r="B513" s="365" t="s">
        <v>26</v>
      </c>
      <c r="C513" s="618"/>
      <c r="D513" s="619"/>
      <c r="E513" s="618"/>
      <c r="F513" s="619"/>
      <c r="G513" s="618"/>
      <c r="H513" s="619"/>
      <c r="I513" s="618"/>
      <c r="J513" s="619"/>
      <c r="K513" s="618"/>
      <c r="L513" s="619"/>
      <c r="M513" s="618"/>
      <c r="N513" s="619"/>
      <c r="O513" s="618"/>
      <c r="P513" s="619"/>
      <c r="Q513" s="618"/>
      <c r="R513" s="619"/>
      <c r="S513" s="619"/>
      <c r="T513" s="619"/>
      <c r="U513" s="619"/>
      <c r="V513" s="618"/>
      <c r="W513" s="619"/>
      <c r="X513" s="619"/>
      <c r="Y513" s="619"/>
      <c r="Z513" s="619"/>
      <c r="AA513" s="618"/>
      <c r="AB513" s="618"/>
      <c r="AC513" s="619"/>
      <c r="AD513" s="619"/>
      <c r="AE513" s="619"/>
      <c r="AF513" s="619"/>
      <c r="AG513" s="618"/>
      <c r="AH513" s="619"/>
      <c r="AI513" s="619"/>
      <c r="AJ513" s="619"/>
      <c r="AK513" s="619"/>
      <c r="AL513" s="618"/>
      <c r="AM513" s="619"/>
      <c r="AN513" s="619"/>
      <c r="AO513" s="619"/>
      <c r="AP513" s="619"/>
      <c r="AQ513" s="618"/>
      <c r="AR513" s="619"/>
      <c r="AS513" s="619"/>
      <c r="AT513" s="619"/>
      <c r="AU513" s="619"/>
      <c r="AV513" s="618"/>
      <c r="AW513" s="619"/>
      <c r="AX513" s="619"/>
      <c r="AY513" s="619"/>
      <c r="AZ513" s="619"/>
      <c r="BA513" s="618"/>
      <c r="BB513" s="619"/>
      <c r="BC513" s="619"/>
      <c r="BD513" s="619"/>
      <c r="BE513" s="619"/>
      <c r="BF513" s="618"/>
      <c r="BG513" s="619">
        <v>28</v>
      </c>
      <c r="BH513" s="619">
        <v>28</v>
      </c>
      <c r="BI513" s="619">
        <v>26</v>
      </c>
      <c r="BJ513" s="619">
        <f>BK513-BI513-BH513-BG513</f>
        <v>24</v>
      </c>
      <c r="BK513" s="618">
        <v>106</v>
      </c>
      <c r="BL513" s="619">
        <v>24</v>
      </c>
      <c r="BM513" s="619">
        <v>28</v>
      </c>
      <c r="BN513" s="619">
        <v>26</v>
      </c>
      <c r="BO513" s="619">
        <f>BP513-BN513-BM513-BL513</f>
        <v>12</v>
      </c>
      <c r="BP513" s="618">
        <v>90</v>
      </c>
      <c r="BQ513" s="619">
        <v>19</v>
      </c>
      <c r="BR513" s="619">
        <v>21</v>
      </c>
      <c r="BS513" s="619">
        <v>23</v>
      </c>
      <c r="BT513" s="619">
        <f>BU513-BS513-BR513-BQ513</f>
        <v>23</v>
      </c>
      <c r="BU513" s="618">
        <v>86</v>
      </c>
      <c r="BV513" s="619">
        <v>29</v>
      </c>
      <c r="BW513" s="619">
        <v>33</v>
      </c>
      <c r="BX513" s="619">
        <v>28</v>
      </c>
      <c r="BY513" s="619">
        <f>BZ513-BX513-BW513-BV513</f>
        <v>33</v>
      </c>
      <c r="BZ513" s="618">
        <v>123</v>
      </c>
      <c r="CA513" s="619">
        <v>38</v>
      </c>
      <c r="CB513" s="619">
        <v>42</v>
      </c>
      <c r="CC513" s="619">
        <v>37</v>
      </c>
      <c r="CD513" s="619">
        <f>CE513-CC513-CB513-CA513</f>
        <v>37</v>
      </c>
      <c r="CE513" s="618">
        <v>154</v>
      </c>
      <c r="CF513" s="619">
        <v>35</v>
      </c>
      <c r="CG513" s="619">
        <v>40</v>
      </c>
      <c r="CH513" s="619">
        <v>35</v>
      </c>
      <c r="CI513" s="619">
        <f>CJ513-CH513-CG513-CF513</f>
        <v>42</v>
      </c>
      <c r="CJ513" s="618">
        <v>152</v>
      </c>
      <c r="CK513" s="619">
        <v>36</v>
      </c>
      <c r="CL513" s="619">
        <v>33</v>
      </c>
      <c r="CM513" s="619">
        <v>27</v>
      </c>
      <c r="CN513" s="619">
        <f>CO513-CM513-CL513-CK513</f>
        <v>27</v>
      </c>
      <c r="CO513" s="618">
        <v>123</v>
      </c>
      <c r="CP513" s="619">
        <v>26</v>
      </c>
      <c r="CQ513" s="619">
        <v>25</v>
      </c>
      <c r="CR513" s="619">
        <v>17</v>
      </c>
      <c r="CS513" s="619">
        <f>CT513-CR513-CQ513-CP513</f>
        <v>24</v>
      </c>
      <c r="CT513" s="618">
        <v>92</v>
      </c>
      <c r="CU513" s="619"/>
      <c r="CV513" s="619"/>
      <c r="CW513" s="619"/>
      <c r="CX513" s="619"/>
      <c r="CY513" s="618"/>
      <c r="CZ513" s="619"/>
      <c r="DA513" s="619"/>
      <c r="DB513" s="619"/>
      <c r="DC513" s="619"/>
      <c r="DD513" s="618"/>
      <c r="DE513" s="619"/>
      <c r="DF513" s="619"/>
      <c r="DG513" s="619"/>
      <c r="DH513" s="619"/>
      <c r="DI513" s="618"/>
    </row>
    <row r="514" spans="1:113" s="3" customFormat="1" ht="12" hidden="1" customHeight="1" outlineLevel="1">
      <c r="A514" s="490" t="str">
        <f t="shared" ref="A514:A583" si="1527">IF(ISBLANK(B514),"Scrap", " ")</f>
        <v xml:space="preserve"> </v>
      </c>
      <c r="B514" s="491" t="s">
        <v>171</v>
      </c>
      <c r="C514" s="550"/>
      <c r="D514" s="549"/>
      <c r="E514" s="550"/>
      <c r="F514" s="549"/>
      <c r="G514" s="550"/>
      <c r="H514" s="549"/>
      <c r="I514" s="550"/>
      <c r="J514" s="549"/>
      <c r="K514" s="550"/>
      <c r="L514" s="549"/>
      <c r="M514" s="550"/>
      <c r="N514" s="549"/>
      <c r="O514" s="550"/>
      <c r="P514" s="549"/>
      <c r="Q514" s="550"/>
      <c r="R514" s="549"/>
      <c r="S514" s="549"/>
      <c r="T514" s="549"/>
      <c r="U514" s="549"/>
      <c r="V514" s="550"/>
      <c r="W514" s="549"/>
      <c r="X514" s="549"/>
      <c r="Y514" s="549"/>
      <c r="Z514" s="549"/>
      <c r="AA514" s="550"/>
      <c r="AB514" s="550"/>
      <c r="AC514" s="549"/>
      <c r="AD514" s="549"/>
      <c r="AE514" s="549"/>
      <c r="AF514" s="549"/>
      <c r="AG514" s="550"/>
      <c r="AH514" s="549"/>
      <c r="AI514" s="549"/>
      <c r="AJ514" s="549"/>
      <c r="AK514" s="549"/>
      <c r="AL514" s="550"/>
      <c r="AM514" s="549"/>
      <c r="AN514" s="549"/>
      <c r="AO514" s="549"/>
      <c r="AP514" s="549"/>
      <c r="AQ514" s="550"/>
      <c r="AR514" s="549"/>
      <c r="AS514" s="549"/>
      <c r="AT514" s="549"/>
      <c r="AU514" s="549"/>
      <c r="AV514" s="550"/>
      <c r="AW514" s="549"/>
      <c r="AX514" s="549"/>
      <c r="AY514" s="549"/>
      <c r="AZ514" s="549"/>
      <c r="BA514" s="550"/>
      <c r="BB514" s="549"/>
      <c r="BC514" s="549"/>
      <c r="BD514" s="549"/>
      <c r="BE514" s="549"/>
      <c r="BF514" s="550"/>
      <c r="BG514" s="549"/>
      <c r="BH514" s="52"/>
      <c r="BI514" s="549"/>
      <c r="BJ514" s="549"/>
      <c r="BK514" s="550"/>
      <c r="BL514" s="52">
        <f t="shared" ref="BL514:BM514" si="1528">+BL513/BG513-1</f>
        <v>-0.1428571428571429</v>
      </c>
      <c r="BM514" s="52">
        <f t="shared" si="1528"/>
        <v>0</v>
      </c>
      <c r="BN514" s="52">
        <f t="shared" ref="BN514" si="1529">+BN513/BI513-1</f>
        <v>0</v>
      </c>
      <c r="BO514" s="52">
        <f t="shared" ref="BO514" si="1530">+BO513/BJ513-1</f>
        <v>-0.5</v>
      </c>
      <c r="BP514" s="112">
        <f t="shared" ref="BP514:CH514" si="1531">+BP513/BK513-1</f>
        <v>-0.15094339622641506</v>
      </c>
      <c r="BQ514" s="52">
        <f t="shared" si="1531"/>
        <v>-0.20833333333333337</v>
      </c>
      <c r="BR514" s="52">
        <f t="shared" si="1531"/>
        <v>-0.25</v>
      </c>
      <c r="BS514" s="52">
        <f t="shared" si="1531"/>
        <v>-0.11538461538461542</v>
      </c>
      <c r="BT514" s="52">
        <f t="shared" si="1531"/>
        <v>0.91666666666666674</v>
      </c>
      <c r="BU514" s="112">
        <f t="shared" si="1531"/>
        <v>-4.4444444444444398E-2</v>
      </c>
      <c r="BV514" s="52">
        <f t="shared" si="1531"/>
        <v>0.52631578947368429</v>
      </c>
      <c r="BW514" s="52">
        <f t="shared" si="1531"/>
        <v>0.5714285714285714</v>
      </c>
      <c r="BX514" s="52">
        <f t="shared" si="1531"/>
        <v>0.21739130434782616</v>
      </c>
      <c r="BY514" s="52">
        <f t="shared" si="1531"/>
        <v>0.43478260869565211</v>
      </c>
      <c r="BZ514" s="112">
        <f t="shared" si="1531"/>
        <v>0.43023255813953498</v>
      </c>
      <c r="CA514" s="52">
        <f t="shared" si="1531"/>
        <v>0.31034482758620685</v>
      </c>
      <c r="CB514" s="52">
        <f t="shared" si="1531"/>
        <v>0.27272727272727271</v>
      </c>
      <c r="CC514" s="52">
        <f t="shared" si="1531"/>
        <v>0.3214285714285714</v>
      </c>
      <c r="CD514" s="52">
        <f t="shared" si="1531"/>
        <v>0.1212121212121211</v>
      </c>
      <c r="CE514" s="112">
        <f t="shared" si="1531"/>
        <v>0.25203252032520318</v>
      </c>
      <c r="CF514" s="52">
        <f t="shared" si="1531"/>
        <v>-7.8947368421052655E-2</v>
      </c>
      <c r="CG514" s="52">
        <f t="shared" si="1531"/>
        <v>-4.7619047619047672E-2</v>
      </c>
      <c r="CH514" s="52">
        <f t="shared" si="1531"/>
        <v>-5.4054054054054057E-2</v>
      </c>
      <c r="CI514" s="52">
        <f t="shared" ref="CI514" si="1532">+CI513/CD513-1</f>
        <v>0.13513513513513509</v>
      </c>
      <c r="CJ514" s="112">
        <f t="shared" ref="CJ514:CT514" si="1533">+CJ513/CE513-1</f>
        <v>-1.2987012987012991E-2</v>
      </c>
      <c r="CK514" s="52">
        <f t="shared" si="1533"/>
        <v>2.857142857142847E-2</v>
      </c>
      <c r="CL514" s="52">
        <f t="shared" si="1533"/>
        <v>-0.17500000000000004</v>
      </c>
      <c r="CM514" s="52">
        <f t="shared" si="1533"/>
        <v>-0.22857142857142854</v>
      </c>
      <c r="CN514" s="52">
        <f t="shared" si="1533"/>
        <v>-0.3571428571428571</v>
      </c>
      <c r="CO514" s="112">
        <f t="shared" si="1533"/>
        <v>-0.19078947368421051</v>
      </c>
      <c r="CP514" s="52">
        <f t="shared" si="1533"/>
        <v>-0.27777777777777779</v>
      </c>
      <c r="CQ514" s="52">
        <f t="shared" si="1533"/>
        <v>-0.24242424242424243</v>
      </c>
      <c r="CR514" s="52">
        <f t="shared" si="1533"/>
        <v>-0.37037037037037035</v>
      </c>
      <c r="CS514" s="52">
        <f t="shared" si="1533"/>
        <v>-0.11111111111111116</v>
      </c>
      <c r="CT514" s="112">
        <f t="shared" si="1533"/>
        <v>-0.25203252032520329</v>
      </c>
      <c r="CU514" s="52"/>
      <c r="CV514" s="549"/>
      <c r="CW514" s="549"/>
      <c r="CX514" s="549"/>
      <c r="CY514" s="550"/>
      <c r="CZ514" s="549"/>
      <c r="DA514" s="549"/>
      <c r="DB514" s="549"/>
      <c r="DC514" s="549"/>
      <c r="DD514" s="550"/>
      <c r="DE514" s="549"/>
      <c r="DF514" s="549"/>
      <c r="DG514" s="549"/>
      <c r="DH514" s="549"/>
      <c r="DI514" s="550"/>
    </row>
    <row r="515" spans="1:113" s="530" customFormat="1" ht="12" hidden="1" customHeight="1" outlineLevel="1">
      <c r="A515" s="552" t="str">
        <f t="shared" si="1527"/>
        <v xml:space="preserve"> </v>
      </c>
      <c r="B515" s="553" t="s">
        <v>173</v>
      </c>
      <c r="C515" s="492"/>
      <c r="D515" s="522"/>
      <c r="E515" s="492"/>
      <c r="F515" s="522"/>
      <c r="G515" s="492"/>
      <c r="H515" s="522"/>
      <c r="I515" s="492"/>
      <c r="J515" s="522"/>
      <c r="K515" s="492"/>
      <c r="L515" s="522"/>
      <c r="M515" s="492"/>
      <c r="N515" s="522"/>
      <c r="O515" s="492"/>
      <c r="P515" s="522"/>
      <c r="Q515" s="492"/>
      <c r="R515" s="522"/>
      <c r="S515" s="522"/>
      <c r="T515" s="522"/>
      <c r="U515" s="522"/>
      <c r="V515" s="492"/>
      <c r="W515" s="522"/>
      <c r="X515" s="522"/>
      <c r="Y515" s="522"/>
      <c r="Z515" s="522"/>
      <c r="AA515" s="492"/>
      <c r="AB515" s="492"/>
      <c r="AC515" s="522"/>
      <c r="AD515" s="522"/>
      <c r="AE515" s="522"/>
      <c r="AF515" s="522"/>
      <c r="AG515" s="492"/>
      <c r="AH515" s="522"/>
      <c r="AI515" s="522"/>
      <c r="AJ515" s="522"/>
      <c r="AK515" s="522"/>
      <c r="AL515" s="492"/>
      <c r="AM515" s="522"/>
      <c r="AN515" s="522"/>
      <c r="AO515" s="522"/>
      <c r="AP515" s="522"/>
      <c r="AQ515" s="492"/>
      <c r="AR515" s="522"/>
      <c r="AS515" s="522"/>
      <c r="AT515" s="522"/>
      <c r="AU515" s="522"/>
      <c r="AV515" s="492"/>
      <c r="AW515" s="522"/>
      <c r="AX515" s="522"/>
      <c r="AY515" s="522"/>
      <c r="AZ515" s="522"/>
      <c r="BA515" s="492"/>
      <c r="BB515" s="522"/>
      <c r="BC515" s="522"/>
      <c r="BD515" s="522"/>
      <c r="BE515" s="522"/>
      <c r="BF515" s="492"/>
      <c r="BG515" s="522"/>
      <c r="BH515" s="522"/>
      <c r="BI515" s="522"/>
      <c r="BJ515" s="522"/>
      <c r="BK515" s="492"/>
      <c r="BL515" s="114">
        <v>-0.15</v>
      </c>
      <c r="BM515" s="522">
        <v>0</v>
      </c>
      <c r="BN515" s="522">
        <v>0.05</v>
      </c>
      <c r="BO515" s="52">
        <f>((BP515*SUM(BG513:BJ513))-BL515*BG513-BM515*BH513-BN515*BI513)/BJ513</f>
        <v>-0.49750000000000005</v>
      </c>
      <c r="BP515" s="492">
        <v>-0.14000000000000001</v>
      </c>
      <c r="BQ515" s="114">
        <v>-0.18</v>
      </c>
      <c r="BR515" s="522">
        <v>-0.19</v>
      </c>
      <c r="BS515" s="522">
        <v>-0.13</v>
      </c>
      <c r="BT515" s="52">
        <f>((BU515*SUM(BL513:BO513))-BQ515*BL513-BR515*BM513-BS515*BN513)/BO513</f>
        <v>1.01</v>
      </c>
      <c r="BU515" s="492">
        <v>-0.01</v>
      </c>
      <c r="BV515" s="114">
        <v>0.55000000000000004</v>
      </c>
      <c r="BW515" s="522">
        <v>0.54</v>
      </c>
      <c r="BX515" s="522">
        <v>0.25</v>
      </c>
      <c r="BY515" s="52">
        <f>((BZ515*SUM(BQ513:BT513))-BV515*BQ513-BW515*BR513-BX515*BS513)/BT513</f>
        <v>0.37304347826086931</v>
      </c>
      <c r="BZ515" s="492">
        <v>0.42</v>
      </c>
      <c r="CA515" s="114">
        <v>0.3</v>
      </c>
      <c r="CB515" s="522">
        <v>0.27</v>
      </c>
      <c r="CC515" s="522">
        <v>0.28999999999999998</v>
      </c>
      <c r="CD515" s="52">
        <f>((CE515*SUM(BV513:BY513))-CA515*BV513-CB515*BW513-CC515*BX513)/BY513</f>
        <v>0.15212121212121216</v>
      </c>
      <c r="CE515" s="492">
        <v>0.25</v>
      </c>
      <c r="CF515" s="114">
        <v>-0.08</v>
      </c>
      <c r="CG515" s="114">
        <v>-0.05</v>
      </c>
      <c r="CH515" s="114">
        <v>-0.05</v>
      </c>
      <c r="CI515" s="52">
        <f>((CJ515*SUM(CA513:CD513))-CF515*CA513-CG515*CB513-CH515*CC513)/CD513</f>
        <v>0.10567567567567568</v>
      </c>
      <c r="CJ515" s="492">
        <v>-0.02</v>
      </c>
      <c r="CK515" s="114">
        <v>0.05</v>
      </c>
      <c r="CL515" s="114">
        <v>0.18</v>
      </c>
      <c r="CM515" s="114">
        <v>-0.2</v>
      </c>
      <c r="CN515" s="52">
        <f>((CO515*SUM(CF513:CI513))-CK515*CF513-CL515*CG513-CM515*CH513)/CI513</f>
        <v>-0.73404761904761906</v>
      </c>
      <c r="CO515" s="492">
        <v>-0.19</v>
      </c>
      <c r="CP515" s="114">
        <v>-0.28000000000000003</v>
      </c>
      <c r="CQ515" s="114">
        <v>-0.24</v>
      </c>
      <c r="CR515" s="114">
        <v>-0.38</v>
      </c>
      <c r="CS515" s="52">
        <f>((CT515*SUM(CK513:CN513))-CP515*CK513-CQ515*CL513-CR515*CM513)/CN513</f>
        <v>-0.13777777777777775</v>
      </c>
      <c r="CT515" s="492">
        <v>-0.26</v>
      </c>
      <c r="CU515" s="522"/>
      <c r="CV515" s="522"/>
      <c r="CW515" s="522"/>
      <c r="CX515" s="522"/>
      <c r="CY515" s="492"/>
      <c r="CZ515" s="522"/>
      <c r="DA515" s="522"/>
      <c r="DB515" s="522"/>
      <c r="DC515" s="522"/>
      <c r="DD515" s="492"/>
      <c r="DE515" s="522"/>
      <c r="DF515" s="522"/>
      <c r="DG515" s="522"/>
      <c r="DH515" s="522"/>
      <c r="DI515" s="492"/>
    </row>
    <row r="516" spans="1:113" s="3" customFormat="1" ht="12" hidden="1" customHeight="1" outlineLevel="1">
      <c r="A516" s="490" t="str">
        <f t="shared" si="1527"/>
        <v xml:space="preserve"> </v>
      </c>
      <c r="B516" s="491" t="s">
        <v>141</v>
      </c>
      <c r="C516" s="550"/>
      <c r="D516" s="549"/>
      <c r="E516" s="550"/>
      <c r="F516" s="549"/>
      <c r="G516" s="550"/>
      <c r="H516" s="549"/>
      <c r="I516" s="550"/>
      <c r="J516" s="549"/>
      <c r="K516" s="550"/>
      <c r="L516" s="549"/>
      <c r="M516" s="550"/>
      <c r="N516" s="549"/>
      <c r="O516" s="550"/>
      <c r="P516" s="549"/>
      <c r="Q516" s="550"/>
      <c r="R516" s="549"/>
      <c r="S516" s="549"/>
      <c r="T516" s="549"/>
      <c r="U516" s="549"/>
      <c r="V516" s="550"/>
      <c r="W516" s="549"/>
      <c r="X516" s="549"/>
      <c r="Y516" s="549"/>
      <c r="Z516" s="549"/>
      <c r="AA516" s="550"/>
      <c r="AB516" s="550"/>
      <c r="AC516" s="549"/>
      <c r="AD516" s="549"/>
      <c r="AE516" s="549"/>
      <c r="AF516" s="549"/>
      <c r="AG516" s="550"/>
      <c r="AH516" s="549"/>
      <c r="AI516" s="549"/>
      <c r="AJ516" s="549"/>
      <c r="AK516" s="549"/>
      <c r="AL516" s="550"/>
      <c r="AM516" s="549"/>
      <c r="AN516" s="549"/>
      <c r="AO516" s="549"/>
      <c r="AP516" s="549"/>
      <c r="AQ516" s="550"/>
      <c r="AR516" s="549"/>
      <c r="AS516" s="549"/>
      <c r="AT516" s="549"/>
      <c r="AU516" s="549"/>
      <c r="AV516" s="550"/>
      <c r="AW516" s="549"/>
      <c r="AX516" s="549"/>
      <c r="AY516" s="549"/>
      <c r="AZ516" s="549"/>
      <c r="BA516" s="550"/>
      <c r="BB516" s="549"/>
      <c r="BC516" s="549"/>
      <c r="BD516" s="549"/>
      <c r="BE516" s="549"/>
      <c r="BF516" s="550"/>
      <c r="BG516" s="549"/>
      <c r="BH516" s="114"/>
      <c r="BI516" s="549"/>
      <c r="BJ516" s="549"/>
      <c r="BK516" s="550"/>
      <c r="BL516" s="114">
        <f t="shared" ref="BL516:BM516" si="1534">(1+BL514)/(1+BL515)-1</f>
        <v>8.4033613445377853E-3</v>
      </c>
      <c r="BM516" s="114">
        <f t="shared" si="1534"/>
        <v>0</v>
      </c>
      <c r="BN516" s="114">
        <f>(1+BN514)/(1+BN515)-1</f>
        <v>-4.7619047619047672E-2</v>
      </c>
      <c r="BO516" s="114">
        <f t="shared" ref="BO516" si="1535">(1+BO514)/(1+BO515)-1</f>
        <v>-4.9751243781093191E-3</v>
      </c>
      <c r="BP516" s="112">
        <f t="shared" ref="BP516:BZ516" si="1536">(1+BP514)/(1+BP515)-1</f>
        <v>-1.2724879333040784E-2</v>
      </c>
      <c r="BQ516" s="114">
        <f t="shared" si="1536"/>
        <v>-3.4552845528455389E-2</v>
      </c>
      <c r="BR516" s="114">
        <f t="shared" si="1536"/>
        <v>-7.4074074074074181E-2</v>
      </c>
      <c r="BS516" s="114">
        <f t="shared" si="1536"/>
        <v>1.6799292661361598E-2</v>
      </c>
      <c r="BT516" s="114">
        <f t="shared" si="1536"/>
        <v>-4.6434494195688125E-2</v>
      </c>
      <c r="BU516" s="112">
        <f t="shared" si="1536"/>
        <v>-3.4792368125701412E-2</v>
      </c>
      <c r="BV516" s="114">
        <f t="shared" si="1536"/>
        <v>-1.5280135823429464E-2</v>
      </c>
      <c r="BW516" s="114">
        <f t="shared" ref="BW516" si="1537">(1+BW514)/(1+BW515)-1</f>
        <v>2.0408163265306145E-2</v>
      </c>
      <c r="BX516" s="114">
        <f t="shared" si="1536"/>
        <v>-2.6086956521739091E-2</v>
      </c>
      <c r="BY516" s="114">
        <f t="shared" ref="BY516" si="1538">(1+BY514)/(1+BY515)-1</f>
        <v>4.4965167827739183E-2</v>
      </c>
      <c r="BZ516" s="112">
        <f t="shared" si="1536"/>
        <v>7.2060268588274301E-3</v>
      </c>
      <c r="CA516" s="114">
        <f t="shared" ref="CA516:CH516" si="1539">(1+CA514)/(1+CA515)-1</f>
        <v>7.9575596816976457E-3</v>
      </c>
      <c r="CB516" s="114">
        <f t="shared" si="1539"/>
        <v>2.1474588403722628E-3</v>
      </c>
      <c r="CC516" s="114">
        <f t="shared" si="1539"/>
        <v>2.4363233665559259E-2</v>
      </c>
      <c r="CD516" s="114">
        <f t="shared" si="1539"/>
        <v>-2.6827985270910126E-2</v>
      </c>
      <c r="CE516" s="112">
        <f t="shared" ref="CE516" si="1540">(1+CE514)/(1+CE515)-1</f>
        <v>1.626016260162455E-3</v>
      </c>
      <c r="CF516" s="114">
        <f t="shared" si="1539"/>
        <v>1.1441647597252302E-3</v>
      </c>
      <c r="CG516" s="114">
        <f t="shared" si="1539"/>
        <v>2.5062656641603454E-3</v>
      </c>
      <c r="CH516" s="114">
        <f t="shared" si="1539"/>
        <v>-4.2674253200568613E-3</v>
      </c>
      <c r="CI516" s="114">
        <f t="shared" ref="CI516:CM516" si="1541">(1+CI514)/(1+CI515)-1</f>
        <v>2.6643852358836595E-2</v>
      </c>
      <c r="CJ516" s="112">
        <f t="shared" si="1541"/>
        <v>7.156109196925442E-3</v>
      </c>
      <c r="CK516" s="114">
        <f t="shared" si="1541"/>
        <v>-2.0408163265306256E-2</v>
      </c>
      <c r="CL516" s="114">
        <f t="shared" si="1541"/>
        <v>-0.30084745762711862</v>
      </c>
      <c r="CM516" s="114">
        <f t="shared" si="1541"/>
        <v>-3.5714285714285698E-2</v>
      </c>
      <c r="CN516" s="114">
        <f t="shared" ref="CN516:CP516" si="1542">(1+CN514)/(1+CN515)-1</f>
        <v>1.4171888988361685</v>
      </c>
      <c r="CO516" s="112">
        <f t="shared" si="1542"/>
        <v>-9.746588693957392E-4</v>
      </c>
      <c r="CP516" s="114">
        <f t="shared" si="1542"/>
        <v>3.0864197530864335E-3</v>
      </c>
      <c r="CQ516" s="114">
        <f t="shared" ref="CQ516:CT516" si="1543">(1+CQ514)/(1+CQ515)-1</f>
        <v>-3.1897926634768536E-3</v>
      </c>
      <c r="CR516" s="114">
        <f t="shared" si="1543"/>
        <v>1.5531660692950977E-2</v>
      </c>
      <c r="CS516" s="114">
        <f t="shared" si="1543"/>
        <v>3.0927835051546282E-2</v>
      </c>
      <c r="CT516" s="112">
        <f t="shared" si="1543"/>
        <v>1.0766864425400868E-2</v>
      </c>
      <c r="CU516" s="114"/>
      <c r="CV516" s="549"/>
      <c r="CW516" s="549"/>
      <c r="CX516" s="549"/>
      <c r="CY516" s="550"/>
      <c r="CZ516" s="549"/>
      <c r="DA516" s="549"/>
      <c r="DB516" s="549"/>
      <c r="DC516" s="549"/>
      <c r="DD516" s="550"/>
      <c r="DE516" s="549"/>
      <c r="DF516" s="549"/>
      <c r="DG516" s="549"/>
      <c r="DH516" s="549"/>
      <c r="DI516" s="550"/>
    </row>
    <row r="517" spans="1:113" ht="12" hidden="1" customHeight="1" outlineLevel="1">
      <c r="A517" s="219"/>
      <c r="B517" s="17"/>
      <c r="C517" s="79"/>
      <c r="D517" s="6"/>
      <c r="E517" s="79"/>
      <c r="F517" s="6"/>
      <c r="G517" s="79"/>
      <c r="H517" s="6"/>
      <c r="I517" s="79"/>
      <c r="J517" s="6"/>
      <c r="K517" s="79"/>
      <c r="L517" s="6"/>
      <c r="M517" s="79"/>
      <c r="N517" s="6"/>
      <c r="O517" s="79"/>
      <c r="P517" s="6"/>
      <c r="Q517" s="79"/>
      <c r="R517" s="6"/>
      <c r="S517" s="6"/>
      <c r="T517" s="6"/>
      <c r="U517" s="6"/>
      <c r="V517" s="79"/>
      <c r="W517" s="6"/>
      <c r="X517" s="6"/>
      <c r="Y517" s="6"/>
      <c r="Z517" s="6"/>
      <c r="AA517" s="79"/>
      <c r="AB517" s="79"/>
      <c r="AC517" s="6"/>
      <c r="AD517" s="6"/>
      <c r="AE517" s="6"/>
      <c r="AF517" s="6"/>
      <c r="AG517" s="79"/>
      <c r="AH517" s="6"/>
      <c r="AI517" s="6"/>
      <c r="AJ517" s="6"/>
      <c r="AK517" s="6"/>
      <c r="AL517" s="79"/>
      <c r="AM517" s="6"/>
      <c r="AN517" s="6"/>
      <c r="AO517" s="6"/>
      <c r="AP517" s="6"/>
      <c r="AQ517" s="79"/>
      <c r="AR517" s="6"/>
      <c r="AS517" s="6"/>
      <c r="AT517" s="6"/>
      <c r="AU517" s="6"/>
      <c r="AV517" s="79"/>
      <c r="AW517" s="6"/>
      <c r="AX517" s="6"/>
      <c r="AY517" s="6"/>
      <c r="AZ517" s="6"/>
      <c r="BA517" s="79"/>
      <c r="BB517" s="6"/>
      <c r="BC517" s="6"/>
      <c r="BD517" s="6"/>
      <c r="BE517" s="6"/>
      <c r="BF517" s="79"/>
      <c r="BG517" s="6"/>
      <c r="BH517" s="6"/>
      <c r="BI517" s="6"/>
      <c r="BJ517" s="6"/>
      <c r="BK517" s="79"/>
      <c r="BL517" s="6"/>
      <c r="BM517" s="6"/>
      <c r="BN517" s="6"/>
      <c r="BO517" s="6"/>
      <c r="BP517" s="79"/>
      <c r="BQ517" s="6"/>
      <c r="BR517" s="6"/>
      <c r="BS517" s="6"/>
      <c r="BT517" s="6"/>
      <c r="BU517" s="79"/>
      <c r="BV517" s="6"/>
      <c r="BW517" s="6"/>
      <c r="BX517" s="6"/>
      <c r="BY517" s="6"/>
      <c r="BZ517" s="79"/>
      <c r="CA517" s="6"/>
      <c r="CB517" s="6"/>
      <c r="CC517" s="6"/>
      <c r="CD517" s="6"/>
      <c r="CE517" s="79"/>
      <c r="CF517" s="6"/>
      <c r="CG517" s="6"/>
      <c r="CH517" s="6"/>
      <c r="CI517" s="6"/>
      <c r="CJ517" s="79"/>
      <c r="CK517" s="6"/>
      <c r="CL517" s="6"/>
      <c r="CM517" s="6"/>
      <c r="CN517" s="6"/>
      <c r="CO517" s="79"/>
      <c r="CP517" s="6"/>
      <c r="CQ517" s="6"/>
      <c r="CR517" s="6"/>
      <c r="CS517" s="6"/>
      <c r="CT517" s="79"/>
      <c r="CU517" s="6"/>
      <c r="CV517" s="6"/>
      <c r="CW517" s="6"/>
      <c r="CX517" s="6"/>
      <c r="CY517" s="79"/>
      <c r="CZ517" s="6"/>
      <c r="DA517" s="6"/>
      <c r="DB517" s="6"/>
      <c r="DC517" s="6"/>
      <c r="DD517" s="79"/>
      <c r="DE517" s="6"/>
      <c r="DF517" s="6"/>
      <c r="DG517" s="6"/>
      <c r="DH517" s="6"/>
      <c r="DI517" s="79"/>
    </row>
    <row r="518" spans="1:113" s="8" customFormat="1" ht="12" hidden="1" customHeight="1" outlineLevel="1">
      <c r="A518" s="617" t="str">
        <f t="shared" si="1527"/>
        <v xml:space="preserve"> </v>
      </c>
      <c r="B518" s="365" t="s">
        <v>319</v>
      </c>
      <c r="C518" s="618"/>
      <c r="D518" s="619"/>
      <c r="E518" s="618"/>
      <c r="F518" s="619"/>
      <c r="G518" s="618"/>
      <c r="H518" s="619"/>
      <c r="I518" s="618"/>
      <c r="J518" s="619"/>
      <c r="K518" s="618"/>
      <c r="L518" s="619"/>
      <c r="M518" s="618"/>
      <c r="N518" s="619"/>
      <c r="O518" s="618"/>
      <c r="P518" s="619"/>
      <c r="Q518" s="618"/>
      <c r="R518" s="619"/>
      <c r="S518" s="619"/>
      <c r="T518" s="619"/>
      <c r="U518" s="619"/>
      <c r="V518" s="618"/>
      <c r="W518" s="619"/>
      <c r="X518" s="619"/>
      <c r="Y518" s="619"/>
      <c r="Z518" s="619"/>
      <c r="AA518" s="618"/>
      <c r="AB518" s="618"/>
      <c r="AC518" s="619"/>
      <c r="AD518" s="619"/>
      <c r="AE518" s="619"/>
      <c r="AF518" s="619"/>
      <c r="AG518" s="618"/>
      <c r="AH518" s="619"/>
      <c r="AI518" s="619"/>
      <c r="AJ518" s="619"/>
      <c r="AK518" s="619"/>
      <c r="AL518" s="618"/>
      <c r="AM518" s="619"/>
      <c r="AN518" s="619"/>
      <c r="AO518" s="619"/>
      <c r="AP518" s="619"/>
      <c r="AQ518" s="618"/>
      <c r="AR518" s="619"/>
      <c r="AS518" s="619"/>
      <c r="AT518" s="619"/>
      <c r="AU518" s="619"/>
      <c r="AV518" s="618"/>
      <c r="AW518" s="619"/>
      <c r="AX518" s="619"/>
      <c r="AY518" s="619"/>
      <c r="AZ518" s="619"/>
      <c r="BA518" s="618"/>
      <c r="BB518" s="619"/>
      <c r="BC518" s="619"/>
      <c r="BD518" s="619"/>
      <c r="BE518" s="619"/>
      <c r="BF518" s="618"/>
      <c r="BG518" s="619">
        <v>366</v>
      </c>
      <c r="BH518" s="619">
        <v>256</v>
      </c>
      <c r="BI518" s="619">
        <v>308</v>
      </c>
      <c r="BJ518" s="619">
        <f>BK518-BI518-BH518-BG518</f>
        <v>317</v>
      </c>
      <c r="BK518" s="618">
        <v>1247</v>
      </c>
      <c r="BL518" s="619">
        <v>367</v>
      </c>
      <c r="BM518" s="619">
        <v>286</v>
      </c>
      <c r="BN518" s="619">
        <v>330</v>
      </c>
      <c r="BO518" s="619">
        <f>BP518-BN518-BM518-BL518</f>
        <v>171</v>
      </c>
      <c r="BP518" s="618">
        <v>1154</v>
      </c>
      <c r="BQ518" s="619">
        <v>373</v>
      </c>
      <c r="BR518" s="619">
        <v>259</v>
      </c>
      <c r="BS518" s="619">
        <v>366</v>
      </c>
      <c r="BT518" s="619">
        <f>BU518-BS518-BR518-BQ518</f>
        <v>355</v>
      </c>
      <c r="BU518" s="618">
        <v>1353</v>
      </c>
      <c r="BV518" s="619">
        <v>369</v>
      </c>
      <c r="BW518" s="619">
        <v>303</v>
      </c>
      <c r="BX518" s="619">
        <v>303</v>
      </c>
      <c r="BY518" s="619">
        <f>BZ518-BX518-BW518-BV518</f>
        <v>317</v>
      </c>
      <c r="BZ518" s="618">
        <v>1292</v>
      </c>
      <c r="CA518" s="619">
        <v>344</v>
      </c>
      <c r="CB518" s="619">
        <v>304</v>
      </c>
      <c r="CC518" s="619">
        <v>323</v>
      </c>
      <c r="CD518" s="619">
        <f>CE518-CC518-CB518-CA518</f>
        <v>328</v>
      </c>
      <c r="CE518" s="618">
        <v>1299</v>
      </c>
      <c r="CF518" s="619">
        <v>329</v>
      </c>
      <c r="CG518" s="619">
        <v>257</v>
      </c>
      <c r="CH518" s="619">
        <v>257</v>
      </c>
      <c r="CI518" s="619">
        <f>CJ518-CH518-CG518-CF518</f>
        <v>255</v>
      </c>
      <c r="CJ518" s="618">
        <v>1098</v>
      </c>
      <c r="CK518" s="619">
        <v>275</v>
      </c>
      <c r="CL518" s="619">
        <v>212</v>
      </c>
      <c r="CM518" s="619">
        <v>208</v>
      </c>
      <c r="CN518" s="619">
        <f>CO518-CM518-CL518-CK518</f>
        <v>180</v>
      </c>
      <c r="CO518" s="618">
        <v>875</v>
      </c>
      <c r="CP518" s="619">
        <v>195</v>
      </c>
      <c r="CQ518" s="619">
        <v>143</v>
      </c>
      <c r="CR518" s="619">
        <v>142</v>
      </c>
      <c r="CS518" s="619">
        <f>CT518-CR518-CQ518-CP518</f>
        <v>125</v>
      </c>
      <c r="CT518" s="618">
        <v>605</v>
      </c>
      <c r="CU518" s="619"/>
      <c r="CV518" s="619"/>
      <c r="CW518" s="619"/>
      <c r="CX518" s="619"/>
      <c r="CY518" s="618"/>
      <c r="CZ518" s="619"/>
      <c r="DA518" s="619"/>
      <c r="DB518" s="619"/>
      <c r="DC518" s="619"/>
      <c r="DD518" s="618"/>
      <c r="DE518" s="619"/>
      <c r="DF518" s="619"/>
      <c r="DG518" s="619"/>
      <c r="DH518" s="619"/>
      <c r="DI518" s="618"/>
    </row>
    <row r="519" spans="1:113" s="3" customFormat="1" ht="12" hidden="1" customHeight="1" outlineLevel="1">
      <c r="A519" s="490" t="str">
        <f t="shared" si="1527"/>
        <v xml:space="preserve"> </v>
      </c>
      <c r="B519" s="491" t="s">
        <v>171</v>
      </c>
      <c r="C519" s="550"/>
      <c r="D519" s="549"/>
      <c r="E519" s="550"/>
      <c r="F519" s="549"/>
      <c r="G519" s="550"/>
      <c r="H519" s="549"/>
      <c r="I519" s="550"/>
      <c r="J519" s="549"/>
      <c r="K519" s="550"/>
      <c r="L519" s="549"/>
      <c r="M519" s="550"/>
      <c r="N519" s="549"/>
      <c r="O519" s="550"/>
      <c r="P519" s="549"/>
      <c r="Q519" s="550"/>
      <c r="R519" s="549"/>
      <c r="S519" s="549"/>
      <c r="T519" s="549"/>
      <c r="U519" s="549"/>
      <c r="V519" s="550"/>
      <c r="W519" s="549"/>
      <c r="X519" s="549"/>
      <c r="Y519" s="549"/>
      <c r="Z519" s="549"/>
      <c r="AA519" s="550"/>
      <c r="AB519" s="550"/>
      <c r="AC519" s="549"/>
      <c r="AD519" s="549"/>
      <c r="AE519" s="549"/>
      <c r="AF519" s="549"/>
      <c r="AG519" s="550"/>
      <c r="AH519" s="549"/>
      <c r="AI519" s="549"/>
      <c r="AJ519" s="549"/>
      <c r="AK519" s="549"/>
      <c r="AL519" s="550"/>
      <c r="AM519" s="549"/>
      <c r="AN519" s="549"/>
      <c r="AO519" s="549"/>
      <c r="AP519" s="549"/>
      <c r="AQ519" s="550"/>
      <c r="AR519" s="549"/>
      <c r="AS519" s="549"/>
      <c r="AT519" s="549"/>
      <c r="AU519" s="549"/>
      <c r="AV519" s="550"/>
      <c r="AW519" s="549"/>
      <c r="AX519" s="549"/>
      <c r="AY519" s="549"/>
      <c r="AZ519" s="549"/>
      <c r="BA519" s="550"/>
      <c r="BB519" s="549"/>
      <c r="BC519" s="549"/>
      <c r="BD519" s="549"/>
      <c r="BE519" s="549"/>
      <c r="BF519" s="550"/>
      <c r="BG519" s="549"/>
      <c r="BH519" s="52"/>
      <c r="BI519" s="549"/>
      <c r="BJ519" s="549"/>
      <c r="BK519" s="550"/>
      <c r="BL519" s="52">
        <f>BL518/BG518-1</f>
        <v>2.732240437158362E-3</v>
      </c>
      <c r="BM519" s="52">
        <f>BM518/BH518-1</f>
        <v>0.1171875</v>
      </c>
      <c r="BN519" s="52">
        <f t="shared" ref="BN519" si="1544">+BN518/BI518-1</f>
        <v>7.1428571428571397E-2</v>
      </c>
      <c r="BO519" s="52">
        <f t="shared" ref="BO519" si="1545">+BO518/BJ518-1</f>
        <v>-0.4605678233438486</v>
      </c>
      <c r="BP519" s="112">
        <f t="shared" ref="BP519" si="1546">+BP518/BK518-1</f>
        <v>-7.4578989574979992E-2</v>
      </c>
      <c r="BQ519" s="52">
        <f>BQ518/BL518-1</f>
        <v>1.6348773841961872E-2</v>
      </c>
      <c r="BR519" s="52">
        <f>BR518/BM518-1</f>
        <v>-9.4405594405594373E-2</v>
      </c>
      <c r="BS519" s="52">
        <f>BS518/BN518-1</f>
        <v>0.10909090909090913</v>
      </c>
      <c r="BT519" s="52">
        <f t="shared" ref="BT519:BU519" si="1547">+BT518/BO518-1</f>
        <v>1.0760233918128654</v>
      </c>
      <c r="BU519" s="112">
        <f t="shared" si="1547"/>
        <v>0.17244367417677653</v>
      </c>
      <c r="BV519" s="52">
        <f>BV518/BQ518-1</f>
        <v>-1.072386058981234E-2</v>
      </c>
      <c r="BW519" s="52">
        <f>BW518/BR518-1</f>
        <v>0.16988416988416999</v>
      </c>
      <c r="BX519" s="52">
        <f>BX518/BS518-1</f>
        <v>-0.17213114754098358</v>
      </c>
      <c r="BY519" s="52">
        <f t="shared" ref="BY519:BZ519" si="1548">+BY518/BT518-1</f>
        <v>-0.10704225352112673</v>
      </c>
      <c r="BZ519" s="112">
        <f t="shared" si="1548"/>
        <v>-4.5084996304508462E-2</v>
      </c>
      <c r="CA519" s="52">
        <f>CA518/BV518-1</f>
        <v>-6.7750677506775103E-2</v>
      </c>
      <c r="CB519" s="52">
        <f>CB518/BW518-1</f>
        <v>3.3003300330032292E-3</v>
      </c>
      <c r="CC519" s="52">
        <f>CC518/BX518-1</f>
        <v>6.6006600660065917E-2</v>
      </c>
      <c r="CD519" s="52">
        <f t="shared" ref="CD519" si="1549">+CD518/BY518-1</f>
        <v>3.4700315457413256E-2</v>
      </c>
      <c r="CE519" s="112">
        <f t="shared" ref="CE519" si="1550">+CE518/BZ518-1</f>
        <v>5.4179566563468118E-3</v>
      </c>
      <c r="CF519" s="52">
        <f>CF518/CA518-1</f>
        <v>-4.3604651162790664E-2</v>
      </c>
      <c r="CG519" s="52">
        <f>CG518/CB518-1</f>
        <v>-0.15460526315789469</v>
      </c>
      <c r="CH519" s="52">
        <f>CH518/CC518-1</f>
        <v>-0.20433436532507743</v>
      </c>
      <c r="CI519" s="52">
        <f t="shared" ref="CI519" si="1551">+CI518/CD518-1</f>
        <v>-0.22256097560975607</v>
      </c>
      <c r="CJ519" s="112">
        <f t="shared" ref="CJ519" si="1552">+CJ518/CE518-1</f>
        <v>-0.15473441108545039</v>
      </c>
      <c r="CK519" s="52">
        <f>CK518/CF518-1</f>
        <v>-0.16413373860182368</v>
      </c>
      <c r="CL519" s="52">
        <f>CL518/CG518-1</f>
        <v>-0.17509727626459148</v>
      </c>
      <c r="CM519" s="52">
        <f>CM518/CH518-1</f>
        <v>-0.19066147859922178</v>
      </c>
      <c r="CN519" s="52">
        <f t="shared" ref="CN519:CO519" si="1553">+CN518/CI518-1</f>
        <v>-0.29411764705882348</v>
      </c>
      <c r="CO519" s="112">
        <f t="shared" si="1553"/>
        <v>-0.2030965391621129</v>
      </c>
      <c r="CP519" s="52">
        <f>CP518/CK518-1</f>
        <v>-0.29090909090909089</v>
      </c>
      <c r="CQ519" s="52">
        <f>CQ518/CL518-1</f>
        <v>-0.32547169811320753</v>
      </c>
      <c r="CR519" s="52">
        <f>CR518/CM518-1</f>
        <v>-0.31730769230769229</v>
      </c>
      <c r="CS519" s="52">
        <f t="shared" ref="CS519:CT519" si="1554">+CS518/CN518-1</f>
        <v>-0.30555555555555558</v>
      </c>
      <c r="CT519" s="112">
        <f t="shared" si="1554"/>
        <v>-0.30857142857142861</v>
      </c>
      <c r="CU519" s="52"/>
      <c r="CV519" s="549"/>
      <c r="CW519" s="549"/>
      <c r="CX519" s="549"/>
      <c r="CY519" s="550"/>
      <c r="CZ519" s="549"/>
      <c r="DA519" s="549"/>
      <c r="DB519" s="549"/>
      <c r="DC519" s="549"/>
      <c r="DD519" s="550"/>
      <c r="DE519" s="549"/>
      <c r="DF519" s="549"/>
      <c r="DG519" s="549"/>
      <c r="DH519" s="549"/>
      <c r="DI519" s="550"/>
    </row>
    <row r="520" spans="1:113" s="530" customFormat="1" ht="12" hidden="1" customHeight="1" outlineLevel="1">
      <c r="A520" s="552" t="str">
        <f t="shared" si="1527"/>
        <v xml:space="preserve"> </v>
      </c>
      <c r="B520" s="553" t="s">
        <v>173</v>
      </c>
      <c r="C520" s="492"/>
      <c r="D520" s="522"/>
      <c r="E520" s="492"/>
      <c r="F520" s="522"/>
      <c r="G520" s="492"/>
      <c r="H520" s="522"/>
      <c r="I520" s="492"/>
      <c r="J520" s="522"/>
      <c r="K520" s="492"/>
      <c r="L520" s="522"/>
      <c r="M520" s="492"/>
      <c r="N520" s="522"/>
      <c r="O520" s="492"/>
      <c r="P520" s="522"/>
      <c r="Q520" s="492"/>
      <c r="R520" s="522"/>
      <c r="S520" s="522"/>
      <c r="T520" s="522"/>
      <c r="U520" s="522"/>
      <c r="V520" s="492"/>
      <c r="W520" s="522"/>
      <c r="X520" s="522"/>
      <c r="Y520" s="522"/>
      <c r="Z520" s="522"/>
      <c r="AA520" s="492"/>
      <c r="AB520" s="492"/>
      <c r="AC520" s="522"/>
      <c r="AD520" s="522"/>
      <c r="AE520" s="522"/>
      <c r="AF520" s="522"/>
      <c r="AG520" s="492"/>
      <c r="AH520" s="522"/>
      <c r="AI520" s="522"/>
      <c r="AJ520" s="522"/>
      <c r="AK520" s="522"/>
      <c r="AL520" s="492"/>
      <c r="AM520" s="522"/>
      <c r="AN520" s="522"/>
      <c r="AO520" s="522"/>
      <c r="AP520" s="522"/>
      <c r="AQ520" s="492"/>
      <c r="AR520" s="522"/>
      <c r="AS520" s="522"/>
      <c r="AT520" s="522"/>
      <c r="AU520" s="522"/>
      <c r="AV520" s="492"/>
      <c r="AW520" s="522"/>
      <c r="AX520" s="522"/>
      <c r="AY520" s="522"/>
      <c r="AZ520" s="522"/>
      <c r="BA520" s="492"/>
      <c r="BB520" s="522"/>
      <c r="BC520" s="522"/>
      <c r="BD520" s="522"/>
      <c r="BE520" s="522"/>
      <c r="BF520" s="492"/>
      <c r="BG520" s="522"/>
      <c r="BH520" s="522"/>
      <c r="BI520" s="522"/>
      <c r="BJ520" s="522"/>
      <c r="BK520" s="492"/>
      <c r="BL520" s="114">
        <v>0.04</v>
      </c>
      <c r="BM520" s="522">
        <v>0.14000000000000001</v>
      </c>
      <c r="BN520" s="522">
        <v>0.08</v>
      </c>
      <c r="BO520" s="52">
        <f>((BP520*SUM(BG518:BJ518))-BL520*BG518-BM520*BH518-BN520*BI518)/BJ518</f>
        <v>-0.43365930599369096</v>
      </c>
      <c r="BP520" s="492">
        <v>-0.05</v>
      </c>
      <c r="BQ520" s="114">
        <v>0.02</v>
      </c>
      <c r="BR520" s="522">
        <v>-0.13</v>
      </c>
      <c r="BS520" s="522">
        <v>0.05</v>
      </c>
      <c r="BT520" s="52">
        <f>((BU520*SUM(BL518:BO518))-BQ520*BL518-BR520*BM518-BS520*BN518)/BO518</f>
        <v>0.95532163742690068</v>
      </c>
      <c r="BU520" s="492">
        <v>0.13</v>
      </c>
      <c r="BV520" s="114">
        <v>-0.06</v>
      </c>
      <c r="BW520" s="522">
        <v>0.17</v>
      </c>
      <c r="BX520" s="522">
        <v>-0.14000000000000001</v>
      </c>
      <c r="BY520" s="52">
        <f>((BZ520*SUM(BQ518:BT518))-BV520*BQ518-BW520*BR518-BX520*BS518)/BT518</f>
        <v>-6.9098591549295804E-2</v>
      </c>
      <c r="BZ520" s="492">
        <v>-0.04</v>
      </c>
      <c r="CA520" s="114">
        <v>0</v>
      </c>
      <c r="CB520" s="522">
        <v>0.1</v>
      </c>
      <c r="CC520" s="522">
        <v>0.12</v>
      </c>
      <c r="CD520" s="52">
        <f>((CE520*SUM(BV518:BY518))-CA520*BV518-CB520*BW518-CC520*BX518)/BY518</f>
        <v>7.5015772870662509E-2</v>
      </c>
      <c r="CE520" s="492">
        <v>7.0000000000000007E-2</v>
      </c>
      <c r="CF520" s="114">
        <v>-0.05</v>
      </c>
      <c r="CG520" s="114">
        <v>-0.17</v>
      </c>
      <c r="CH520" s="114">
        <v>-0.22</v>
      </c>
      <c r="CI520" s="52">
        <f>((CJ520*SUM(CA518:CD518))-CF520*CA518-CG520*CB518-CH520*CC518)/CD518</f>
        <v>-0.20701219512195124</v>
      </c>
      <c r="CJ520" s="492">
        <v>-0.16</v>
      </c>
      <c r="CK520" s="114">
        <v>-0.16</v>
      </c>
      <c r="CL520" s="114">
        <v>-0.18</v>
      </c>
      <c r="CM520" s="114">
        <v>-0.17</v>
      </c>
      <c r="CN520" s="52">
        <f>((CO520*SUM(CF518:CI518))-CK520*CF518-CL520*CG518-CM520*CH518)/CI518</f>
        <v>-0.30200000000000021</v>
      </c>
      <c r="CO520" s="492">
        <v>-0.2</v>
      </c>
      <c r="CP520" s="114">
        <v>-0.31</v>
      </c>
      <c r="CQ520" s="114">
        <v>-0.34</v>
      </c>
      <c r="CR520" s="114">
        <v>-0.35</v>
      </c>
      <c r="CS520" s="52">
        <f>((CT520*SUM(CK518:CN518))-CP520*CK518-CQ520*CL518-CR520*CM518)/CN518</f>
        <v>-0.32566666666666677</v>
      </c>
      <c r="CT520" s="492">
        <v>-0.33</v>
      </c>
      <c r="CU520" s="522"/>
      <c r="CV520" s="522"/>
      <c r="CW520" s="522"/>
      <c r="CX520" s="522"/>
      <c r="CY520" s="492"/>
      <c r="CZ520" s="522"/>
      <c r="DA520" s="522"/>
      <c r="DB520" s="522"/>
      <c r="DC520" s="522"/>
      <c r="DD520" s="492"/>
      <c r="DE520" s="522"/>
      <c r="DF520" s="522"/>
      <c r="DG520" s="522"/>
      <c r="DH520" s="522"/>
      <c r="DI520" s="492"/>
    </row>
    <row r="521" spans="1:113" s="3" customFormat="1" ht="12" hidden="1" customHeight="1" outlineLevel="1">
      <c r="A521" s="490" t="str">
        <f t="shared" si="1527"/>
        <v xml:space="preserve"> </v>
      </c>
      <c r="B521" s="491" t="s">
        <v>141</v>
      </c>
      <c r="C521" s="550"/>
      <c r="D521" s="549"/>
      <c r="E521" s="550"/>
      <c r="F521" s="549"/>
      <c r="G521" s="550"/>
      <c r="H521" s="549"/>
      <c r="I521" s="550"/>
      <c r="J521" s="549"/>
      <c r="K521" s="550"/>
      <c r="L521" s="549"/>
      <c r="M521" s="550"/>
      <c r="N521" s="549"/>
      <c r="O521" s="550"/>
      <c r="P521" s="549"/>
      <c r="Q521" s="550"/>
      <c r="R521" s="549"/>
      <c r="S521" s="549"/>
      <c r="T521" s="549"/>
      <c r="U521" s="549"/>
      <c r="V521" s="550"/>
      <c r="W521" s="549"/>
      <c r="X521" s="549"/>
      <c r="Y521" s="549"/>
      <c r="Z521" s="549"/>
      <c r="AA521" s="550"/>
      <c r="AB521" s="550"/>
      <c r="AC521" s="549"/>
      <c r="AD521" s="549"/>
      <c r="AE521" s="549"/>
      <c r="AF521" s="549"/>
      <c r="AG521" s="550"/>
      <c r="AH521" s="549"/>
      <c r="AI521" s="549"/>
      <c r="AJ521" s="549"/>
      <c r="AK521" s="549"/>
      <c r="AL521" s="550"/>
      <c r="AM521" s="549"/>
      <c r="AN521" s="549"/>
      <c r="AO521" s="549"/>
      <c r="AP521" s="549"/>
      <c r="AQ521" s="550"/>
      <c r="AR521" s="549"/>
      <c r="AS521" s="549"/>
      <c r="AT521" s="549"/>
      <c r="AU521" s="549"/>
      <c r="AV521" s="550"/>
      <c r="AW521" s="549"/>
      <c r="AX521" s="549"/>
      <c r="AY521" s="549"/>
      <c r="AZ521" s="549"/>
      <c r="BA521" s="550"/>
      <c r="BB521" s="549"/>
      <c r="BC521" s="549"/>
      <c r="BD521" s="549"/>
      <c r="BE521" s="549"/>
      <c r="BF521" s="550"/>
      <c r="BG521" s="549"/>
      <c r="BH521" s="114"/>
      <c r="BI521" s="549"/>
      <c r="BJ521" s="549"/>
      <c r="BK521" s="550"/>
      <c r="BL521" s="114">
        <f t="shared" ref="BL521:BM521" si="1555">(1+BL519)/(1+BL520)-1</f>
        <v>-3.5834384195040037E-2</v>
      </c>
      <c r="BM521" s="114">
        <f t="shared" si="1555"/>
        <v>-2.0010964912280826E-2</v>
      </c>
      <c r="BN521" s="114">
        <f>(1+BN519)/(1+BN520)-1</f>
        <v>-7.9365079365080193E-3</v>
      </c>
      <c r="BO521" s="114">
        <f t="shared" ref="BO521" si="1556">(1+BO519)/(1+BO520)-1</f>
        <v>-4.7512950481813476E-2</v>
      </c>
      <c r="BP521" s="112">
        <f t="shared" ref="BP521:BZ521" si="1557">(1+BP519)/(1+BP520)-1</f>
        <v>-2.5872620605242092E-2</v>
      </c>
      <c r="BQ521" s="114">
        <f t="shared" si="1557"/>
        <v>-3.5796334882727265E-3</v>
      </c>
      <c r="BR521" s="114">
        <f t="shared" si="1557"/>
        <v>4.0913109878627063E-2</v>
      </c>
      <c r="BS521" s="114">
        <f t="shared" si="1557"/>
        <v>5.6277056277056259E-2</v>
      </c>
      <c r="BT521" s="114">
        <f t="shared" si="1557"/>
        <v>6.1729871994257612E-2</v>
      </c>
      <c r="BU521" s="112">
        <f t="shared" si="1557"/>
        <v>3.7560773607766995E-2</v>
      </c>
      <c r="BV521" s="114">
        <f t="shared" si="1557"/>
        <v>5.2421424904455005E-2</v>
      </c>
      <c r="BW521" s="114">
        <f t="shared" ref="BW521" si="1558">(1+BW519)/(1+BW520)-1</f>
        <v>-9.9000098999990627E-5</v>
      </c>
      <c r="BX521" s="114">
        <f t="shared" si="1557"/>
        <v>-3.7361799466259948E-2</v>
      </c>
      <c r="BY521" s="114">
        <f t="shared" ref="BY521" si="1559">(1+BY519)/(1+BY520)-1</f>
        <v>-4.0760129512512511E-2</v>
      </c>
      <c r="BZ521" s="112">
        <f t="shared" si="1557"/>
        <v>-5.2968711505295696E-3</v>
      </c>
      <c r="CA521" s="114">
        <f t="shared" ref="CA521:CH521" si="1560">(1+CA519)/(1+CA520)-1</f>
        <v>-6.7750677506775103E-2</v>
      </c>
      <c r="CB521" s="114">
        <f t="shared" si="1560"/>
        <v>-8.7908790879088095E-2</v>
      </c>
      <c r="CC521" s="114">
        <f t="shared" si="1560"/>
        <v>-4.8208392267798383E-2</v>
      </c>
      <c r="CD521" s="114">
        <f t="shared" si="1560"/>
        <v>-3.7502200833382182E-2</v>
      </c>
      <c r="CE521" s="112">
        <f t="shared" ref="CE521" si="1561">(1+CE519)/(1+CE520)-1</f>
        <v>-6.0357049853881573E-2</v>
      </c>
      <c r="CF521" s="114">
        <f t="shared" si="1560"/>
        <v>6.7319461444308448E-3</v>
      </c>
      <c r="CG521" s="114">
        <f t="shared" si="1560"/>
        <v>1.8547875713379902E-2</v>
      </c>
      <c r="CH521" s="114">
        <f t="shared" si="1560"/>
        <v>2.0084147019131526E-2</v>
      </c>
      <c r="CI521" s="114">
        <f t="shared" ref="CI521:CM521" si="1562">(1+CI519)/(1+CI520)-1</f>
        <v>-1.9607843137254832E-2</v>
      </c>
      <c r="CJ521" s="112">
        <f t="shared" si="1562"/>
        <v>6.2685582316066579E-3</v>
      </c>
      <c r="CK521" s="114">
        <f t="shared" si="1562"/>
        <v>-4.9211173831233967E-3</v>
      </c>
      <c r="CL521" s="114">
        <f t="shared" si="1562"/>
        <v>5.9789313846445591E-3</v>
      </c>
      <c r="CM521" s="114">
        <f t="shared" si="1562"/>
        <v>-2.48933477099057E-2</v>
      </c>
      <c r="CN521" s="114">
        <f t="shared" ref="CN521:CP521" si="1563">(1+CN519)/(1+CN520)-1</f>
        <v>1.1292769256700197E-2</v>
      </c>
      <c r="CO521" s="112">
        <f t="shared" si="1563"/>
        <v>-3.8706739526411793E-3</v>
      </c>
      <c r="CP521" s="114">
        <f t="shared" si="1563"/>
        <v>2.7667984189723382E-2</v>
      </c>
      <c r="CQ521" s="114">
        <f t="shared" ref="CQ521:CT521" si="1564">(1+CQ519)/(1+CQ520)-1</f>
        <v>2.2012578616352307E-2</v>
      </c>
      <c r="CR521" s="114">
        <f t="shared" si="1564"/>
        <v>5.0295857988165604E-2</v>
      </c>
      <c r="CS521" s="114">
        <f t="shared" si="1564"/>
        <v>2.9823694183555904E-2</v>
      </c>
      <c r="CT521" s="112">
        <f t="shared" si="1564"/>
        <v>3.1982942430703654E-2</v>
      </c>
      <c r="CU521" s="114"/>
      <c r="CV521" s="549"/>
      <c r="CW521" s="549"/>
      <c r="CX521" s="549"/>
      <c r="CY521" s="550"/>
      <c r="CZ521" s="549"/>
      <c r="DA521" s="549"/>
      <c r="DB521" s="549"/>
      <c r="DC521" s="549"/>
      <c r="DD521" s="550"/>
      <c r="DE521" s="549"/>
      <c r="DF521" s="549"/>
      <c r="DG521" s="549"/>
      <c r="DH521" s="549"/>
      <c r="DI521" s="550"/>
    </row>
    <row r="522" spans="1:113" ht="12" hidden="1" customHeight="1" outlineLevel="1">
      <c r="A522" s="219"/>
      <c r="B522" s="17"/>
      <c r="C522" s="79"/>
      <c r="D522" s="6"/>
      <c r="E522" s="79"/>
      <c r="F522" s="6"/>
      <c r="G522" s="79"/>
      <c r="H522" s="6"/>
      <c r="I522" s="79"/>
      <c r="J522" s="6"/>
      <c r="K522" s="79"/>
      <c r="L522" s="6"/>
      <c r="M522" s="79"/>
      <c r="N522" s="6"/>
      <c r="O522" s="79"/>
      <c r="P522" s="6"/>
      <c r="Q522" s="79"/>
      <c r="R522" s="6"/>
      <c r="S522" s="6"/>
      <c r="T522" s="6"/>
      <c r="U522" s="6"/>
      <c r="V522" s="79"/>
      <c r="W522" s="6"/>
      <c r="X522" s="6"/>
      <c r="Y522" s="6"/>
      <c r="Z522" s="6"/>
      <c r="AA522" s="79"/>
      <c r="AB522" s="79"/>
      <c r="AC522" s="6"/>
      <c r="AD522" s="6"/>
      <c r="AE522" s="6"/>
      <c r="AF522" s="6"/>
      <c r="AG522" s="79"/>
      <c r="AH522" s="6"/>
      <c r="AI522" s="6"/>
      <c r="AJ522" s="6"/>
      <c r="AK522" s="6"/>
      <c r="AL522" s="79"/>
      <c r="AM522" s="6"/>
      <c r="AN522" s="6"/>
      <c r="AO522" s="6"/>
      <c r="AP522" s="6"/>
      <c r="AQ522" s="79"/>
      <c r="AR522" s="6"/>
      <c r="AS522" s="6"/>
      <c r="AT522" s="6"/>
      <c r="AU522" s="6"/>
      <c r="AV522" s="79"/>
      <c r="AW522" s="6"/>
      <c r="AX522" s="6"/>
      <c r="AY522" s="6"/>
      <c r="AZ522" s="6"/>
      <c r="BA522" s="79"/>
      <c r="BB522" s="6"/>
      <c r="BC522" s="6"/>
      <c r="BD522" s="6"/>
      <c r="BE522" s="6"/>
      <c r="BF522" s="79"/>
      <c r="BG522" s="6"/>
      <c r="BH522" s="6"/>
      <c r="BI522" s="6"/>
      <c r="BJ522" s="6"/>
      <c r="BK522" s="79"/>
      <c r="BL522" s="114"/>
      <c r="BM522" s="376"/>
      <c r="BN522" s="376"/>
      <c r="BO522" s="376"/>
      <c r="BP522" s="79"/>
      <c r="BQ522" s="6"/>
      <c r="BR522" s="6"/>
      <c r="BS522" s="6"/>
      <c r="BT522" s="376"/>
      <c r="BU522" s="79"/>
      <c r="BV522" s="6"/>
      <c r="BW522" s="6"/>
      <c r="BX522" s="6"/>
      <c r="BY522" s="376"/>
      <c r="BZ522" s="79"/>
      <c r="CA522" s="6"/>
      <c r="CB522" s="6"/>
      <c r="CC522" s="6"/>
      <c r="CD522" s="376"/>
      <c r="CE522" s="79"/>
      <c r="CF522" s="6"/>
      <c r="CG522" s="6"/>
      <c r="CH522" s="6"/>
      <c r="CI522" s="376"/>
      <c r="CJ522" s="79"/>
      <c r="CK522" s="6"/>
      <c r="CL522" s="6"/>
      <c r="CM522" s="6"/>
      <c r="CN522" s="376"/>
      <c r="CO522" s="79"/>
      <c r="CP522" s="6"/>
      <c r="CQ522" s="6"/>
      <c r="CR522" s="6"/>
      <c r="CS522" s="376"/>
      <c r="CT522" s="79"/>
      <c r="CU522" s="6"/>
      <c r="CV522" s="6"/>
      <c r="CW522" s="6"/>
      <c r="CX522" s="6"/>
      <c r="CY522" s="79"/>
      <c r="CZ522" s="6"/>
      <c r="DA522" s="6"/>
      <c r="DB522" s="6"/>
      <c r="DC522" s="6"/>
      <c r="DD522" s="79"/>
      <c r="DE522" s="6"/>
      <c r="DF522" s="6"/>
      <c r="DG522" s="6"/>
      <c r="DH522" s="6"/>
      <c r="DI522" s="79"/>
    </row>
    <row r="523" spans="1:113" s="8" customFormat="1" ht="12" hidden="1" customHeight="1" outlineLevel="1">
      <c r="A523" s="617" t="str">
        <f t="shared" si="1527"/>
        <v xml:space="preserve"> </v>
      </c>
      <c r="B523" s="365" t="s">
        <v>177</v>
      </c>
      <c r="C523" s="618"/>
      <c r="D523" s="619"/>
      <c r="E523" s="618"/>
      <c r="F523" s="619"/>
      <c r="G523" s="618"/>
      <c r="H523" s="619"/>
      <c r="I523" s="618"/>
      <c r="J523" s="619"/>
      <c r="K523" s="618"/>
      <c r="L523" s="619"/>
      <c r="M523" s="618"/>
      <c r="N523" s="619"/>
      <c r="O523" s="618"/>
      <c r="P523" s="619"/>
      <c r="Q523" s="618"/>
      <c r="R523" s="619"/>
      <c r="S523" s="619"/>
      <c r="T523" s="619"/>
      <c r="U523" s="619"/>
      <c r="V523" s="618"/>
      <c r="W523" s="619"/>
      <c r="X523" s="619"/>
      <c r="Y523" s="619"/>
      <c r="Z523" s="619"/>
      <c r="AA523" s="618"/>
      <c r="AB523" s="618"/>
      <c r="AC523" s="619"/>
      <c r="AD523" s="619"/>
      <c r="AE523" s="619"/>
      <c r="AF523" s="619"/>
      <c r="AG523" s="618"/>
      <c r="AH523" s="619"/>
      <c r="AI523" s="619"/>
      <c r="AJ523" s="619"/>
      <c r="AK523" s="619"/>
      <c r="AL523" s="618"/>
      <c r="AM523" s="619"/>
      <c r="AN523" s="619"/>
      <c r="AO523" s="619"/>
      <c r="AP523" s="619"/>
      <c r="AQ523" s="618"/>
      <c r="AR523" s="619"/>
      <c r="AS523" s="619"/>
      <c r="AT523" s="619"/>
      <c r="AU523" s="619"/>
      <c r="AV523" s="618"/>
      <c r="AW523" s="619"/>
      <c r="AX523" s="619"/>
      <c r="AY523" s="619"/>
      <c r="AZ523" s="619"/>
      <c r="BA523" s="618"/>
      <c r="BB523" s="619"/>
      <c r="BC523" s="619"/>
      <c r="BD523" s="619"/>
      <c r="BE523" s="619"/>
      <c r="BF523" s="618"/>
      <c r="BG523" s="619">
        <v>133</v>
      </c>
      <c r="BH523" s="619">
        <v>141</v>
      </c>
      <c r="BI523" s="619">
        <v>129</v>
      </c>
      <c r="BJ523" s="619">
        <f>BK523-BI523-BH523-BG523</f>
        <v>150</v>
      </c>
      <c r="BK523" s="618">
        <v>553</v>
      </c>
      <c r="BL523" s="619">
        <v>164</v>
      </c>
      <c r="BM523" s="619">
        <v>166</v>
      </c>
      <c r="BN523" s="619">
        <v>150</v>
      </c>
      <c r="BO523" s="619">
        <f>BP523-BN523-BM523-BL523</f>
        <v>122</v>
      </c>
      <c r="BP523" s="618">
        <v>602</v>
      </c>
      <c r="BQ523" s="619">
        <v>171</v>
      </c>
      <c r="BR523" s="619">
        <v>196</v>
      </c>
      <c r="BS523" s="619">
        <v>181</v>
      </c>
      <c r="BT523" s="619">
        <f>BU523-BS523-BR523-BQ523</f>
        <v>218</v>
      </c>
      <c r="BU523" s="618">
        <v>766</v>
      </c>
      <c r="BV523" s="619">
        <v>231</v>
      </c>
      <c r="BW523" s="619">
        <v>221</v>
      </c>
      <c r="BX523" s="619">
        <v>236</v>
      </c>
      <c r="BY523" s="619">
        <f>BZ523-BX523-BW523-BV523</f>
        <v>243</v>
      </c>
      <c r="BZ523" s="618">
        <v>931</v>
      </c>
      <c r="CA523" s="619">
        <v>261</v>
      </c>
      <c r="CB523" s="619">
        <v>240</v>
      </c>
      <c r="CC523" s="619">
        <v>252</v>
      </c>
      <c r="CD523" s="619">
        <f>CE523-CC523-CB523-CA523</f>
        <v>221</v>
      </c>
      <c r="CE523" s="618">
        <v>974</v>
      </c>
      <c r="CF523" s="619">
        <v>224</v>
      </c>
      <c r="CG523" s="619">
        <v>222</v>
      </c>
      <c r="CH523" s="619">
        <v>203</v>
      </c>
      <c r="CI523" s="619">
        <f>CJ523-CH523-CG523-CF523</f>
        <v>183</v>
      </c>
      <c r="CJ523" s="618">
        <v>832</v>
      </c>
      <c r="CK523" s="619">
        <v>190</v>
      </c>
      <c r="CL523" s="619">
        <v>184</v>
      </c>
      <c r="CM523" s="619">
        <v>170</v>
      </c>
      <c r="CN523" s="619">
        <f>CO523-CM523-CL523-CK523</f>
        <v>150</v>
      </c>
      <c r="CO523" s="618">
        <v>694</v>
      </c>
      <c r="CP523" s="619">
        <v>145</v>
      </c>
      <c r="CQ523" s="619">
        <v>132</v>
      </c>
      <c r="CR523" s="619">
        <v>105</v>
      </c>
      <c r="CS523" s="619">
        <f>CT523-CR523-CQ523-CP523</f>
        <v>95</v>
      </c>
      <c r="CT523" s="618">
        <v>477</v>
      </c>
      <c r="CU523" s="619"/>
      <c r="CV523" s="619"/>
      <c r="CW523" s="619"/>
      <c r="CX523" s="619"/>
      <c r="CY523" s="618"/>
      <c r="CZ523" s="619"/>
      <c r="DA523" s="619"/>
      <c r="DB523" s="619"/>
      <c r="DC523" s="619"/>
      <c r="DD523" s="618"/>
      <c r="DE523" s="619"/>
      <c r="DF523" s="619"/>
      <c r="DG523" s="619"/>
      <c r="DH523" s="619"/>
      <c r="DI523" s="618"/>
    </row>
    <row r="524" spans="1:113" s="3" customFormat="1" ht="12" hidden="1" customHeight="1" outlineLevel="1">
      <c r="A524" s="490" t="str">
        <f t="shared" si="1527"/>
        <v xml:space="preserve"> </v>
      </c>
      <c r="B524" s="491" t="s">
        <v>171</v>
      </c>
      <c r="C524" s="550"/>
      <c r="D524" s="549"/>
      <c r="E524" s="550"/>
      <c r="F524" s="549"/>
      <c r="G524" s="550"/>
      <c r="H524" s="549"/>
      <c r="I524" s="550"/>
      <c r="J524" s="549"/>
      <c r="K524" s="550"/>
      <c r="L524" s="549"/>
      <c r="M524" s="550"/>
      <c r="N524" s="549"/>
      <c r="O524" s="550"/>
      <c r="P524" s="549"/>
      <c r="Q524" s="550"/>
      <c r="R524" s="549"/>
      <c r="S524" s="549"/>
      <c r="T524" s="549"/>
      <c r="U524" s="549"/>
      <c r="V524" s="550"/>
      <c r="W524" s="549"/>
      <c r="X524" s="549"/>
      <c r="Y524" s="549"/>
      <c r="Z524" s="549"/>
      <c r="AA524" s="550"/>
      <c r="AB524" s="550"/>
      <c r="AC524" s="549"/>
      <c r="AD524" s="549"/>
      <c r="AE524" s="549"/>
      <c r="AF524" s="549"/>
      <c r="AG524" s="550"/>
      <c r="AH524" s="549"/>
      <c r="AI524" s="549"/>
      <c r="AJ524" s="549"/>
      <c r="AK524" s="549"/>
      <c r="AL524" s="550"/>
      <c r="AM524" s="549"/>
      <c r="AN524" s="549"/>
      <c r="AO524" s="549"/>
      <c r="AP524" s="549"/>
      <c r="AQ524" s="550"/>
      <c r="AR524" s="549"/>
      <c r="AS524" s="549"/>
      <c r="AT524" s="549"/>
      <c r="AU524" s="549"/>
      <c r="AV524" s="550"/>
      <c r="AW524" s="549"/>
      <c r="AX524" s="549"/>
      <c r="AY524" s="549"/>
      <c r="AZ524" s="549"/>
      <c r="BA524" s="550"/>
      <c r="BB524" s="549"/>
      <c r="BC524" s="549"/>
      <c r="BD524" s="549"/>
      <c r="BE524" s="549"/>
      <c r="BF524" s="550"/>
      <c r="BG524" s="549"/>
      <c r="BH524" s="52"/>
      <c r="BI524" s="549"/>
      <c r="BJ524" s="549"/>
      <c r="BK524" s="550"/>
      <c r="BL524" s="52">
        <f>BL523/BG523-1</f>
        <v>0.23308270676691722</v>
      </c>
      <c r="BM524" s="52">
        <f>BM523/BH523-1</f>
        <v>0.17730496453900702</v>
      </c>
      <c r="BN524" s="52">
        <f t="shared" ref="BN524" si="1565">+BN523/BI523-1</f>
        <v>0.16279069767441867</v>
      </c>
      <c r="BO524" s="52">
        <f t="shared" ref="BO524" si="1566">+BO523/BJ523-1</f>
        <v>-0.18666666666666665</v>
      </c>
      <c r="BP524" s="112">
        <f t="shared" ref="BP524" si="1567">+BP523/BK523-1</f>
        <v>8.8607594936708889E-2</v>
      </c>
      <c r="BQ524" s="52">
        <f>BQ523/BL523-1</f>
        <v>4.2682926829268331E-2</v>
      </c>
      <c r="BR524" s="52">
        <f>BR523/BM523-1</f>
        <v>0.18072289156626509</v>
      </c>
      <c r="BS524" s="52">
        <f>BS523/BN523-1</f>
        <v>0.20666666666666678</v>
      </c>
      <c r="BT524" s="52">
        <f t="shared" ref="BT524:BU524" si="1568">+BT523/BO523-1</f>
        <v>0.78688524590163933</v>
      </c>
      <c r="BU524" s="112">
        <f t="shared" si="1568"/>
        <v>0.27242524916943522</v>
      </c>
      <c r="BV524" s="52">
        <f>BV523/BQ523-1</f>
        <v>0.35087719298245612</v>
      </c>
      <c r="BW524" s="52">
        <f>BW523/BR523-1</f>
        <v>0.12755102040816335</v>
      </c>
      <c r="BX524" s="52">
        <f>BX523/BS523-1</f>
        <v>0.30386740331491713</v>
      </c>
      <c r="BY524" s="52">
        <f t="shared" ref="BY524:BZ524" si="1569">+BY523/BT523-1</f>
        <v>0.1146788990825689</v>
      </c>
      <c r="BZ524" s="112">
        <f t="shared" si="1569"/>
        <v>0.21540469973890342</v>
      </c>
      <c r="CA524" s="52">
        <f>CA523/BV523-1</f>
        <v>0.12987012987012991</v>
      </c>
      <c r="CB524" s="52">
        <f>CB523/BW523-1</f>
        <v>8.5972850678732948E-2</v>
      </c>
      <c r="CC524" s="52">
        <f>CC523/BX523-1</f>
        <v>6.7796610169491567E-2</v>
      </c>
      <c r="CD524" s="52">
        <f t="shared" ref="CD524" si="1570">+CD523/BY523-1</f>
        <v>-9.0534979423868345E-2</v>
      </c>
      <c r="CE524" s="112">
        <f t="shared" ref="CE524" si="1571">+CE523/BZ523-1</f>
        <v>4.6186895810955919E-2</v>
      </c>
      <c r="CF524" s="52">
        <f>CF523/CA523-1</f>
        <v>-0.14176245210727967</v>
      </c>
      <c r="CG524" s="52">
        <f>CG523/CB523-1</f>
        <v>-7.4999999999999956E-2</v>
      </c>
      <c r="CH524" s="52">
        <f>CH523/CC523-1</f>
        <v>-0.19444444444444442</v>
      </c>
      <c r="CI524" s="52">
        <f t="shared" ref="CI524" si="1572">+CI523/CD523-1</f>
        <v>-0.17194570135746612</v>
      </c>
      <c r="CJ524" s="112">
        <f t="shared" ref="CJ524" si="1573">+CJ523/CE523-1</f>
        <v>-0.14579055441478439</v>
      </c>
      <c r="CK524" s="52">
        <f>CK523/CF523-1</f>
        <v>-0.1517857142857143</v>
      </c>
      <c r="CL524" s="52">
        <f>CL523/CG523-1</f>
        <v>-0.1711711711711712</v>
      </c>
      <c r="CM524" s="52">
        <f>CM523/CH523-1</f>
        <v>-0.16256157635467983</v>
      </c>
      <c r="CN524" s="52">
        <f t="shared" ref="CN524:CO524" si="1574">+CN523/CI523-1</f>
        <v>-0.18032786885245899</v>
      </c>
      <c r="CO524" s="112">
        <f t="shared" si="1574"/>
        <v>-0.16586538461538458</v>
      </c>
      <c r="CP524" s="52">
        <f>CP523/CK523-1</f>
        <v>-0.23684210526315785</v>
      </c>
      <c r="CQ524" s="52">
        <f>CQ523/CL523-1</f>
        <v>-0.28260869565217395</v>
      </c>
      <c r="CR524" s="52">
        <f>CR523/CM523-1</f>
        <v>-0.38235294117647056</v>
      </c>
      <c r="CS524" s="52">
        <f t="shared" ref="CS524:CT524" si="1575">+CS523/CN523-1</f>
        <v>-0.3666666666666667</v>
      </c>
      <c r="CT524" s="112">
        <f t="shared" si="1575"/>
        <v>-0.31268011527377526</v>
      </c>
      <c r="CU524" s="52"/>
      <c r="CV524" s="549"/>
      <c r="CW524" s="549"/>
      <c r="CX524" s="549"/>
      <c r="CY524" s="550"/>
      <c r="CZ524" s="549"/>
      <c r="DA524" s="549"/>
      <c r="DB524" s="549"/>
      <c r="DC524" s="549"/>
      <c r="DD524" s="550"/>
      <c r="DE524" s="549"/>
      <c r="DF524" s="549"/>
      <c r="DG524" s="549"/>
      <c r="DH524" s="549"/>
      <c r="DI524" s="550"/>
    </row>
    <row r="525" spans="1:113" s="530" customFormat="1" ht="12" hidden="1" customHeight="1" outlineLevel="1">
      <c r="A525" s="552" t="str">
        <f t="shared" si="1527"/>
        <v xml:space="preserve"> </v>
      </c>
      <c r="B525" s="553" t="s">
        <v>173</v>
      </c>
      <c r="C525" s="492"/>
      <c r="D525" s="522"/>
      <c r="E525" s="492"/>
      <c r="F525" s="522"/>
      <c r="G525" s="492"/>
      <c r="H525" s="522"/>
      <c r="I525" s="492"/>
      <c r="J525" s="522"/>
      <c r="K525" s="492"/>
      <c r="L525" s="522"/>
      <c r="M525" s="492"/>
      <c r="N525" s="522"/>
      <c r="O525" s="492"/>
      <c r="P525" s="522"/>
      <c r="Q525" s="492"/>
      <c r="R525" s="522"/>
      <c r="S525" s="522"/>
      <c r="T525" s="522"/>
      <c r="U525" s="522"/>
      <c r="V525" s="492"/>
      <c r="W525" s="522"/>
      <c r="X525" s="522"/>
      <c r="Y525" s="522"/>
      <c r="Z525" s="522"/>
      <c r="AA525" s="492"/>
      <c r="AB525" s="492"/>
      <c r="AC525" s="522"/>
      <c r="AD525" s="522"/>
      <c r="AE525" s="522"/>
      <c r="AF525" s="522"/>
      <c r="AG525" s="492"/>
      <c r="AH525" s="522"/>
      <c r="AI525" s="522"/>
      <c r="AJ525" s="522"/>
      <c r="AK525" s="522"/>
      <c r="AL525" s="492"/>
      <c r="AM525" s="522"/>
      <c r="AN525" s="522"/>
      <c r="AO525" s="522"/>
      <c r="AP525" s="522"/>
      <c r="AQ525" s="492"/>
      <c r="AR525" s="522"/>
      <c r="AS525" s="522"/>
      <c r="AT525" s="522"/>
      <c r="AU525" s="522"/>
      <c r="AV525" s="492"/>
      <c r="AW525" s="522"/>
      <c r="AX525" s="522"/>
      <c r="AY525" s="522"/>
      <c r="AZ525" s="522"/>
      <c r="BA525" s="492"/>
      <c r="BB525" s="522"/>
      <c r="BC525" s="522"/>
      <c r="BD525" s="522"/>
      <c r="BE525" s="522"/>
      <c r="BF525" s="492"/>
      <c r="BG525" s="522"/>
      <c r="BH525" s="522"/>
      <c r="BI525" s="522"/>
      <c r="BJ525" s="522"/>
      <c r="BK525" s="492"/>
      <c r="BL525" s="114">
        <v>0.26</v>
      </c>
      <c r="BM525" s="522">
        <v>0.2</v>
      </c>
      <c r="BN525" s="522">
        <v>0.18</v>
      </c>
      <c r="BO525" s="52">
        <f>((BP525*SUM(BG523:BJ523))-BL525*BG523-BM525*BH523-BN525*BI523)/BJ523</f>
        <v>-0.1678</v>
      </c>
      <c r="BP525" s="492">
        <v>0.11</v>
      </c>
      <c r="BQ525" s="114">
        <v>0.05</v>
      </c>
      <c r="BR525" s="522">
        <v>0.15</v>
      </c>
      <c r="BS525" s="522">
        <v>0.16</v>
      </c>
      <c r="BT525" s="52">
        <f>((BU525*SUM(BL523:BO523))-BQ525*BL523-BR525*BM523-BS525*BN523)/BO523</f>
        <v>0.71622950819672127</v>
      </c>
      <c r="BU525" s="492">
        <v>0.24</v>
      </c>
      <c r="BV525" s="114">
        <v>0.32</v>
      </c>
      <c r="BW525" s="522">
        <v>0.12</v>
      </c>
      <c r="BX525" s="522">
        <v>0.32</v>
      </c>
      <c r="BY525" s="52">
        <f>((BZ525*SUM(BQ523:BT523))-BV525*BQ523-BW525*BR523-BX525*BS523)/BT523</f>
        <v>0.14844036697247712</v>
      </c>
      <c r="BZ525" s="492">
        <v>0.22</v>
      </c>
      <c r="CA525" s="114">
        <v>0.17</v>
      </c>
      <c r="CB525" s="522">
        <v>0.14000000000000001</v>
      </c>
      <c r="CC525" s="522">
        <v>0.1</v>
      </c>
      <c r="CD525" s="52">
        <f>((CE525*SUM(BV523:BY523))-CA525*BV523-CB525*BW523-CC525*BX523)/BY523</f>
        <v>-7.9547325102880664E-2</v>
      </c>
      <c r="CE525" s="492">
        <v>0.08</v>
      </c>
      <c r="CF525" s="114">
        <v>-0.14000000000000001</v>
      </c>
      <c r="CG525" s="114">
        <v>-0.09</v>
      </c>
      <c r="CH525" s="114">
        <v>-0.2</v>
      </c>
      <c r="CI525" s="52">
        <f>((CJ525*SUM(CA523:CD523))-CF525*CA523-CG525*CB523-CH525*CC523)/CD523</f>
        <v>-0.1258823529411765</v>
      </c>
      <c r="CJ525" s="492">
        <v>-0.14000000000000001</v>
      </c>
      <c r="CK525" s="114">
        <v>-0.15</v>
      </c>
      <c r="CL525" s="114">
        <v>-0.18</v>
      </c>
      <c r="CM525" s="114">
        <v>-0.15</v>
      </c>
      <c r="CN525" s="52">
        <f>((CO525*SUM(CF523:CI523))-CK525*CF523-CL525*CG523-CM525*CH523)/CI523</f>
        <v>-0.20453551912568302</v>
      </c>
      <c r="CO525" s="492">
        <v>-0.17</v>
      </c>
      <c r="CP525" s="114">
        <v>-0.25</v>
      </c>
      <c r="CQ525" s="114">
        <v>-0.28999999999999998</v>
      </c>
      <c r="CR525" s="114">
        <v>-0.41</v>
      </c>
      <c r="CS525" s="52">
        <f>((CT525*SUM(CK523:CN523))-CP525*CK523-CQ525*CL523-CR525*CM523)/CN523</f>
        <v>-0.38973333333333349</v>
      </c>
      <c r="CT525" s="492">
        <v>-0.33</v>
      </c>
      <c r="CU525" s="522"/>
      <c r="CV525" s="522"/>
      <c r="CW525" s="522"/>
      <c r="CX525" s="522"/>
      <c r="CY525" s="492"/>
      <c r="CZ525" s="522"/>
      <c r="DA525" s="522"/>
      <c r="DB525" s="522"/>
      <c r="DC525" s="522"/>
      <c r="DD525" s="492"/>
      <c r="DE525" s="522"/>
      <c r="DF525" s="522"/>
      <c r="DG525" s="522"/>
      <c r="DH525" s="522"/>
      <c r="DI525" s="492"/>
    </row>
    <row r="526" spans="1:113" s="3" customFormat="1" ht="12" hidden="1" customHeight="1" outlineLevel="1">
      <c r="A526" s="490" t="str">
        <f t="shared" si="1527"/>
        <v xml:space="preserve"> </v>
      </c>
      <c r="B526" s="491" t="s">
        <v>141</v>
      </c>
      <c r="C526" s="550"/>
      <c r="D526" s="549"/>
      <c r="E526" s="550"/>
      <c r="F526" s="549"/>
      <c r="G526" s="550"/>
      <c r="H526" s="549"/>
      <c r="I526" s="550"/>
      <c r="J526" s="549"/>
      <c r="K526" s="550"/>
      <c r="L526" s="549"/>
      <c r="M526" s="550"/>
      <c r="N526" s="549"/>
      <c r="O526" s="550"/>
      <c r="P526" s="549"/>
      <c r="Q526" s="550"/>
      <c r="R526" s="549"/>
      <c r="S526" s="549"/>
      <c r="T526" s="549"/>
      <c r="U526" s="549"/>
      <c r="V526" s="550"/>
      <c r="W526" s="549"/>
      <c r="X526" s="549"/>
      <c r="Y526" s="549"/>
      <c r="Z526" s="549"/>
      <c r="AA526" s="550"/>
      <c r="AB526" s="550"/>
      <c r="AC526" s="549"/>
      <c r="AD526" s="549"/>
      <c r="AE526" s="549"/>
      <c r="AF526" s="549"/>
      <c r="AG526" s="550"/>
      <c r="AH526" s="549"/>
      <c r="AI526" s="549"/>
      <c r="AJ526" s="549"/>
      <c r="AK526" s="549"/>
      <c r="AL526" s="550"/>
      <c r="AM526" s="549"/>
      <c r="AN526" s="549"/>
      <c r="AO526" s="549"/>
      <c r="AP526" s="549"/>
      <c r="AQ526" s="550"/>
      <c r="AR526" s="549"/>
      <c r="AS526" s="549"/>
      <c r="AT526" s="549"/>
      <c r="AU526" s="549"/>
      <c r="AV526" s="550"/>
      <c r="AW526" s="549"/>
      <c r="AX526" s="549"/>
      <c r="AY526" s="549"/>
      <c r="AZ526" s="549"/>
      <c r="BA526" s="550"/>
      <c r="BB526" s="549"/>
      <c r="BC526" s="549"/>
      <c r="BD526" s="549"/>
      <c r="BE526" s="549"/>
      <c r="BF526" s="550"/>
      <c r="BG526" s="549"/>
      <c r="BH526" s="114"/>
      <c r="BI526" s="549"/>
      <c r="BJ526" s="549"/>
      <c r="BK526" s="550"/>
      <c r="BL526" s="114">
        <f t="shared" ref="BL526:BM526" si="1576">(1+BL524)/(1+BL525)-1</f>
        <v>-2.1362931137367314E-2</v>
      </c>
      <c r="BM526" s="114">
        <f t="shared" si="1576"/>
        <v>-1.891252955082745E-2</v>
      </c>
      <c r="BN526" s="114">
        <f>(1+BN524)/(1+BN525)-1</f>
        <v>-1.4584154513204495E-2</v>
      </c>
      <c r="BO526" s="114">
        <f t="shared" ref="BO526" si="1577">(1+BO524)/(1+BO525)-1</f>
        <v>-2.2670832331971535E-2</v>
      </c>
      <c r="BP526" s="112">
        <f t="shared" ref="BP526:BZ526" si="1578">(1+BP524)/(1+BP525)-1</f>
        <v>-1.9272436993956088E-2</v>
      </c>
      <c r="BQ526" s="114">
        <f t="shared" si="1578"/>
        <v>-6.9686411149826322E-3</v>
      </c>
      <c r="BR526" s="114">
        <f t="shared" si="1578"/>
        <v>2.6715557883708829E-2</v>
      </c>
      <c r="BS526" s="114">
        <f t="shared" si="1578"/>
        <v>4.0229885057471382E-2</v>
      </c>
      <c r="BT526" s="114">
        <f t="shared" si="1578"/>
        <v>4.1169166109465971E-2</v>
      </c>
      <c r="BU526" s="112">
        <f t="shared" si="1578"/>
        <v>2.6149394491480127E-2</v>
      </c>
      <c r="BV526" s="114">
        <f t="shared" si="1578"/>
        <v>2.3391812865497075E-2</v>
      </c>
      <c r="BW526" s="114">
        <f t="shared" ref="BW526" si="1579">(1+BW524)/(1+BW525)-1</f>
        <v>6.7419825072885242E-3</v>
      </c>
      <c r="BX526" s="114">
        <f t="shared" si="1578"/>
        <v>-1.2221664155365852E-2</v>
      </c>
      <c r="BY526" s="114">
        <f t="shared" ref="BY526" si="1580">(1+BY524)/(1+BY525)-1</f>
        <v>-2.9397667359003066E-2</v>
      </c>
      <c r="BZ526" s="112">
        <f t="shared" si="1578"/>
        <v>-3.7666395582758305E-3</v>
      </c>
      <c r="CA526" s="114">
        <f t="shared" ref="CA526:CH526" si="1581">(1+CA524)/(1+CA525)-1</f>
        <v>-3.4299034299034248E-2</v>
      </c>
      <c r="CB526" s="114">
        <f t="shared" si="1581"/>
        <v>-4.7392236246725616E-2</v>
      </c>
      <c r="CC526" s="114">
        <f t="shared" si="1581"/>
        <v>-2.9275808936825909E-2</v>
      </c>
      <c r="CD526" s="114">
        <f t="shared" si="1581"/>
        <v>-1.1937228953368795E-2</v>
      </c>
      <c r="CE526" s="112">
        <f t="shared" ref="CE526" si="1582">(1+CE524)/(1+CE525)-1</f>
        <v>-3.1308429804670523E-2</v>
      </c>
      <c r="CF526" s="114">
        <f t="shared" si="1581"/>
        <v>-2.0493629154414439E-3</v>
      </c>
      <c r="CG526" s="114">
        <f t="shared" si="1581"/>
        <v>1.6483516483516425E-2</v>
      </c>
      <c r="CH526" s="114">
        <f t="shared" si="1581"/>
        <v>6.9444444444444198E-3</v>
      </c>
      <c r="CI526" s="114">
        <f t="shared" ref="CI526:CM526" si="1583">(1+CI524)/(1+CI525)-1</f>
        <v>-5.2696966559685254E-2</v>
      </c>
      <c r="CJ526" s="112">
        <f t="shared" si="1583"/>
        <v>-6.7332028078888051E-3</v>
      </c>
      <c r="CK526" s="114">
        <f t="shared" si="1583"/>
        <v>-2.1008403361344463E-3</v>
      </c>
      <c r="CL526" s="114">
        <f t="shared" si="1583"/>
        <v>1.0766864425400868E-2</v>
      </c>
      <c r="CM526" s="114">
        <f t="shared" si="1583"/>
        <v>-1.4778325123152691E-2</v>
      </c>
      <c r="CN526" s="114">
        <f t="shared" ref="CN526:CP526" si="1584">(1+CN524)/(1+CN525)-1</f>
        <v>3.0432094524970754E-2</v>
      </c>
      <c r="CO526" s="112">
        <f t="shared" si="1584"/>
        <v>4.9814643188137442E-3</v>
      </c>
      <c r="CP526" s="114">
        <f t="shared" si="1584"/>
        <v>1.7543859649122862E-2</v>
      </c>
      <c r="CQ526" s="114">
        <f t="shared" ref="CQ526:CT526" si="1585">(1+CQ524)/(1+CQ525)-1</f>
        <v>1.0410287813839458E-2</v>
      </c>
      <c r="CR526" s="114">
        <f t="shared" si="1585"/>
        <v>4.6859421734795514E-2</v>
      </c>
      <c r="CS526" s="114">
        <f t="shared" si="1585"/>
        <v>3.7797684072536919E-2</v>
      </c>
      <c r="CT526" s="112">
        <f t="shared" si="1585"/>
        <v>2.5850574218245992E-2</v>
      </c>
      <c r="CU526" s="114"/>
      <c r="CV526" s="549"/>
      <c r="CW526" s="549"/>
      <c r="CX526" s="549"/>
      <c r="CY526" s="550"/>
      <c r="CZ526" s="549"/>
      <c r="DA526" s="549"/>
      <c r="DB526" s="549"/>
      <c r="DC526" s="549"/>
      <c r="DD526" s="550"/>
      <c r="DE526" s="549"/>
      <c r="DF526" s="549"/>
      <c r="DG526" s="549"/>
      <c r="DH526" s="549"/>
      <c r="DI526" s="550"/>
    </row>
    <row r="527" spans="1:113" ht="12" hidden="1" customHeight="1" outlineLevel="1">
      <c r="A527" s="219"/>
      <c r="B527" s="491"/>
      <c r="C527" s="79"/>
      <c r="D527" s="6"/>
      <c r="E527" s="79"/>
      <c r="F527" s="6"/>
      <c r="G527" s="79"/>
      <c r="H527" s="6"/>
      <c r="I527" s="79"/>
      <c r="J527" s="6"/>
      <c r="K527" s="79"/>
      <c r="L527" s="6"/>
      <c r="M527" s="79"/>
      <c r="N527" s="6"/>
      <c r="O527" s="79"/>
      <c r="P527" s="6"/>
      <c r="Q527" s="79"/>
      <c r="R527" s="6"/>
      <c r="S527" s="6"/>
      <c r="T527" s="6"/>
      <c r="U527" s="6"/>
      <c r="V527" s="79"/>
      <c r="W527" s="6"/>
      <c r="X527" s="6"/>
      <c r="Y527" s="6"/>
      <c r="Z527" s="6"/>
      <c r="AA527" s="79"/>
      <c r="AB527" s="79"/>
      <c r="AC527" s="6"/>
      <c r="AD527" s="6"/>
      <c r="AE527" s="6"/>
      <c r="AF527" s="6"/>
      <c r="AG527" s="79"/>
      <c r="AH527" s="6"/>
      <c r="AI527" s="6"/>
      <c r="AJ527" s="6"/>
      <c r="AK527" s="6"/>
      <c r="AL527" s="79"/>
      <c r="AM527" s="6"/>
      <c r="AN527" s="6"/>
      <c r="AO527" s="6"/>
      <c r="AP527" s="6"/>
      <c r="AQ527" s="79"/>
      <c r="AR527" s="6"/>
      <c r="AS527" s="6"/>
      <c r="AT527" s="6"/>
      <c r="AU527" s="6"/>
      <c r="AV527" s="79"/>
      <c r="AW527" s="6"/>
      <c r="AX527" s="6"/>
      <c r="AY527" s="6"/>
      <c r="AZ527" s="6"/>
      <c r="BA527" s="79"/>
      <c r="BB527" s="6"/>
      <c r="BC527" s="6"/>
      <c r="BD527" s="6"/>
      <c r="BE527" s="6"/>
      <c r="BF527" s="79"/>
      <c r="BG527" s="6"/>
      <c r="BH527" s="6"/>
      <c r="BI527" s="6"/>
      <c r="BJ527" s="6"/>
      <c r="BK527" s="79"/>
      <c r="BL527" s="114"/>
      <c r="BM527" s="6"/>
      <c r="BN527" s="6"/>
      <c r="BO527" s="6"/>
      <c r="BP527" s="79"/>
      <c r="BQ527" s="6"/>
      <c r="BR527" s="6"/>
      <c r="BS527" s="6"/>
      <c r="BT527" s="6"/>
      <c r="BU527" s="79"/>
      <c r="BV527" s="6"/>
      <c r="BW527" s="6"/>
      <c r="BX527" s="6"/>
      <c r="BY527" s="6"/>
      <c r="BZ527" s="79"/>
      <c r="CA527" s="6"/>
      <c r="CB527" s="6"/>
      <c r="CC527" s="6"/>
      <c r="CD527" s="6"/>
      <c r="CE527" s="79"/>
      <c r="CF527" s="6"/>
      <c r="CG527" s="6"/>
      <c r="CH527" s="6"/>
      <c r="CI527" s="6"/>
      <c r="CJ527" s="79"/>
      <c r="CK527" s="6"/>
      <c r="CL527" s="6"/>
      <c r="CM527" s="6"/>
      <c r="CN527" s="6"/>
      <c r="CO527" s="79"/>
      <c r="CP527" s="6"/>
      <c r="CQ527" s="6"/>
      <c r="CR527" s="6"/>
      <c r="CS527" s="6"/>
      <c r="CT527" s="79"/>
      <c r="CU527" s="6"/>
      <c r="CV527" s="6"/>
      <c r="CW527" s="6"/>
      <c r="CX527" s="6"/>
      <c r="CY527" s="79"/>
      <c r="CZ527" s="6"/>
      <c r="DA527" s="6"/>
      <c r="DB527" s="6"/>
      <c r="DC527" s="6"/>
      <c r="DD527" s="79"/>
      <c r="DE527" s="6"/>
      <c r="DF527" s="6"/>
      <c r="DG527" s="6"/>
      <c r="DH527" s="6"/>
      <c r="DI527" s="79"/>
    </row>
    <row r="528" spans="1:113" s="8" customFormat="1" ht="12" hidden="1" customHeight="1" outlineLevel="1">
      <c r="A528" s="617" t="str">
        <f t="shared" si="1527"/>
        <v xml:space="preserve"> </v>
      </c>
      <c r="B528" s="365" t="s">
        <v>320</v>
      </c>
      <c r="C528" s="618"/>
      <c r="D528" s="619"/>
      <c r="E528" s="618"/>
      <c r="F528" s="619"/>
      <c r="G528" s="618"/>
      <c r="H528" s="619"/>
      <c r="I528" s="618"/>
      <c r="J528" s="619"/>
      <c r="K528" s="618"/>
      <c r="L528" s="619"/>
      <c r="M528" s="618"/>
      <c r="N528" s="619"/>
      <c r="O528" s="618"/>
      <c r="P528" s="619"/>
      <c r="Q528" s="618"/>
      <c r="R528" s="619"/>
      <c r="S528" s="619"/>
      <c r="T528" s="619"/>
      <c r="U528" s="619"/>
      <c r="V528" s="618"/>
      <c r="W528" s="619"/>
      <c r="X528" s="619"/>
      <c r="Y528" s="619"/>
      <c r="Z528" s="619"/>
      <c r="AA528" s="618"/>
      <c r="AB528" s="618"/>
      <c r="AC528" s="619"/>
      <c r="AD528" s="619"/>
      <c r="AE528" s="619"/>
      <c r="AF528" s="619"/>
      <c r="AG528" s="618"/>
      <c r="AH528" s="619"/>
      <c r="AI528" s="619"/>
      <c r="AJ528" s="619"/>
      <c r="AK528" s="619"/>
      <c r="AL528" s="618"/>
      <c r="AM528" s="619"/>
      <c r="AN528" s="619"/>
      <c r="AO528" s="619"/>
      <c r="AP528" s="619"/>
      <c r="AQ528" s="618"/>
      <c r="AR528" s="619"/>
      <c r="AS528" s="619"/>
      <c r="AT528" s="619"/>
      <c r="AU528" s="619"/>
      <c r="AV528" s="618"/>
      <c r="AW528" s="619"/>
      <c r="AX528" s="619"/>
      <c r="AY528" s="619"/>
      <c r="AZ528" s="619"/>
      <c r="BA528" s="618"/>
      <c r="BB528" s="619"/>
      <c r="BC528" s="619"/>
      <c r="BD528" s="619"/>
      <c r="BE528" s="619"/>
      <c r="BF528" s="618"/>
      <c r="BG528" s="619">
        <v>28</v>
      </c>
      <c r="BH528" s="619">
        <v>28</v>
      </c>
      <c r="BI528" s="619">
        <v>26</v>
      </c>
      <c r="BJ528" s="619">
        <f>BK528-BI528-BH528-BG528</f>
        <v>24</v>
      </c>
      <c r="BK528" s="618">
        <v>106</v>
      </c>
      <c r="BL528" s="619">
        <v>24</v>
      </c>
      <c r="BM528" s="619">
        <v>28</v>
      </c>
      <c r="BN528" s="619">
        <v>26</v>
      </c>
      <c r="BO528" s="619">
        <f>BP528-BN528-BM528-BL528</f>
        <v>12</v>
      </c>
      <c r="BP528" s="618">
        <v>90</v>
      </c>
      <c r="BQ528" s="619">
        <v>19</v>
      </c>
      <c r="BR528" s="619">
        <v>21</v>
      </c>
      <c r="BS528" s="619">
        <v>23</v>
      </c>
      <c r="BT528" s="619">
        <f>BU528-BS528-BR528-BQ528</f>
        <v>23</v>
      </c>
      <c r="BU528" s="618">
        <v>86</v>
      </c>
      <c r="BV528" s="619">
        <v>29</v>
      </c>
      <c r="BW528" s="619">
        <v>33</v>
      </c>
      <c r="BX528" s="619">
        <v>28</v>
      </c>
      <c r="BY528" s="619">
        <f>BZ528-BX528-BW528-BV528</f>
        <v>33</v>
      </c>
      <c r="BZ528" s="618">
        <v>123</v>
      </c>
      <c r="CA528" s="619">
        <v>38</v>
      </c>
      <c r="CB528" s="619">
        <v>42</v>
      </c>
      <c r="CC528" s="619">
        <v>37</v>
      </c>
      <c r="CD528" s="619">
        <f>CE528-CC528-CB528-CA528</f>
        <v>37</v>
      </c>
      <c r="CE528" s="618">
        <v>154</v>
      </c>
      <c r="CF528" s="619">
        <v>35</v>
      </c>
      <c r="CG528" s="619">
        <v>40</v>
      </c>
      <c r="CH528" s="619">
        <v>35</v>
      </c>
      <c r="CI528" s="619">
        <f>CJ528-CH528-CG528-CF528</f>
        <v>42</v>
      </c>
      <c r="CJ528" s="618">
        <v>152</v>
      </c>
      <c r="CK528" s="619">
        <v>36</v>
      </c>
      <c r="CL528" s="619">
        <v>33</v>
      </c>
      <c r="CM528" s="619">
        <v>27</v>
      </c>
      <c r="CN528" s="619">
        <f>CO528-CM528-CL528-CK528</f>
        <v>27</v>
      </c>
      <c r="CO528" s="618">
        <v>123</v>
      </c>
      <c r="CP528" s="619">
        <v>26</v>
      </c>
      <c r="CQ528" s="619">
        <v>25</v>
      </c>
      <c r="CR528" s="619">
        <v>17</v>
      </c>
      <c r="CS528" s="619">
        <f>CT528-CR528-CQ528-CP528</f>
        <v>24</v>
      </c>
      <c r="CT528" s="618">
        <v>92</v>
      </c>
      <c r="CU528" s="619"/>
      <c r="CV528" s="619"/>
      <c r="CW528" s="619"/>
      <c r="CX528" s="619"/>
      <c r="CY528" s="618"/>
      <c r="CZ528" s="619"/>
      <c r="DA528" s="619"/>
      <c r="DB528" s="619"/>
      <c r="DC528" s="619"/>
      <c r="DD528" s="618"/>
      <c r="DE528" s="619"/>
      <c r="DF528" s="619"/>
      <c r="DG528" s="619"/>
      <c r="DH528" s="619"/>
      <c r="DI528" s="618"/>
    </row>
    <row r="529" spans="1:113" s="3" customFormat="1" ht="12" hidden="1" customHeight="1" outlineLevel="1">
      <c r="A529" s="490" t="str">
        <f t="shared" si="1527"/>
        <v xml:space="preserve"> </v>
      </c>
      <c r="B529" s="491" t="s">
        <v>171</v>
      </c>
      <c r="C529" s="550"/>
      <c r="D529" s="549"/>
      <c r="E529" s="550"/>
      <c r="F529" s="549"/>
      <c r="G529" s="550"/>
      <c r="H529" s="549"/>
      <c r="I529" s="550"/>
      <c r="J529" s="549"/>
      <c r="K529" s="550"/>
      <c r="L529" s="549"/>
      <c r="M529" s="550"/>
      <c r="N529" s="549"/>
      <c r="O529" s="550"/>
      <c r="P529" s="549"/>
      <c r="Q529" s="550"/>
      <c r="R529" s="549"/>
      <c r="S529" s="549"/>
      <c r="T529" s="549"/>
      <c r="U529" s="549"/>
      <c r="V529" s="550"/>
      <c r="W529" s="549"/>
      <c r="X529" s="549"/>
      <c r="Y529" s="549"/>
      <c r="Z529" s="549"/>
      <c r="AA529" s="550"/>
      <c r="AB529" s="550"/>
      <c r="AC529" s="549"/>
      <c r="AD529" s="549"/>
      <c r="AE529" s="549"/>
      <c r="AF529" s="549"/>
      <c r="AG529" s="550"/>
      <c r="AH529" s="549"/>
      <c r="AI529" s="549"/>
      <c r="AJ529" s="549"/>
      <c r="AK529" s="549"/>
      <c r="AL529" s="550"/>
      <c r="AM529" s="549"/>
      <c r="AN529" s="549"/>
      <c r="AO529" s="549"/>
      <c r="AP529" s="549"/>
      <c r="AQ529" s="550"/>
      <c r="AR529" s="549"/>
      <c r="AS529" s="549"/>
      <c r="AT529" s="549"/>
      <c r="AU529" s="549"/>
      <c r="AV529" s="550"/>
      <c r="AW529" s="549"/>
      <c r="AX529" s="549"/>
      <c r="AY529" s="549"/>
      <c r="AZ529" s="549"/>
      <c r="BA529" s="550"/>
      <c r="BB529" s="549"/>
      <c r="BC529" s="549"/>
      <c r="BD529" s="549"/>
      <c r="BE529" s="549"/>
      <c r="BF529" s="550"/>
      <c r="BG529" s="549"/>
      <c r="BH529" s="52"/>
      <c r="BI529" s="549"/>
      <c r="BJ529" s="549"/>
      <c r="BK529" s="550"/>
      <c r="BL529" s="52">
        <f>BL528/BG528-1</f>
        <v>-0.1428571428571429</v>
      </c>
      <c r="BM529" s="52">
        <f>BM528/BH528-1</f>
        <v>0</v>
      </c>
      <c r="BN529" s="52">
        <f t="shared" ref="BN529" si="1586">+BN528/BI528-1</f>
        <v>0</v>
      </c>
      <c r="BO529" s="52">
        <f t="shared" ref="BO529" si="1587">+BO528/BJ528-1</f>
        <v>-0.5</v>
      </c>
      <c r="BP529" s="112">
        <f t="shared" ref="BP529" si="1588">+BP528/BK528-1</f>
        <v>-0.15094339622641506</v>
      </c>
      <c r="BQ529" s="52">
        <f>BQ528/BL528-1</f>
        <v>-0.20833333333333337</v>
      </c>
      <c r="BR529" s="52">
        <f>BR528/BM528-1</f>
        <v>-0.25</v>
      </c>
      <c r="BS529" s="52">
        <f>BS528/BN528-1</f>
        <v>-0.11538461538461542</v>
      </c>
      <c r="BT529" s="52">
        <f t="shared" ref="BT529:BU529" si="1589">+BT528/BO528-1</f>
        <v>0.91666666666666674</v>
      </c>
      <c r="BU529" s="112">
        <f t="shared" si="1589"/>
        <v>-4.4444444444444398E-2</v>
      </c>
      <c r="BV529" s="52">
        <f>BV528/BQ528-1</f>
        <v>0.52631578947368429</v>
      </c>
      <c r="BW529" s="52">
        <f>BW528/BR528-1</f>
        <v>0.5714285714285714</v>
      </c>
      <c r="BX529" s="52">
        <f>BX528/BS528-1</f>
        <v>0.21739130434782616</v>
      </c>
      <c r="BY529" s="52">
        <f t="shared" ref="BY529:BZ529" si="1590">+BY528/BT528-1</f>
        <v>0.43478260869565211</v>
      </c>
      <c r="BZ529" s="112">
        <f t="shared" si="1590"/>
        <v>0.43023255813953498</v>
      </c>
      <c r="CA529" s="52">
        <f>CA528/BV528-1</f>
        <v>0.31034482758620685</v>
      </c>
      <c r="CB529" s="52">
        <f>CB528/BW528-1</f>
        <v>0.27272727272727271</v>
      </c>
      <c r="CC529" s="52">
        <f>CC528/BX528-1</f>
        <v>0.3214285714285714</v>
      </c>
      <c r="CD529" s="52">
        <f t="shared" ref="CD529" si="1591">+CD528/BY528-1</f>
        <v>0.1212121212121211</v>
      </c>
      <c r="CE529" s="112">
        <f t="shared" ref="CE529" si="1592">+CE528/BZ528-1</f>
        <v>0.25203252032520318</v>
      </c>
      <c r="CF529" s="52">
        <f>CF528/CA528-1</f>
        <v>-7.8947368421052655E-2</v>
      </c>
      <c r="CG529" s="52">
        <f>CG528/CB528-1</f>
        <v>-4.7619047619047672E-2</v>
      </c>
      <c r="CH529" s="52">
        <f>CH528/CC528-1</f>
        <v>-5.4054054054054057E-2</v>
      </c>
      <c r="CI529" s="52">
        <f t="shared" ref="CI529" si="1593">+CI528/CD528-1</f>
        <v>0.13513513513513509</v>
      </c>
      <c r="CJ529" s="112">
        <f t="shared" ref="CJ529" si="1594">+CJ528/CE528-1</f>
        <v>-1.2987012987012991E-2</v>
      </c>
      <c r="CK529" s="52">
        <f>CK528/CF528-1</f>
        <v>2.857142857142847E-2</v>
      </c>
      <c r="CL529" s="52">
        <f>CL528/CG528-1</f>
        <v>-0.17500000000000004</v>
      </c>
      <c r="CM529" s="52">
        <f>CM528/CH528-1</f>
        <v>-0.22857142857142854</v>
      </c>
      <c r="CN529" s="52">
        <f t="shared" ref="CN529:CO529" si="1595">+CN528/CI528-1</f>
        <v>-0.3571428571428571</v>
      </c>
      <c r="CO529" s="112">
        <f t="shared" si="1595"/>
        <v>-0.19078947368421051</v>
      </c>
      <c r="CP529" s="52">
        <f>CP528/CK528-1</f>
        <v>-0.27777777777777779</v>
      </c>
      <c r="CQ529" s="52">
        <f>CQ528/CL528-1</f>
        <v>-0.24242424242424243</v>
      </c>
      <c r="CR529" s="52">
        <f>CR528/CM528-1</f>
        <v>-0.37037037037037035</v>
      </c>
      <c r="CS529" s="52">
        <f t="shared" ref="CS529:CT529" si="1596">+CS528/CN528-1</f>
        <v>-0.11111111111111116</v>
      </c>
      <c r="CT529" s="112">
        <f t="shared" si="1596"/>
        <v>-0.25203252032520329</v>
      </c>
      <c r="CU529" s="52"/>
      <c r="CV529" s="549"/>
      <c r="CW529" s="549"/>
      <c r="CX529" s="549"/>
      <c r="CY529" s="550"/>
      <c r="CZ529" s="549"/>
      <c r="DA529" s="549"/>
      <c r="DB529" s="549"/>
      <c r="DC529" s="549"/>
      <c r="DD529" s="550"/>
      <c r="DE529" s="549"/>
      <c r="DF529" s="549"/>
      <c r="DG529" s="549"/>
      <c r="DH529" s="549"/>
      <c r="DI529" s="550"/>
    </row>
    <row r="530" spans="1:113" s="530" customFormat="1" ht="12" hidden="1" customHeight="1" outlineLevel="1">
      <c r="A530" s="552" t="str">
        <f t="shared" si="1527"/>
        <v xml:space="preserve"> </v>
      </c>
      <c r="B530" s="553" t="s">
        <v>173</v>
      </c>
      <c r="C530" s="492"/>
      <c r="D530" s="522"/>
      <c r="E530" s="492"/>
      <c r="F530" s="522"/>
      <c r="G530" s="492"/>
      <c r="H530" s="522"/>
      <c r="I530" s="492"/>
      <c r="J530" s="522"/>
      <c r="K530" s="492"/>
      <c r="L530" s="522"/>
      <c r="M530" s="492"/>
      <c r="N530" s="522"/>
      <c r="O530" s="492"/>
      <c r="P530" s="522"/>
      <c r="Q530" s="492"/>
      <c r="R530" s="522"/>
      <c r="S530" s="522"/>
      <c r="T530" s="522"/>
      <c r="U530" s="522"/>
      <c r="V530" s="492"/>
      <c r="W530" s="522"/>
      <c r="X530" s="522"/>
      <c r="Y530" s="522"/>
      <c r="Z530" s="522"/>
      <c r="AA530" s="492"/>
      <c r="AB530" s="492"/>
      <c r="AC530" s="522"/>
      <c r="AD530" s="522"/>
      <c r="AE530" s="522"/>
      <c r="AF530" s="522"/>
      <c r="AG530" s="492"/>
      <c r="AH530" s="522"/>
      <c r="AI530" s="522"/>
      <c r="AJ530" s="522"/>
      <c r="AK530" s="522"/>
      <c r="AL530" s="492"/>
      <c r="AM530" s="522"/>
      <c r="AN530" s="522"/>
      <c r="AO530" s="522"/>
      <c r="AP530" s="522"/>
      <c r="AQ530" s="492"/>
      <c r="AR530" s="522"/>
      <c r="AS530" s="522"/>
      <c r="AT530" s="522"/>
      <c r="AU530" s="522"/>
      <c r="AV530" s="492"/>
      <c r="AW530" s="522"/>
      <c r="AX530" s="522"/>
      <c r="AY530" s="522"/>
      <c r="AZ530" s="522"/>
      <c r="BA530" s="492"/>
      <c r="BB530" s="522"/>
      <c r="BC530" s="522"/>
      <c r="BD530" s="522"/>
      <c r="BE530" s="522"/>
      <c r="BF530" s="492"/>
      <c r="BG530" s="522"/>
      <c r="BH530" s="522"/>
      <c r="BI530" s="522"/>
      <c r="BJ530" s="522"/>
      <c r="BK530" s="492"/>
      <c r="BL530" s="114">
        <v>-0.15</v>
      </c>
      <c r="BM530" s="522">
        <v>0</v>
      </c>
      <c r="BN530" s="522">
        <v>0.05</v>
      </c>
      <c r="BO530" s="52">
        <f>((BP530*SUM(BG528:BJ528))-BL530*BG528-BM530*BH528-BN530*BI528)/BJ528</f>
        <v>-0.49750000000000005</v>
      </c>
      <c r="BP530" s="492">
        <v>-0.14000000000000001</v>
      </c>
      <c r="BQ530" s="114">
        <v>-0.18</v>
      </c>
      <c r="BR530" s="522">
        <v>-0.19</v>
      </c>
      <c r="BS530" s="522">
        <v>-0.13</v>
      </c>
      <c r="BT530" s="52">
        <f>((BU530*SUM(BL528:BO528))-BQ530*BL528-BR530*BM528-BS530*BN528)/BO528</f>
        <v>1.01</v>
      </c>
      <c r="BU530" s="492">
        <v>-0.01</v>
      </c>
      <c r="BV530" s="114">
        <v>0.55000000000000004</v>
      </c>
      <c r="BW530" s="522">
        <v>0.53</v>
      </c>
      <c r="BX530" s="522">
        <v>0.25</v>
      </c>
      <c r="BY530" s="52">
        <f>((BZ530*SUM(BQ528:BT528))-BV530*BQ528-BW530*BR528-BX530*BS528)/BT528</f>
        <v>0.38217391304347798</v>
      </c>
      <c r="BZ530" s="492">
        <v>0.42</v>
      </c>
      <c r="CA530" s="114">
        <v>0.3</v>
      </c>
      <c r="CB530" s="522">
        <v>0.27</v>
      </c>
      <c r="CC530" s="522">
        <v>0.28999999999999998</v>
      </c>
      <c r="CD530" s="52">
        <f>((CE530*SUM(BV528:BY528))-CA530*BV528-CB530*BW528-CC530*BX528)/BY528</f>
        <v>0.15212121212121216</v>
      </c>
      <c r="CE530" s="492">
        <v>0.25</v>
      </c>
      <c r="CF530" s="114">
        <v>-0.08</v>
      </c>
      <c r="CG530" s="114">
        <v>-0.05</v>
      </c>
      <c r="CH530" s="114">
        <v>-0.05</v>
      </c>
      <c r="CI530" s="52">
        <f>((CJ530*SUM(CA528:CD528))-CF530*CA528-CG530*CB528-CH530*CC528)/CD528</f>
        <v>0.10567567567567568</v>
      </c>
      <c r="CJ530" s="492">
        <v>-0.02</v>
      </c>
      <c r="CK530" s="114">
        <v>0.05</v>
      </c>
      <c r="CL530" s="114">
        <v>-0.18</v>
      </c>
      <c r="CM530" s="114">
        <v>-0.19</v>
      </c>
      <c r="CN530" s="52">
        <f>((CO530*SUM(CF528:CI528))-CK530*CF528-CL530*CG528-CM530*CH528)/CI528</f>
        <v>-0.39952380952380956</v>
      </c>
      <c r="CO530" s="492">
        <v>-0.19</v>
      </c>
      <c r="CP530" s="114">
        <v>-0.28000000000000003</v>
      </c>
      <c r="CQ530" s="114">
        <v>-0.25</v>
      </c>
      <c r="CR530" s="114">
        <v>-0.38</v>
      </c>
      <c r="CS530" s="52">
        <f>((CT530*SUM(CK528:CN528))-CP530*CK528-CQ530*CL528-CR530*CM528)/CN528</f>
        <v>-7.9999999999999946E-2</v>
      </c>
      <c r="CT530" s="492">
        <v>-0.25</v>
      </c>
      <c r="CU530" s="522"/>
      <c r="CV530" s="522"/>
      <c r="CW530" s="522"/>
      <c r="CX530" s="522"/>
      <c r="CY530" s="492"/>
      <c r="CZ530" s="522"/>
      <c r="DA530" s="522"/>
      <c r="DB530" s="522"/>
      <c r="DC530" s="522"/>
      <c r="DD530" s="492"/>
      <c r="DE530" s="522"/>
      <c r="DF530" s="522"/>
      <c r="DG530" s="522"/>
      <c r="DH530" s="522"/>
      <c r="DI530" s="492"/>
    </row>
    <row r="531" spans="1:113" s="3" customFormat="1" ht="12" hidden="1" customHeight="1" outlineLevel="1">
      <c r="A531" s="490" t="str">
        <f t="shared" si="1527"/>
        <v xml:space="preserve"> </v>
      </c>
      <c r="B531" s="491" t="s">
        <v>141</v>
      </c>
      <c r="C531" s="550"/>
      <c r="D531" s="549"/>
      <c r="E531" s="550"/>
      <c r="F531" s="549"/>
      <c r="G531" s="550"/>
      <c r="H531" s="549"/>
      <c r="I531" s="550"/>
      <c r="J531" s="549"/>
      <c r="K531" s="550"/>
      <c r="L531" s="549"/>
      <c r="M531" s="550"/>
      <c r="N531" s="549"/>
      <c r="O531" s="550"/>
      <c r="P531" s="549"/>
      <c r="Q531" s="550"/>
      <c r="R531" s="549"/>
      <c r="S531" s="549"/>
      <c r="T531" s="549"/>
      <c r="U531" s="549"/>
      <c r="V531" s="550"/>
      <c r="W531" s="549"/>
      <c r="X531" s="549"/>
      <c r="Y531" s="549"/>
      <c r="Z531" s="549"/>
      <c r="AA531" s="550"/>
      <c r="AB531" s="550"/>
      <c r="AC531" s="549"/>
      <c r="AD531" s="549"/>
      <c r="AE531" s="549"/>
      <c r="AF531" s="549"/>
      <c r="AG531" s="550"/>
      <c r="AH531" s="549"/>
      <c r="AI531" s="549"/>
      <c r="AJ531" s="549"/>
      <c r="AK531" s="549"/>
      <c r="AL531" s="550"/>
      <c r="AM531" s="549"/>
      <c r="AN531" s="549"/>
      <c r="AO531" s="549"/>
      <c r="AP531" s="549"/>
      <c r="AQ531" s="550"/>
      <c r="AR531" s="549"/>
      <c r="AS531" s="549"/>
      <c r="AT531" s="549"/>
      <c r="AU531" s="549"/>
      <c r="AV531" s="550"/>
      <c r="AW531" s="549"/>
      <c r="AX531" s="549"/>
      <c r="AY531" s="549"/>
      <c r="AZ531" s="549"/>
      <c r="BA531" s="550"/>
      <c r="BB531" s="549"/>
      <c r="BC531" s="549"/>
      <c r="BD531" s="549"/>
      <c r="BE531" s="549"/>
      <c r="BF531" s="550"/>
      <c r="BG531" s="549"/>
      <c r="BH531" s="549"/>
      <c r="BI531" s="549"/>
      <c r="BJ531" s="549"/>
      <c r="BK531" s="550"/>
      <c r="BL531" s="114">
        <f t="shared" ref="BL531:BM531" si="1597">(1+BL529)/(1+BL530)-1</f>
        <v>8.4033613445377853E-3</v>
      </c>
      <c r="BM531" s="114">
        <f t="shared" si="1597"/>
        <v>0</v>
      </c>
      <c r="BN531" s="114">
        <f>(1+BN529)/(1+BN530)-1</f>
        <v>-4.7619047619047672E-2</v>
      </c>
      <c r="BO531" s="114">
        <f t="shared" ref="BO531" si="1598">(1+BO529)/(1+BO530)-1</f>
        <v>-4.9751243781093191E-3</v>
      </c>
      <c r="BP531" s="112">
        <f t="shared" ref="BP531:BZ531" si="1599">(1+BP529)/(1+BP530)-1</f>
        <v>-1.2724879333040784E-2</v>
      </c>
      <c r="BQ531" s="114">
        <f t="shared" si="1599"/>
        <v>-3.4552845528455389E-2</v>
      </c>
      <c r="BR531" s="114">
        <f t="shared" si="1599"/>
        <v>-7.4074074074074181E-2</v>
      </c>
      <c r="BS531" s="114">
        <f t="shared" si="1599"/>
        <v>1.6799292661361598E-2</v>
      </c>
      <c r="BT531" s="114">
        <f t="shared" si="1599"/>
        <v>-4.6434494195688125E-2</v>
      </c>
      <c r="BU531" s="112">
        <f t="shared" si="1599"/>
        <v>-3.4792368125701412E-2</v>
      </c>
      <c r="BV531" s="114">
        <f t="shared" si="1599"/>
        <v>-1.5280135823429464E-2</v>
      </c>
      <c r="BW531" s="114">
        <f t="shared" ref="BW531" si="1600">(1+BW529)/(1+BW530)-1</f>
        <v>2.7077497665732864E-2</v>
      </c>
      <c r="BX531" s="114">
        <f t="shared" si="1599"/>
        <v>-2.6086956521739091E-2</v>
      </c>
      <c r="BY531" s="114">
        <f t="shared" ref="BY531" si="1601">(1+BY529)/(1+BY530)-1</f>
        <v>3.8062283737024361E-2</v>
      </c>
      <c r="BZ531" s="112">
        <f t="shared" si="1599"/>
        <v>7.2060268588274301E-3</v>
      </c>
      <c r="CA531" s="114">
        <f t="shared" ref="CA531:CH531" si="1602">(1+CA529)/(1+CA530)-1</f>
        <v>7.9575596816976457E-3</v>
      </c>
      <c r="CB531" s="114">
        <f t="shared" si="1602"/>
        <v>2.1474588403722628E-3</v>
      </c>
      <c r="CC531" s="114">
        <f t="shared" si="1602"/>
        <v>2.4363233665559259E-2</v>
      </c>
      <c r="CD531" s="114">
        <f t="shared" si="1602"/>
        <v>-2.6827985270910126E-2</v>
      </c>
      <c r="CE531" s="112">
        <f t="shared" ref="CE531" si="1603">(1+CE529)/(1+CE530)-1</f>
        <v>1.626016260162455E-3</v>
      </c>
      <c r="CF531" s="114">
        <f t="shared" si="1602"/>
        <v>1.1441647597252302E-3</v>
      </c>
      <c r="CG531" s="114">
        <f t="shared" si="1602"/>
        <v>2.5062656641603454E-3</v>
      </c>
      <c r="CH531" s="114">
        <f t="shared" si="1602"/>
        <v>-4.2674253200568613E-3</v>
      </c>
      <c r="CI531" s="114">
        <f t="shared" ref="CI531:CM531" si="1604">(1+CI529)/(1+CI530)-1</f>
        <v>2.6643852358836595E-2</v>
      </c>
      <c r="CJ531" s="112">
        <f t="shared" si="1604"/>
        <v>7.156109196925442E-3</v>
      </c>
      <c r="CK531" s="114">
        <f t="shared" si="1604"/>
        <v>-2.0408163265306256E-2</v>
      </c>
      <c r="CL531" s="114">
        <f t="shared" si="1604"/>
        <v>6.0975609756095395E-3</v>
      </c>
      <c r="CM531" s="114">
        <f t="shared" si="1604"/>
        <v>-4.7619047619047672E-2</v>
      </c>
      <c r="CN531" s="114">
        <f t="shared" ref="CN531:CP531" si="1605">(1+CN529)/(1+CN530)-1</f>
        <v>7.0578905630452216E-2</v>
      </c>
      <c r="CO531" s="112">
        <f t="shared" si="1605"/>
        <v>-9.746588693957392E-4</v>
      </c>
      <c r="CP531" s="114">
        <f t="shared" si="1605"/>
        <v>3.0864197530864335E-3</v>
      </c>
      <c r="CQ531" s="114">
        <f t="shared" ref="CQ531:CT531" si="1606">(1+CQ529)/(1+CQ530)-1</f>
        <v>1.0101010101010166E-2</v>
      </c>
      <c r="CR531" s="114">
        <f t="shared" si="1606"/>
        <v>1.5531660692950977E-2</v>
      </c>
      <c r="CS531" s="114">
        <f t="shared" si="1606"/>
        <v>-3.3816425120773097E-2</v>
      </c>
      <c r="CT531" s="112">
        <f t="shared" si="1606"/>
        <v>-2.7100271002710175E-3</v>
      </c>
      <c r="CU531" s="114"/>
      <c r="CV531" s="549"/>
      <c r="CW531" s="549"/>
      <c r="CX531" s="549"/>
      <c r="CY531" s="550"/>
      <c r="CZ531" s="549"/>
      <c r="DA531" s="549"/>
      <c r="DB531" s="549"/>
      <c r="DC531" s="549"/>
      <c r="DD531" s="550"/>
      <c r="DE531" s="549"/>
      <c r="DF531" s="549"/>
      <c r="DG531" s="549"/>
      <c r="DH531" s="549"/>
      <c r="DI531" s="550"/>
    </row>
    <row r="532" spans="1:113" ht="12" hidden="1" customHeight="1" outlineLevel="1">
      <c r="A532" s="219"/>
      <c r="B532" s="17"/>
      <c r="C532" s="79"/>
      <c r="D532" s="6"/>
      <c r="E532" s="79"/>
      <c r="F532" s="6"/>
      <c r="G532" s="79"/>
      <c r="H532" s="6"/>
      <c r="I532" s="79"/>
      <c r="J532" s="6"/>
      <c r="K532" s="79"/>
      <c r="L532" s="6"/>
      <c r="M532" s="79"/>
      <c r="N532" s="6"/>
      <c r="O532" s="79"/>
      <c r="P532" s="6"/>
      <c r="Q532" s="79"/>
      <c r="R532" s="6"/>
      <c r="S532" s="6"/>
      <c r="T532" s="6"/>
      <c r="U532" s="6"/>
      <c r="V532" s="79"/>
      <c r="W532" s="6"/>
      <c r="X532" s="6"/>
      <c r="Y532" s="6"/>
      <c r="Z532" s="6"/>
      <c r="AA532" s="79"/>
      <c r="AB532" s="79"/>
      <c r="AC532" s="6"/>
      <c r="AD532" s="6"/>
      <c r="AE532" s="6"/>
      <c r="AF532" s="6"/>
      <c r="AG532" s="79"/>
      <c r="AH532" s="6"/>
      <c r="AI532" s="6"/>
      <c r="AJ532" s="6"/>
      <c r="AK532" s="6"/>
      <c r="AL532" s="79"/>
      <c r="AM532" s="6"/>
      <c r="AN532" s="6"/>
      <c r="AO532" s="6"/>
      <c r="AP532" s="6"/>
      <c r="AQ532" s="79"/>
      <c r="AR532" s="6"/>
      <c r="AS532" s="6"/>
      <c r="AT532" s="6"/>
      <c r="AU532" s="6"/>
      <c r="AV532" s="79"/>
      <c r="AW532" s="6"/>
      <c r="AX532" s="6"/>
      <c r="AY532" s="6"/>
      <c r="AZ532" s="6"/>
      <c r="BA532" s="79"/>
      <c r="BB532" s="6"/>
      <c r="BC532" s="6"/>
      <c r="BD532" s="6"/>
      <c r="BE532" s="6"/>
      <c r="BF532" s="79"/>
      <c r="BG532" s="6"/>
      <c r="BH532" s="6"/>
      <c r="BI532" s="6"/>
      <c r="BJ532" s="6"/>
      <c r="BK532" s="79"/>
      <c r="BL532" s="6"/>
      <c r="BM532" s="6"/>
      <c r="BN532" s="6"/>
      <c r="BO532" s="6"/>
      <c r="BP532" s="79"/>
      <c r="BQ532" s="6"/>
      <c r="BR532" s="6"/>
      <c r="BS532" s="6"/>
      <c r="BT532" s="6"/>
      <c r="BU532" s="79"/>
      <c r="BV532" s="6"/>
      <c r="BW532" s="6"/>
      <c r="BX532" s="6"/>
      <c r="BY532" s="6"/>
      <c r="BZ532" s="79"/>
      <c r="CA532" s="6"/>
      <c r="CB532" s="6"/>
      <c r="CC532" s="6"/>
      <c r="CD532" s="6"/>
      <c r="CE532" s="79"/>
      <c r="CF532" s="6"/>
      <c r="CG532" s="6"/>
      <c r="CH532" s="6"/>
      <c r="CI532" s="6"/>
      <c r="CJ532" s="79"/>
      <c r="CK532" s="6"/>
      <c r="CL532" s="6"/>
      <c r="CM532" s="6"/>
      <c r="CN532" s="6"/>
      <c r="CO532" s="79"/>
      <c r="CP532" s="6"/>
      <c r="CQ532" s="6"/>
      <c r="CS532" s="591"/>
      <c r="CT532" s="79"/>
      <c r="CU532" s="591"/>
      <c r="CV532" s="591"/>
      <c r="CW532" s="591"/>
      <c r="CX532" s="591"/>
      <c r="CY532" s="590"/>
      <c r="CZ532" s="591"/>
      <c r="DA532" s="591"/>
      <c r="DB532" s="6"/>
      <c r="DC532" s="6"/>
      <c r="DD532" s="79"/>
      <c r="DE532" s="591"/>
      <c r="DF532" s="591"/>
      <c r="DG532" s="6"/>
      <c r="DH532" s="6"/>
      <c r="DI532" s="79"/>
    </row>
    <row r="533" spans="1:113" ht="12" hidden="1" customHeight="1" outlineLevel="1">
      <c r="A533" s="219"/>
      <c r="B533" s="17" t="s">
        <v>387</v>
      </c>
      <c r="C533" s="79"/>
      <c r="D533" s="6"/>
      <c r="E533" s="79"/>
      <c r="F533" s="6"/>
      <c r="G533" s="79"/>
      <c r="H533" s="6"/>
      <c r="I533" s="79"/>
      <c r="J533" s="6"/>
      <c r="K533" s="79"/>
      <c r="L533" s="6"/>
      <c r="M533" s="79"/>
      <c r="N533" s="6"/>
      <c r="O533" s="79"/>
      <c r="P533" s="6"/>
      <c r="Q533" s="79"/>
      <c r="R533" s="6"/>
      <c r="S533" s="6"/>
      <c r="T533" s="6"/>
      <c r="U533" s="6"/>
      <c r="V533" s="79"/>
      <c r="W533" s="6"/>
      <c r="X533" s="6"/>
      <c r="Y533" s="6"/>
      <c r="Z533" s="6"/>
      <c r="AA533" s="79"/>
      <c r="AB533" s="79"/>
      <c r="AC533" s="6"/>
      <c r="AD533" s="6"/>
      <c r="AE533" s="6"/>
      <c r="AF533" s="6"/>
      <c r="AG533" s="79"/>
      <c r="AH533" s="6"/>
      <c r="AI533" s="6"/>
      <c r="AJ533" s="6"/>
      <c r="AK533" s="6"/>
      <c r="AL533" s="79"/>
      <c r="AM533" s="6"/>
      <c r="AN533" s="6"/>
      <c r="AO533" s="6"/>
      <c r="AP533" s="6"/>
      <c r="AQ533" s="79"/>
      <c r="AR533" s="6"/>
      <c r="AS533" s="6"/>
      <c r="AT533" s="6"/>
      <c r="AU533" s="6"/>
      <c r="AV533" s="79"/>
      <c r="AW533" s="6"/>
      <c r="AX533" s="6"/>
      <c r="AY533" s="6"/>
      <c r="AZ533" s="6"/>
      <c r="BA533" s="79"/>
      <c r="BB533" s="6"/>
      <c r="BC533" s="6"/>
      <c r="BD533" s="6"/>
      <c r="BE533" s="6"/>
      <c r="BF533" s="79"/>
      <c r="BG533" s="6"/>
      <c r="BH533" s="6"/>
      <c r="BI533" s="6"/>
      <c r="BJ533" s="6"/>
      <c r="BK533" s="79"/>
      <c r="BL533" s="6"/>
      <c r="BM533" s="6"/>
      <c r="BN533" s="6"/>
      <c r="BO533" s="6"/>
      <c r="BP533" s="79"/>
      <c r="BQ533" s="6"/>
      <c r="BR533" s="6"/>
      <c r="BS533" s="6"/>
      <c r="BT533" s="6"/>
      <c r="BU533" s="79"/>
      <c r="BV533" s="6"/>
      <c r="BW533" s="6"/>
      <c r="BX533" s="6"/>
      <c r="BY533" s="6"/>
      <c r="BZ533" s="79"/>
      <c r="CA533" s="6"/>
      <c r="CB533" s="6"/>
      <c r="CC533" s="6"/>
      <c r="CD533" s="6"/>
      <c r="CE533" s="36">
        <v>1306</v>
      </c>
      <c r="CF533" s="43"/>
      <c r="CG533" s="43"/>
      <c r="CH533" s="43"/>
      <c r="CI533" s="43"/>
      <c r="CJ533" s="36">
        <v>1093</v>
      </c>
      <c r="CK533" s="43">
        <v>268</v>
      </c>
      <c r="CL533" s="43">
        <v>207</v>
      </c>
      <c r="CM533" s="43">
        <v>188</v>
      </c>
      <c r="CN533" s="43">
        <f>CO533-CM533-CL533-CK533</f>
        <v>161</v>
      </c>
      <c r="CO533" s="36">
        <v>824</v>
      </c>
      <c r="CP533" s="43">
        <v>173</v>
      </c>
      <c r="CQ533" s="43">
        <v>124</v>
      </c>
      <c r="CR533" s="43">
        <v>97</v>
      </c>
      <c r="CS533" s="43">
        <f>CT533-CR533-CQ533-CP533</f>
        <v>120</v>
      </c>
      <c r="CT533" s="36">
        <v>514</v>
      </c>
      <c r="CU533" s="43"/>
      <c r="CV533" s="43"/>
      <c r="CW533" s="43"/>
      <c r="CX533" s="43"/>
      <c r="CY533" s="36"/>
      <c r="CZ533" s="43"/>
      <c r="DA533" s="43"/>
      <c r="DB533" s="43"/>
      <c r="DC533" s="43"/>
      <c r="DD533" s="36"/>
      <c r="DE533" s="43"/>
      <c r="DF533" s="43"/>
      <c r="DG533" s="43"/>
      <c r="DH533" s="43"/>
      <c r="DI533" s="36"/>
    </row>
    <row r="534" spans="1:113" ht="12" hidden="1" customHeight="1" outlineLevel="1">
      <c r="A534" s="219"/>
      <c r="B534" s="491" t="s">
        <v>348</v>
      </c>
      <c r="C534" s="79"/>
      <c r="D534" s="6"/>
      <c r="E534" s="79"/>
      <c r="F534" s="6"/>
      <c r="G534" s="79"/>
      <c r="H534" s="6"/>
      <c r="I534" s="79"/>
      <c r="J534" s="6"/>
      <c r="K534" s="79"/>
      <c r="L534" s="6"/>
      <c r="M534" s="79"/>
      <c r="N534" s="6"/>
      <c r="O534" s="79"/>
      <c r="P534" s="6"/>
      <c r="Q534" s="79"/>
      <c r="R534" s="6"/>
      <c r="S534" s="6"/>
      <c r="T534" s="6"/>
      <c r="U534" s="6"/>
      <c r="V534" s="79"/>
      <c r="W534" s="6"/>
      <c r="X534" s="6"/>
      <c r="Y534" s="6"/>
      <c r="Z534" s="6"/>
      <c r="AA534" s="79"/>
      <c r="AB534" s="79"/>
      <c r="AC534" s="6"/>
      <c r="AD534" s="6"/>
      <c r="AE534" s="6"/>
      <c r="AF534" s="6"/>
      <c r="AG534" s="79"/>
      <c r="AH534" s="6"/>
      <c r="AI534" s="6"/>
      <c r="AJ534" s="6"/>
      <c r="AK534" s="6"/>
      <c r="AL534" s="79"/>
      <c r="AM534" s="6"/>
      <c r="AN534" s="6"/>
      <c r="AO534" s="6"/>
      <c r="AP534" s="6"/>
      <c r="AQ534" s="79"/>
      <c r="AR534" s="6"/>
      <c r="AS534" s="6"/>
      <c r="AT534" s="6"/>
      <c r="AU534" s="6"/>
      <c r="AV534" s="79"/>
      <c r="AW534" s="6"/>
      <c r="AX534" s="6"/>
      <c r="AY534" s="6"/>
      <c r="AZ534" s="6"/>
      <c r="BA534" s="79"/>
      <c r="BB534" s="6"/>
      <c r="BC534" s="6"/>
      <c r="BD534" s="6"/>
      <c r="BE534" s="6"/>
      <c r="BF534" s="79"/>
      <c r="BG534" s="6"/>
      <c r="BH534" s="6"/>
      <c r="BI534" s="6"/>
      <c r="BJ534" s="6"/>
      <c r="BK534" s="79"/>
      <c r="BL534" s="6"/>
      <c r="BM534" s="6"/>
      <c r="BN534" s="6"/>
      <c r="BO534" s="6"/>
      <c r="BP534" s="79"/>
      <c r="BQ534" s="6"/>
      <c r="BR534" s="6"/>
      <c r="BS534" s="6"/>
      <c r="BT534" s="6"/>
      <c r="BU534" s="79"/>
      <c r="BV534" s="6"/>
      <c r="BW534" s="6"/>
      <c r="BX534" s="6"/>
      <c r="BY534" s="6"/>
      <c r="BZ534" s="79"/>
      <c r="CA534" s="6"/>
      <c r="CB534" s="6"/>
      <c r="CC534" s="6"/>
      <c r="CD534" s="6"/>
      <c r="CE534" s="232" t="s">
        <v>126</v>
      </c>
      <c r="CF534" s="27"/>
      <c r="CG534" s="27"/>
      <c r="CH534" s="27"/>
      <c r="CI534" s="27"/>
      <c r="CJ534" s="112">
        <f>CJ533/CE533-1</f>
        <v>-0.16309341500765695</v>
      </c>
      <c r="CK534" s="565" t="s">
        <v>126</v>
      </c>
      <c r="CL534" s="565" t="s">
        <v>126</v>
      </c>
      <c r="CM534" s="565" t="s">
        <v>126</v>
      </c>
      <c r="CN534" s="213" t="s">
        <v>126</v>
      </c>
      <c r="CO534" s="112">
        <f t="shared" ref="CO534:CT534" si="1607">CO533/CJ533-1</f>
        <v>-0.24611161939615733</v>
      </c>
      <c r="CP534" s="27">
        <f t="shared" si="1607"/>
        <v>-0.35447761194029848</v>
      </c>
      <c r="CQ534" s="27">
        <f t="shared" si="1607"/>
        <v>-0.40096618357487923</v>
      </c>
      <c r="CR534" s="27">
        <f t="shared" si="1607"/>
        <v>-0.48404255319148937</v>
      </c>
      <c r="CS534" s="27">
        <f t="shared" si="1607"/>
        <v>-0.25465838509316774</v>
      </c>
      <c r="CT534" s="112">
        <f t="shared" si="1607"/>
        <v>-0.37621359223300976</v>
      </c>
      <c r="CU534" s="27"/>
      <c r="CV534" s="27"/>
      <c r="CW534" s="27"/>
      <c r="CX534" s="27"/>
      <c r="CY534" s="112"/>
      <c r="CZ534" s="27"/>
      <c r="DA534" s="27"/>
      <c r="DB534" s="27"/>
      <c r="DC534" s="27"/>
      <c r="DD534" s="112"/>
      <c r="DE534" s="27"/>
      <c r="DF534" s="27"/>
      <c r="DG534" s="27"/>
      <c r="DH534" s="27"/>
      <c r="DI534" s="112"/>
    </row>
    <row r="535" spans="1:113" ht="12" hidden="1" customHeight="1" outlineLevel="1">
      <c r="A535" s="219"/>
      <c r="B535" s="491" t="s">
        <v>217</v>
      </c>
      <c r="C535" s="79"/>
      <c r="D535" s="6"/>
      <c r="E535" s="79"/>
      <c r="F535" s="6"/>
      <c r="G535" s="79"/>
      <c r="H535" s="6"/>
      <c r="I535" s="79"/>
      <c r="J535" s="6"/>
      <c r="K535" s="79"/>
      <c r="L535" s="6"/>
      <c r="M535" s="79"/>
      <c r="N535" s="6"/>
      <c r="O535" s="79"/>
      <c r="P535" s="6"/>
      <c r="Q535" s="79"/>
      <c r="R535" s="6"/>
      <c r="S535" s="6"/>
      <c r="T535" s="6"/>
      <c r="U535" s="6"/>
      <c r="V535" s="79"/>
      <c r="W535" s="6"/>
      <c r="X535" s="6"/>
      <c r="Y535" s="6"/>
      <c r="Z535" s="6"/>
      <c r="AA535" s="79"/>
      <c r="AB535" s="79"/>
      <c r="AC535" s="6"/>
      <c r="AD535" s="6"/>
      <c r="AE535" s="6"/>
      <c r="AF535" s="6"/>
      <c r="AG535" s="79"/>
      <c r="AH535" s="6"/>
      <c r="AI535" s="6"/>
      <c r="AJ535" s="6"/>
      <c r="AK535" s="6"/>
      <c r="AL535" s="79"/>
      <c r="AM535" s="6"/>
      <c r="AN535" s="6"/>
      <c r="AO535" s="6"/>
      <c r="AP535" s="6"/>
      <c r="AQ535" s="79"/>
      <c r="AR535" s="6"/>
      <c r="AS535" s="6"/>
      <c r="AT535" s="6"/>
      <c r="AU535" s="6"/>
      <c r="AV535" s="79"/>
      <c r="AW535" s="6"/>
      <c r="AX535" s="6"/>
      <c r="AY535" s="6"/>
      <c r="AZ535" s="6"/>
      <c r="BA535" s="79"/>
      <c r="BB535" s="6"/>
      <c r="BC535" s="6"/>
      <c r="BD535" s="6"/>
      <c r="BE535" s="6"/>
      <c r="BF535" s="79"/>
      <c r="BG535" s="6"/>
      <c r="BH535" s="6"/>
      <c r="BI535" s="6"/>
      <c r="BJ535" s="6"/>
      <c r="BK535" s="79"/>
      <c r="BL535" s="6"/>
      <c r="BM535" s="6"/>
      <c r="BN535" s="6"/>
      <c r="BO535" s="6"/>
      <c r="BP535" s="79"/>
      <c r="BQ535" s="6"/>
      <c r="BR535" s="6"/>
      <c r="BS535" s="6"/>
      <c r="BT535" s="6"/>
      <c r="BU535" s="79"/>
      <c r="BV535" s="6"/>
      <c r="BW535" s="6"/>
      <c r="BX535" s="6"/>
      <c r="BY535" s="6"/>
      <c r="BZ535" s="79"/>
      <c r="CA535" s="6"/>
      <c r="CB535" s="6"/>
      <c r="CC535" s="6"/>
      <c r="CD535" s="6"/>
      <c r="CE535" s="112">
        <f>CE533/CE483</f>
        <v>0.53811289658014005</v>
      </c>
      <c r="CF535" s="27"/>
      <c r="CG535" s="27"/>
      <c r="CH535" s="27"/>
      <c r="CI535" s="27"/>
      <c r="CJ535" s="112">
        <f t="shared" ref="CJ535:CT535" si="1608">CJ533/CJ483</f>
        <v>0.52497598463016326</v>
      </c>
      <c r="CK535" s="27">
        <f t="shared" si="1608"/>
        <v>0.53493013972055892</v>
      </c>
      <c r="CL535" s="27">
        <f t="shared" si="1608"/>
        <v>0.4825174825174825</v>
      </c>
      <c r="CM535" s="27">
        <f t="shared" si="1608"/>
        <v>0.46419753086419752</v>
      </c>
      <c r="CN535" s="27">
        <f t="shared" si="1608"/>
        <v>0.45098039215686275</v>
      </c>
      <c r="CO535" s="112">
        <f t="shared" si="1608"/>
        <v>0.48699763593380613</v>
      </c>
      <c r="CP535" s="27">
        <f t="shared" si="1608"/>
        <v>0.47267759562841533</v>
      </c>
      <c r="CQ535" s="27">
        <f t="shared" si="1608"/>
        <v>0.41333333333333333</v>
      </c>
      <c r="CR535" s="27">
        <f t="shared" si="1608"/>
        <v>0.36742424242424243</v>
      </c>
      <c r="CS535" s="27">
        <f t="shared" si="1608"/>
        <v>0.49180327868852458</v>
      </c>
      <c r="CT535" s="112">
        <f t="shared" si="1608"/>
        <v>0.43781942078364566</v>
      </c>
      <c r="CU535" s="27"/>
      <c r="CV535" s="27"/>
      <c r="CW535" s="27"/>
      <c r="CX535" s="27"/>
      <c r="CY535" s="112"/>
      <c r="CZ535" s="27"/>
      <c r="DA535" s="27"/>
      <c r="DB535" s="27"/>
      <c r="DC535" s="27"/>
      <c r="DD535" s="112"/>
      <c r="DE535" s="27"/>
      <c r="DF535" s="27"/>
      <c r="DG535" s="27"/>
      <c r="DH535" s="27"/>
      <c r="DI535" s="112"/>
    </row>
    <row r="536" spans="1:113" ht="12" hidden="1" customHeight="1" outlineLevel="1">
      <c r="A536" s="219"/>
      <c r="B536" s="491" t="s">
        <v>376</v>
      </c>
      <c r="C536" s="79"/>
      <c r="D536" s="6"/>
      <c r="E536" s="79"/>
      <c r="F536" s="6"/>
      <c r="G536" s="79"/>
      <c r="H536" s="6"/>
      <c r="I536" s="79"/>
      <c r="J536" s="6"/>
      <c r="K536" s="79"/>
      <c r="L536" s="6"/>
      <c r="M536" s="79"/>
      <c r="N536" s="6"/>
      <c r="O536" s="79"/>
      <c r="P536" s="6"/>
      <c r="Q536" s="79"/>
      <c r="R536" s="6"/>
      <c r="S536" s="6"/>
      <c r="T536" s="6"/>
      <c r="U536" s="6"/>
      <c r="V536" s="79"/>
      <c r="W536" s="6"/>
      <c r="X536" s="6"/>
      <c r="Y536" s="6"/>
      <c r="Z536" s="6"/>
      <c r="AA536" s="79"/>
      <c r="AB536" s="79"/>
      <c r="AC536" s="6"/>
      <c r="AD536" s="6"/>
      <c r="AE536" s="6"/>
      <c r="AF536" s="6"/>
      <c r="AG536" s="79"/>
      <c r="AH536" s="6"/>
      <c r="AI536" s="6"/>
      <c r="AJ536" s="6"/>
      <c r="AK536" s="6"/>
      <c r="AL536" s="79"/>
      <c r="AM536" s="6"/>
      <c r="AN536" s="6"/>
      <c r="AO536" s="6"/>
      <c r="AP536" s="6"/>
      <c r="AQ536" s="79"/>
      <c r="AR536" s="6"/>
      <c r="AS536" s="6"/>
      <c r="AT536" s="6"/>
      <c r="AU536" s="6"/>
      <c r="AV536" s="79"/>
      <c r="AW536" s="6"/>
      <c r="AX536" s="6"/>
      <c r="AY536" s="6"/>
      <c r="AZ536" s="6"/>
      <c r="BA536" s="79"/>
      <c r="BB536" s="6"/>
      <c r="BC536" s="6"/>
      <c r="BD536" s="6"/>
      <c r="BE536" s="6"/>
      <c r="BF536" s="79"/>
      <c r="BG536" s="6"/>
      <c r="BH536" s="6"/>
      <c r="BI536" s="6"/>
      <c r="BJ536" s="6"/>
      <c r="BK536" s="79"/>
      <c r="BL536" s="6"/>
      <c r="BM536" s="6"/>
      <c r="BN536" s="6"/>
      <c r="BO536" s="6"/>
      <c r="BP536" s="79"/>
      <c r="BQ536" s="6"/>
      <c r="BR536" s="6"/>
      <c r="BS536" s="6"/>
      <c r="BT536" s="6"/>
      <c r="BU536" s="79"/>
      <c r="BV536" s="6"/>
      <c r="BW536" s="6"/>
      <c r="BX536" s="6"/>
      <c r="BY536" s="6"/>
      <c r="BZ536" s="79"/>
      <c r="CA536" s="6"/>
      <c r="CB536" s="6"/>
      <c r="CC536" s="6"/>
      <c r="CD536" s="6"/>
      <c r="CE536" s="596" t="s">
        <v>126</v>
      </c>
      <c r="CF536" s="568"/>
      <c r="CG536" s="568"/>
      <c r="CH536" s="568"/>
      <c r="CI536" s="568"/>
      <c r="CJ536" s="567">
        <f>(CJ535-CE535)*100*100</f>
        <v>-131.36911949976792</v>
      </c>
      <c r="CK536" s="565" t="s">
        <v>126</v>
      </c>
      <c r="CL536" s="565" t="s">
        <v>126</v>
      </c>
      <c r="CM536" s="565" t="s">
        <v>126</v>
      </c>
      <c r="CN536" s="213" t="s">
        <v>126</v>
      </c>
      <c r="CO536" s="567">
        <f t="shared" ref="CO536:CT536" si="1609">(CO535-CJ535)*100*100</f>
        <v>-379.78348696357136</v>
      </c>
      <c r="CP536" s="568">
        <f t="shared" si="1609"/>
        <v>-622.52544092143592</v>
      </c>
      <c r="CQ536" s="568">
        <f t="shared" si="1609"/>
        <v>-691.84149184149169</v>
      </c>
      <c r="CR536" s="568">
        <f t="shared" si="1609"/>
        <v>-967.73288439955093</v>
      </c>
      <c r="CS536" s="568">
        <f t="shared" si="1609"/>
        <v>408.22886531661828</v>
      </c>
      <c r="CT536" s="567">
        <f t="shared" si="1609"/>
        <v>-491.78215150160469</v>
      </c>
      <c r="CU536" s="568"/>
      <c r="CV536" s="568"/>
      <c r="CW536" s="568"/>
      <c r="CX536" s="568"/>
      <c r="CY536" s="567"/>
      <c r="CZ536" s="568"/>
      <c r="DA536" s="568"/>
      <c r="DB536" s="568"/>
      <c r="DC536" s="568"/>
      <c r="DD536" s="567"/>
      <c r="DE536" s="568"/>
      <c r="DF536" s="568"/>
      <c r="DG536" s="568"/>
      <c r="DH536" s="568"/>
      <c r="DI536" s="567"/>
    </row>
    <row r="537" spans="1:113" ht="12" hidden="1" customHeight="1" outlineLevel="1">
      <c r="A537" s="219"/>
      <c r="B537" s="491"/>
      <c r="C537" s="79"/>
      <c r="D537" s="6"/>
      <c r="E537" s="79"/>
      <c r="F537" s="6"/>
      <c r="G537" s="79"/>
      <c r="H537" s="6"/>
      <c r="I537" s="79"/>
      <c r="J537" s="6"/>
      <c r="K537" s="79"/>
      <c r="L537" s="6"/>
      <c r="M537" s="79"/>
      <c r="N537" s="6"/>
      <c r="O537" s="79"/>
      <c r="P537" s="6"/>
      <c r="Q537" s="79"/>
      <c r="R537" s="6"/>
      <c r="S537" s="6"/>
      <c r="T537" s="6"/>
      <c r="U537" s="6"/>
      <c r="V537" s="79"/>
      <c r="W537" s="6"/>
      <c r="X537" s="6"/>
      <c r="Y537" s="6"/>
      <c r="Z537" s="6"/>
      <c r="AA537" s="79"/>
      <c r="AB537" s="79"/>
      <c r="AC537" s="6"/>
      <c r="AD537" s="6"/>
      <c r="AE537" s="6"/>
      <c r="AF537" s="6"/>
      <c r="AG537" s="79"/>
      <c r="AH537" s="6"/>
      <c r="AI537" s="6"/>
      <c r="AJ537" s="6"/>
      <c r="AK537" s="6"/>
      <c r="AL537" s="79"/>
      <c r="AM537" s="6"/>
      <c r="AN537" s="6"/>
      <c r="AO537" s="6"/>
      <c r="AP537" s="6"/>
      <c r="AQ537" s="79"/>
      <c r="AR537" s="6"/>
      <c r="AS537" s="6"/>
      <c r="AT537" s="6"/>
      <c r="AU537" s="6"/>
      <c r="AV537" s="79"/>
      <c r="AW537" s="6"/>
      <c r="AX537" s="6"/>
      <c r="AY537" s="6"/>
      <c r="AZ537" s="6"/>
      <c r="BA537" s="79"/>
      <c r="BB537" s="6"/>
      <c r="BC537" s="6"/>
      <c r="BD537" s="6"/>
      <c r="BE537" s="6"/>
      <c r="BF537" s="79"/>
      <c r="BG537" s="6"/>
      <c r="BH537" s="6"/>
      <c r="BI537" s="6"/>
      <c r="BJ537" s="6"/>
      <c r="BK537" s="79"/>
      <c r="BL537" s="6"/>
      <c r="BM537" s="6"/>
      <c r="BN537" s="6"/>
      <c r="BO537" s="6"/>
      <c r="BP537" s="79"/>
      <c r="BQ537" s="6"/>
      <c r="BR537" s="6"/>
      <c r="BS537" s="6"/>
      <c r="BT537" s="6"/>
      <c r="BU537" s="79"/>
      <c r="BV537" s="6"/>
      <c r="BW537" s="6"/>
      <c r="BX537" s="6"/>
      <c r="BY537" s="6"/>
      <c r="BZ537" s="79"/>
      <c r="CA537" s="6"/>
      <c r="CB537" s="6"/>
      <c r="CC537" s="6"/>
      <c r="CD537" s="6"/>
      <c r="CE537" s="79"/>
      <c r="CF537" s="6"/>
      <c r="CG537" s="6"/>
      <c r="CH537" s="6"/>
      <c r="CI537" s="6"/>
      <c r="CJ537" s="79"/>
      <c r="CK537" s="6"/>
      <c r="CL537" s="6"/>
      <c r="CM537" s="6"/>
      <c r="CN537" s="6"/>
      <c r="CO537" s="79"/>
      <c r="CP537" s="6"/>
      <c r="CQ537" s="6"/>
      <c r="CS537" s="6"/>
      <c r="CT537" s="79"/>
      <c r="CU537" s="591"/>
      <c r="CV537" s="591"/>
      <c r="CW537" s="591"/>
      <c r="CX537" s="591"/>
      <c r="CY537" s="590"/>
      <c r="CZ537" s="591"/>
      <c r="DA537" s="591"/>
      <c r="DB537" s="6"/>
      <c r="DC537" s="6"/>
      <c r="DD537" s="79"/>
      <c r="DE537" s="591"/>
      <c r="DF537" s="591"/>
      <c r="DG537" s="6"/>
      <c r="DH537" s="6"/>
      <c r="DI537" s="79"/>
    </row>
    <row r="538" spans="1:113" ht="12" hidden="1" customHeight="1" outlineLevel="1">
      <c r="A538" s="219"/>
      <c r="B538" s="555" t="s">
        <v>388</v>
      </c>
      <c r="C538" s="79"/>
      <c r="D538" s="6"/>
      <c r="E538" s="79"/>
      <c r="F538" s="6"/>
      <c r="G538" s="79"/>
      <c r="H538" s="6"/>
      <c r="I538" s="79"/>
      <c r="J538" s="6"/>
      <c r="K538" s="79"/>
      <c r="L538" s="6"/>
      <c r="M538" s="79"/>
      <c r="N538" s="6"/>
      <c r="O538" s="79"/>
      <c r="P538" s="6"/>
      <c r="Q538" s="79"/>
      <c r="R538" s="6"/>
      <c r="S538" s="6"/>
      <c r="T538" s="6"/>
      <c r="U538" s="6"/>
      <c r="V538" s="79"/>
      <c r="W538" s="6"/>
      <c r="X538" s="6"/>
      <c r="Y538" s="6"/>
      <c r="Z538" s="6"/>
      <c r="AA538" s="79"/>
      <c r="AB538" s="79"/>
      <c r="AC538" s="6"/>
      <c r="AD538" s="6"/>
      <c r="AE538" s="6"/>
      <c r="AF538" s="6"/>
      <c r="AG538" s="79"/>
      <c r="AH538" s="6"/>
      <c r="AI538" s="6"/>
      <c r="AJ538" s="6"/>
      <c r="AK538" s="6"/>
      <c r="AL538" s="79"/>
      <c r="AM538" s="6"/>
      <c r="AN538" s="6"/>
      <c r="AO538" s="6"/>
      <c r="AP538" s="6"/>
      <c r="AQ538" s="79"/>
      <c r="AR538" s="6"/>
      <c r="AS538" s="6"/>
      <c r="AT538" s="6"/>
      <c r="AU538" s="6"/>
      <c r="AV538" s="79"/>
      <c r="AW538" s="6"/>
      <c r="AX538" s="6"/>
      <c r="AY538" s="6"/>
      <c r="AZ538" s="6"/>
      <c r="BA538" s="79"/>
      <c r="BB538" s="6"/>
      <c r="BC538" s="6"/>
      <c r="BD538" s="6"/>
      <c r="BE538" s="6"/>
      <c r="BF538" s="79"/>
      <c r="BG538" s="6"/>
      <c r="BH538" s="6"/>
      <c r="BI538" s="6"/>
      <c r="BJ538" s="6"/>
      <c r="BK538" s="79"/>
      <c r="BL538" s="6"/>
      <c r="BM538" s="6"/>
      <c r="BN538" s="6"/>
      <c r="BO538" s="6"/>
      <c r="BP538" s="79"/>
      <c r="BQ538" s="6"/>
      <c r="BR538" s="6"/>
      <c r="BS538" s="6"/>
      <c r="BT538" s="6"/>
      <c r="BU538" s="79"/>
      <c r="BV538" s="6"/>
      <c r="BW538" s="6"/>
      <c r="BX538" s="6"/>
      <c r="BY538" s="6"/>
      <c r="BZ538" s="79"/>
      <c r="CA538" s="6"/>
      <c r="CB538" s="6"/>
      <c r="CC538" s="6"/>
      <c r="CD538" s="6"/>
      <c r="CE538" s="36">
        <v>-138</v>
      </c>
      <c r="CF538" s="43"/>
      <c r="CG538" s="43"/>
      <c r="CH538" s="43"/>
      <c r="CI538" s="43"/>
      <c r="CJ538" s="36">
        <v>-140</v>
      </c>
      <c r="CK538" s="43">
        <v>-35</v>
      </c>
      <c r="CL538" s="43">
        <v>-43</v>
      </c>
      <c r="CM538" s="43">
        <v>-40</v>
      </c>
      <c r="CN538" s="43">
        <f>CO538-CM538-CL538-CK538</f>
        <v>-38</v>
      </c>
      <c r="CO538" s="36">
        <v>-156</v>
      </c>
      <c r="CP538" s="43">
        <v>-33</v>
      </c>
      <c r="CQ538" s="43">
        <v>-24</v>
      </c>
      <c r="CR538" s="43">
        <v>-17</v>
      </c>
      <c r="CS538" s="43">
        <f>CT538-CR538-CQ538-CP538</f>
        <v>-21</v>
      </c>
      <c r="CT538" s="36">
        <v>-95</v>
      </c>
      <c r="CU538" s="43"/>
      <c r="CV538" s="43"/>
      <c r="CW538" s="43"/>
      <c r="CX538" s="43"/>
      <c r="CY538" s="36"/>
      <c r="CZ538" s="43"/>
      <c r="DA538" s="43"/>
      <c r="DB538" s="43"/>
      <c r="DC538" s="43"/>
      <c r="DD538" s="36"/>
      <c r="DE538" s="43"/>
      <c r="DF538" s="43"/>
      <c r="DG538" s="43"/>
      <c r="DH538" s="43"/>
      <c r="DI538" s="36"/>
    </row>
    <row r="539" spans="1:113" ht="12" hidden="1" customHeight="1" outlineLevel="1">
      <c r="A539" s="219"/>
      <c r="B539" s="597" t="s">
        <v>348</v>
      </c>
      <c r="C539" s="79"/>
      <c r="D539" s="6"/>
      <c r="E539" s="79"/>
      <c r="F539" s="6"/>
      <c r="G539" s="79"/>
      <c r="H539" s="6"/>
      <c r="I539" s="79"/>
      <c r="J539" s="6"/>
      <c r="K539" s="79"/>
      <c r="L539" s="6"/>
      <c r="M539" s="79"/>
      <c r="N539" s="6"/>
      <c r="O539" s="79"/>
      <c r="P539" s="6"/>
      <c r="Q539" s="79"/>
      <c r="R539" s="6"/>
      <c r="S539" s="6"/>
      <c r="T539" s="6"/>
      <c r="U539" s="6"/>
      <c r="V539" s="79"/>
      <c r="W539" s="6"/>
      <c r="X539" s="6"/>
      <c r="Y539" s="6"/>
      <c r="Z539" s="6"/>
      <c r="AA539" s="79"/>
      <c r="AB539" s="79"/>
      <c r="AC539" s="6"/>
      <c r="AD539" s="6"/>
      <c r="AE539" s="6"/>
      <c r="AF539" s="6"/>
      <c r="AG539" s="79"/>
      <c r="AH539" s="6"/>
      <c r="AI539" s="6"/>
      <c r="AJ539" s="6"/>
      <c r="AK539" s="6"/>
      <c r="AL539" s="79"/>
      <c r="AM539" s="6"/>
      <c r="AN539" s="6"/>
      <c r="AO539" s="6"/>
      <c r="AP539" s="6"/>
      <c r="AQ539" s="79"/>
      <c r="AR539" s="6"/>
      <c r="AS539" s="6"/>
      <c r="AT539" s="6"/>
      <c r="AU539" s="6"/>
      <c r="AV539" s="79"/>
      <c r="AW539" s="6"/>
      <c r="AX539" s="6"/>
      <c r="AY539" s="6"/>
      <c r="AZ539" s="6"/>
      <c r="BA539" s="79"/>
      <c r="BB539" s="6"/>
      <c r="BC539" s="6"/>
      <c r="BD539" s="6"/>
      <c r="BE539" s="6"/>
      <c r="BF539" s="79"/>
      <c r="BG539" s="6"/>
      <c r="BH539" s="6"/>
      <c r="BI539" s="6"/>
      <c r="BJ539" s="6"/>
      <c r="BK539" s="79"/>
      <c r="BL539" s="6"/>
      <c r="BM539" s="6"/>
      <c r="BN539" s="6"/>
      <c r="BO539" s="6"/>
      <c r="BP539" s="79"/>
      <c r="BQ539" s="6"/>
      <c r="BR539" s="6"/>
      <c r="BS539" s="6"/>
      <c r="BT539" s="6"/>
      <c r="BU539" s="79"/>
      <c r="BV539" s="6"/>
      <c r="BW539" s="6"/>
      <c r="BX539" s="6"/>
      <c r="BY539" s="6"/>
      <c r="BZ539" s="79"/>
      <c r="CA539" s="6"/>
      <c r="CB539" s="6"/>
      <c r="CC539" s="6"/>
      <c r="CD539" s="6"/>
      <c r="CE539" s="232" t="s">
        <v>126</v>
      </c>
      <c r="CF539" s="27"/>
      <c r="CG539" s="27"/>
      <c r="CH539" s="27"/>
      <c r="CI539" s="27"/>
      <c r="CJ539" s="112">
        <f>CJ538/CE538-1</f>
        <v>1.449275362318847E-2</v>
      </c>
      <c r="CK539" s="565" t="s">
        <v>126</v>
      </c>
      <c r="CL539" s="565" t="s">
        <v>126</v>
      </c>
      <c r="CM539" s="565" t="s">
        <v>126</v>
      </c>
      <c r="CN539" s="213" t="s">
        <v>126</v>
      </c>
      <c r="CO539" s="112">
        <f t="shared" ref="CO539:CT539" si="1610">CO538/CJ538-1</f>
        <v>0.11428571428571432</v>
      </c>
      <c r="CP539" s="27">
        <f t="shared" si="1610"/>
        <v>-5.7142857142857162E-2</v>
      </c>
      <c r="CQ539" s="27">
        <f t="shared" si="1610"/>
        <v>-0.44186046511627908</v>
      </c>
      <c r="CR539" s="27">
        <f t="shared" si="1610"/>
        <v>-0.57499999999999996</v>
      </c>
      <c r="CS539" s="27">
        <f t="shared" si="1610"/>
        <v>-0.44736842105263153</v>
      </c>
      <c r="CT539" s="112">
        <f t="shared" si="1610"/>
        <v>-0.39102564102564108</v>
      </c>
      <c r="CU539" s="27"/>
      <c r="CV539" s="27"/>
      <c r="CW539" s="27"/>
      <c r="CX539" s="27"/>
      <c r="CY539" s="112"/>
      <c r="CZ539" s="27"/>
      <c r="DA539" s="27"/>
      <c r="DB539" s="27"/>
      <c r="DC539" s="27"/>
      <c r="DD539" s="112"/>
      <c r="DE539" s="27"/>
      <c r="DF539" s="27"/>
      <c r="DG539" s="27"/>
      <c r="DH539" s="27"/>
      <c r="DI539" s="112"/>
    </row>
    <row r="540" spans="1:113" ht="12" hidden="1" customHeight="1" outlineLevel="1">
      <c r="A540" s="219"/>
      <c r="B540" s="597" t="s">
        <v>217</v>
      </c>
      <c r="C540" s="79"/>
      <c r="D540" s="6"/>
      <c r="E540" s="79"/>
      <c r="F540" s="6"/>
      <c r="G540" s="79"/>
      <c r="H540" s="6"/>
      <c r="I540" s="79"/>
      <c r="J540" s="6"/>
      <c r="K540" s="79"/>
      <c r="L540" s="6"/>
      <c r="M540" s="79"/>
      <c r="N540" s="6"/>
      <c r="O540" s="79"/>
      <c r="P540" s="6"/>
      <c r="Q540" s="79"/>
      <c r="R540" s="6"/>
      <c r="S540" s="6"/>
      <c r="T540" s="6"/>
      <c r="U540" s="6"/>
      <c r="V540" s="79"/>
      <c r="W540" s="6"/>
      <c r="X540" s="6"/>
      <c r="Y540" s="6"/>
      <c r="Z540" s="6"/>
      <c r="AA540" s="79"/>
      <c r="AB540" s="79"/>
      <c r="AC540" s="6"/>
      <c r="AD540" s="6"/>
      <c r="AE540" s="6"/>
      <c r="AF540" s="6"/>
      <c r="AG540" s="79"/>
      <c r="AH540" s="6"/>
      <c r="AI540" s="6"/>
      <c r="AJ540" s="6"/>
      <c r="AK540" s="6"/>
      <c r="AL540" s="79"/>
      <c r="AM540" s="6"/>
      <c r="AN540" s="6"/>
      <c r="AO540" s="6"/>
      <c r="AP540" s="6"/>
      <c r="AQ540" s="79"/>
      <c r="AR540" s="6"/>
      <c r="AS540" s="6"/>
      <c r="AT540" s="6"/>
      <c r="AU540" s="6"/>
      <c r="AV540" s="79"/>
      <c r="AW540" s="6"/>
      <c r="AX540" s="6"/>
      <c r="AY540" s="6"/>
      <c r="AZ540" s="6"/>
      <c r="BA540" s="79"/>
      <c r="BB540" s="6"/>
      <c r="BC540" s="6"/>
      <c r="BD540" s="6"/>
      <c r="BE540" s="6"/>
      <c r="BF540" s="79"/>
      <c r="BG540" s="6"/>
      <c r="BH540" s="6"/>
      <c r="BI540" s="6"/>
      <c r="BJ540" s="6"/>
      <c r="BK540" s="79"/>
      <c r="BL540" s="6"/>
      <c r="BM540" s="6"/>
      <c r="BN540" s="6"/>
      <c r="BO540" s="6"/>
      <c r="BP540" s="79"/>
      <c r="BQ540" s="6"/>
      <c r="BR540" s="6"/>
      <c r="BS540" s="6"/>
      <c r="BT540" s="6"/>
      <c r="BU540" s="79"/>
      <c r="BV540" s="6"/>
      <c r="BW540" s="6"/>
      <c r="BX540" s="6"/>
      <c r="BY540" s="6"/>
      <c r="BZ540" s="79"/>
      <c r="CA540" s="6"/>
      <c r="CB540" s="6"/>
      <c r="CC540" s="6"/>
      <c r="CD540" s="6"/>
      <c r="CE540" s="112">
        <f>-CE538/CE$483</f>
        <v>5.6860321384425219E-2</v>
      </c>
      <c r="CF540" s="27"/>
      <c r="CG540" s="27"/>
      <c r="CH540" s="27"/>
      <c r="CI540" s="27"/>
      <c r="CJ540" s="112">
        <f>-CJ538/CJ$483</f>
        <v>6.7243035542747354E-2</v>
      </c>
      <c r="CK540" s="27">
        <f>-CK538/CK$483</f>
        <v>6.9860279441117765E-2</v>
      </c>
      <c r="CL540" s="27">
        <f>-CL538/CL$483</f>
        <v>0.10023310023310024</v>
      </c>
      <c r="CM540" s="27">
        <f>-CM538/CM$483</f>
        <v>9.8765432098765427E-2</v>
      </c>
      <c r="CN540" s="27">
        <f>-CN538/CN483</f>
        <v>0.10644257703081232</v>
      </c>
      <c r="CO540" s="112">
        <f>-CO538/CO$483</f>
        <v>9.2198581560283682E-2</v>
      </c>
      <c r="CP540" s="27">
        <f>-CP538/CP$483</f>
        <v>9.0163934426229511E-2</v>
      </c>
      <c r="CQ540" s="27">
        <f>-CQ538/CQ$483</f>
        <v>0.08</v>
      </c>
      <c r="CR540" s="27">
        <f>-CR538/CR$483</f>
        <v>6.4393939393939392E-2</v>
      </c>
      <c r="CS540" s="27">
        <f>-CS538/CS483</f>
        <v>8.6065573770491802E-2</v>
      </c>
      <c r="CT540" s="112">
        <f>-CT538/CT$483</f>
        <v>8.0919931856899482E-2</v>
      </c>
      <c r="CU540" s="27"/>
      <c r="CV540" s="27"/>
      <c r="CW540" s="27"/>
      <c r="CX540" s="27"/>
      <c r="CY540" s="112"/>
      <c r="CZ540" s="27"/>
      <c r="DA540" s="27"/>
      <c r="DB540" s="27"/>
      <c r="DC540" s="27"/>
      <c r="DD540" s="112"/>
      <c r="DE540" s="27"/>
      <c r="DF540" s="27"/>
      <c r="DG540" s="27"/>
      <c r="DH540" s="27"/>
      <c r="DI540" s="112"/>
    </row>
    <row r="541" spans="1:113" ht="12" hidden="1" customHeight="1" outlineLevel="1">
      <c r="A541" s="219"/>
      <c r="B541" s="597" t="s">
        <v>376</v>
      </c>
      <c r="C541" s="79"/>
      <c r="D541" s="6"/>
      <c r="E541" s="79"/>
      <c r="F541" s="6"/>
      <c r="G541" s="79"/>
      <c r="H541" s="6"/>
      <c r="I541" s="79"/>
      <c r="J541" s="6"/>
      <c r="K541" s="79"/>
      <c r="L541" s="6"/>
      <c r="M541" s="79"/>
      <c r="N541" s="6"/>
      <c r="O541" s="79"/>
      <c r="P541" s="6"/>
      <c r="Q541" s="79"/>
      <c r="R541" s="6"/>
      <c r="S541" s="6"/>
      <c r="T541" s="6"/>
      <c r="U541" s="6"/>
      <c r="V541" s="79"/>
      <c r="W541" s="6"/>
      <c r="X541" s="6"/>
      <c r="Y541" s="6"/>
      <c r="Z541" s="6"/>
      <c r="AA541" s="79"/>
      <c r="AB541" s="79"/>
      <c r="AC541" s="6"/>
      <c r="AD541" s="6"/>
      <c r="AE541" s="6"/>
      <c r="AF541" s="6"/>
      <c r="AG541" s="79"/>
      <c r="AH541" s="6"/>
      <c r="AI541" s="6"/>
      <c r="AJ541" s="6"/>
      <c r="AK541" s="6"/>
      <c r="AL541" s="79"/>
      <c r="AM541" s="6"/>
      <c r="AN541" s="6"/>
      <c r="AO541" s="6"/>
      <c r="AP541" s="6"/>
      <c r="AQ541" s="79"/>
      <c r="AR541" s="6"/>
      <c r="AS541" s="6"/>
      <c r="AT541" s="6"/>
      <c r="AU541" s="6"/>
      <c r="AV541" s="79"/>
      <c r="AW541" s="6"/>
      <c r="AX541" s="6"/>
      <c r="AY541" s="6"/>
      <c r="AZ541" s="6"/>
      <c r="BA541" s="79"/>
      <c r="BB541" s="6"/>
      <c r="BC541" s="6"/>
      <c r="BD541" s="6"/>
      <c r="BE541" s="6"/>
      <c r="BF541" s="79"/>
      <c r="BG541" s="6"/>
      <c r="BH541" s="6"/>
      <c r="BI541" s="6"/>
      <c r="BJ541" s="6"/>
      <c r="BK541" s="79"/>
      <c r="BL541" s="6"/>
      <c r="BM541" s="6"/>
      <c r="BN541" s="6"/>
      <c r="BO541" s="6"/>
      <c r="BP541" s="79"/>
      <c r="BQ541" s="6"/>
      <c r="BR541" s="6"/>
      <c r="BS541" s="6"/>
      <c r="BT541" s="6"/>
      <c r="BU541" s="79"/>
      <c r="BV541" s="6"/>
      <c r="BW541" s="6"/>
      <c r="BX541" s="6"/>
      <c r="BY541" s="6"/>
      <c r="BZ541" s="79"/>
      <c r="CA541" s="6"/>
      <c r="CB541" s="6"/>
      <c r="CC541" s="6"/>
      <c r="CD541" s="6"/>
      <c r="CE541" s="596" t="s">
        <v>126</v>
      </c>
      <c r="CF541" s="568"/>
      <c r="CG541" s="568"/>
      <c r="CH541" s="568"/>
      <c r="CI541" s="568"/>
      <c r="CJ541" s="567">
        <f>(CJ540-CE540)*100*100</f>
        <v>103.82714158322135</v>
      </c>
      <c r="CK541" s="565" t="s">
        <v>126</v>
      </c>
      <c r="CL541" s="565" t="s">
        <v>126</v>
      </c>
      <c r="CM541" s="565" t="s">
        <v>126</v>
      </c>
      <c r="CN541" s="213" t="s">
        <v>126</v>
      </c>
      <c r="CO541" s="567">
        <f t="shared" ref="CO541:CT541" si="1611">(CO540-CJ540)*100*100</f>
        <v>249.55546017536329</v>
      </c>
      <c r="CP541" s="568">
        <f t="shared" si="1611"/>
        <v>203.03654985111748</v>
      </c>
      <c r="CQ541" s="568">
        <f t="shared" si="1611"/>
        <v>-202.33100233100237</v>
      </c>
      <c r="CR541" s="568">
        <f t="shared" si="1611"/>
        <v>-343.71492704826034</v>
      </c>
      <c r="CS541" s="568">
        <f t="shared" si="1611"/>
        <v>-203.77003260320521</v>
      </c>
      <c r="CT541" s="567">
        <f t="shared" si="1611"/>
        <v>-112.78649703384201</v>
      </c>
      <c r="CU541" s="568"/>
      <c r="CV541" s="568"/>
      <c r="CW541" s="568"/>
      <c r="CX541" s="568"/>
      <c r="CY541" s="567"/>
      <c r="CZ541" s="568"/>
      <c r="DA541" s="568"/>
      <c r="DB541" s="568"/>
      <c r="DC541" s="568"/>
      <c r="DD541" s="567"/>
      <c r="DE541" s="568"/>
      <c r="DF541" s="568"/>
      <c r="DG541" s="568"/>
      <c r="DH541" s="568"/>
      <c r="DI541" s="567"/>
    </row>
    <row r="542" spans="1:113" ht="12" hidden="1" customHeight="1" outlineLevel="1">
      <c r="A542" s="219"/>
      <c r="B542" s="555" t="s">
        <v>389</v>
      </c>
      <c r="C542" s="79"/>
      <c r="D542" s="6"/>
      <c r="E542" s="79"/>
      <c r="F542" s="6"/>
      <c r="G542" s="79"/>
      <c r="H542" s="6"/>
      <c r="I542" s="79"/>
      <c r="J542" s="6"/>
      <c r="K542" s="79"/>
      <c r="L542" s="6"/>
      <c r="M542" s="79"/>
      <c r="N542" s="6"/>
      <c r="O542" s="79"/>
      <c r="P542" s="6"/>
      <c r="Q542" s="79"/>
      <c r="R542" s="6"/>
      <c r="S542" s="6"/>
      <c r="T542" s="6"/>
      <c r="U542" s="6"/>
      <c r="V542" s="79"/>
      <c r="W542" s="6"/>
      <c r="X542" s="6"/>
      <c r="Y542" s="6"/>
      <c r="Z542" s="6"/>
      <c r="AA542" s="79"/>
      <c r="AB542" s="79"/>
      <c r="AC542" s="6"/>
      <c r="AD542" s="6"/>
      <c r="AE542" s="6"/>
      <c r="AF542" s="6"/>
      <c r="AG542" s="79"/>
      <c r="AH542" s="6"/>
      <c r="AI542" s="6"/>
      <c r="AJ542" s="6"/>
      <c r="AK542" s="6"/>
      <c r="AL542" s="79"/>
      <c r="AM542" s="6"/>
      <c r="AN542" s="6"/>
      <c r="AO542" s="6"/>
      <c r="AP542" s="6"/>
      <c r="AQ542" s="79"/>
      <c r="AR542" s="6"/>
      <c r="AS542" s="6"/>
      <c r="AT542" s="6"/>
      <c r="AU542" s="6"/>
      <c r="AV542" s="79"/>
      <c r="AW542" s="6"/>
      <c r="AX542" s="6"/>
      <c r="AY542" s="6"/>
      <c r="AZ542" s="6"/>
      <c r="BA542" s="79"/>
      <c r="BB542" s="6"/>
      <c r="BC542" s="6"/>
      <c r="BD542" s="6"/>
      <c r="BE542" s="6"/>
      <c r="BF542" s="79"/>
      <c r="BG542" s="6"/>
      <c r="BH542" s="6"/>
      <c r="BI542" s="6"/>
      <c r="BJ542" s="6"/>
      <c r="BK542" s="79"/>
      <c r="BL542" s="6"/>
      <c r="BM542" s="6"/>
      <c r="BN542" s="6"/>
      <c r="BO542" s="6"/>
      <c r="BP542" s="79"/>
      <c r="BQ542" s="6"/>
      <c r="BR542" s="6"/>
      <c r="BS542" s="6"/>
      <c r="BT542" s="6"/>
      <c r="BU542" s="79"/>
      <c r="BV542" s="6"/>
      <c r="BW542" s="6"/>
      <c r="BX542" s="6"/>
      <c r="BY542" s="6"/>
      <c r="BZ542" s="79"/>
      <c r="CA542" s="6"/>
      <c r="CB542" s="6"/>
      <c r="CC542" s="6"/>
      <c r="CD542" s="6"/>
      <c r="CE542" s="36">
        <v>-499</v>
      </c>
      <c r="CF542" s="43"/>
      <c r="CG542" s="43"/>
      <c r="CH542" s="43"/>
      <c r="CI542" s="43"/>
      <c r="CJ542" s="36">
        <v>-485</v>
      </c>
      <c r="CK542" s="43">
        <v>-113</v>
      </c>
      <c r="CL542" s="43">
        <v>-111</v>
      </c>
      <c r="CM542" s="43">
        <v>-108</v>
      </c>
      <c r="CN542" s="43">
        <f>CO542-CM542-CL542-CK542</f>
        <v>-98</v>
      </c>
      <c r="CO542" s="36">
        <v>-430</v>
      </c>
      <c r="CP542" s="43">
        <v>-102</v>
      </c>
      <c r="CQ542" s="43">
        <v>-104</v>
      </c>
      <c r="CR542" s="43">
        <v>-120</v>
      </c>
      <c r="CS542" s="43">
        <f>CT542-CR542-CQ542-CP542</f>
        <v>-76</v>
      </c>
      <c r="CT542" s="36">
        <v>-402</v>
      </c>
      <c r="CU542" s="43"/>
      <c r="CV542" s="43"/>
      <c r="CW542" s="43"/>
      <c r="CX542" s="43"/>
      <c r="CY542" s="36"/>
      <c r="CZ542" s="43"/>
      <c r="DA542" s="43"/>
      <c r="DB542" s="43"/>
      <c r="DC542" s="43"/>
      <c r="DD542" s="36"/>
      <c r="DE542" s="43"/>
      <c r="DF542" s="43"/>
      <c r="DG542" s="43"/>
      <c r="DH542" s="43"/>
      <c r="DI542" s="36"/>
    </row>
    <row r="543" spans="1:113" ht="12" hidden="1" customHeight="1" outlineLevel="1">
      <c r="A543" s="219"/>
      <c r="B543" s="597" t="s">
        <v>348</v>
      </c>
      <c r="C543" s="79"/>
      <c r="D543" s="6"/>
      <c r="E543" s="79"/>
      <c r="F543" s="6"/>
      <c r="G543" s="79"/>
      <c r="H543" s="6"/>
      <c r="I543" s="79"/>
      <c r="J543" s="6"/>
      <c r="K543" s="79"/>
      <c r="L543" s="6"/>
      <c r="M543" s="79"/>
      <c r="N543" s="6"/>
      <c r="O543" s="79"/>
      <c r="P543" s="6"/>
      <c r="Q543" s="79"/>
      <c r="R543" s="6"/>
      <c r="S543" s="6"/>
      <c r="T543" s="6"/>
      <c r="U543" s="6"/>
      <c r="V543" s="79"/>
      <c r="W543" s="6"/>
      <c r="X543" s="6"/>
      <c r="Y543" s="6"/>
      <c r="Z543" s="6"/>
      <c r="AA543" s="79"/>
      <c r="AB543" s="79"/>
      <c r="AC543" s="6"/>
      <c r="AD543" s="6"/>
      <c r="AE543" s="6"/>
      <c r="AF543" s="6"/>
      <c r="AG543" s="79"/>
      <c r="AH543" s="6"/>
      <c r="AI543" s="6"/>
      <c r="AJ543" s="6"/>
      <c r="AK543" s="6"/>
      <c r="AL543" s="79"/>
      <c r="AM543" s="6"/>
      <c r="AN543" s="6"/>
      <c r="AO543" s="6"/>
      <c r="AP543" s="6"/>
      <c r="AQ543" s="79"/>
      <c r="AR543" s="6"/>
      <c r="AS543" s="6"/>
      <c r="AT543" s="6"/>
      <c r="AU543" s="6"/>
      <c r="AV543" s="79"/>
      <c r="AW543" s="6"/>
      <c r="AX543" s="6"/>
      <c r="AY543" s="6"/>
      <c r="AZ543" s="6"/>
      <c r="BA543" s="79"/>
      <c r="BB543" s="6"/>
      <c r="BC543" s="6"/>
      <c r="BD543" s="6"/>
      <c r="BE543" s="6"/>
      <c r="BF543" s="79"/>
      <c r="BG543" s="6"/>
      <c r="BH543" s="6"/>
      <c r="BI543" s="6"/>
      <c r="BJ543" s="6"/>
      <c r="BK543" s="79"/>
      <c r="BL543" s="6"/>
      <c r="BM543" s="6"/>
      <c r="BN543" s="6"/>
      <c r="BO543" s="6"/>
      <c r="BP543" s="79"/>
      <c r="BQ543" s="6"/>
      <c r="BR543" s="6"/>
      <c r="BS543" s="6"/>
      <c r="BT543" s="6"/>
      <c r="BU543" s="79"/>
      <c r="BV543" s="6"/>
      <c r="BW543" s="6"/>
      <c r="BX543" s="6"/>
      <c r="BY543" s="6"/>
      <c r="BZ543" s="79"/>
      <c r="CA543" s="6"/>
      <c r="CB543" s="6"/>
      <c r="CC543" s="6"/>
      <c r="CD543" s="6"/>
      <c r="CE543" s="232" t="s">
        <v>126</v>
      </c>
      <c r="CF543" s="27"/>
      <c r="CG543" s="27"/>
      <c r="CH543" s="27"/>
      <c r="CI543" s="27"/>
      <c r="CJ543" s="112">
        <f>CJ542/CE542-1</f>
        <v>-2.8056112224448926E-2</v>
      </c>
      <c r="CK543" s="565" t="s">
        <v>126</v>
      </c>
      <c r="CL543" s="565" t="s">
        <v>126</v>
      </c>
      <c r="CM543" s="565" t="s">
        <v>126</v>
      </c>
      <c r="CN543" s="213" t="s">
        <v>126</v>
      </c>
      <c r="CO543" s="112">
        <f t="shared" ref="CO543:CT543" si="1612">CO542/CJ542-1</f>
        <v>-0.11340206185567014</v>
      </c>
      <c r="CP543" s="27">
        <f t="shared" si="1612"/>
        <v>-9.7345132743362872E-2</v>
      </c>
      <c r="CQ543" s="27">
        <f t="shared" si="1612"/>
        <v>-6.3063063063063085E-2</v>
      </c>
      <c r="CR543" s="27">
        <f t="shared" si="1612"/>
        <v>0.11111111111111116</v>
      </c>
      <c r="CS543" s="27">
        <f t="shared" si="1612"/>
        <v>-0.22448979591836737</v>
      </c>
      <c r="CT543" s="112">
        <f t="shared" si="1612"/>
        <v>-6.5116279069767469E-2</v>
      </c>
      <c r="CU543" s="27"/>
      <c r="CV543" s="27"/>
      <c r="CW543" s="27"/>
      <c r="CX543" s="27"/>
      <c r="CY543" s="112"/>
      <c r="CZ543" s="27"/>
      <c r="DA543" s="27"/>
      <c r="DB543" s="27"/>
      <c r="DC543" s="27"/>
      <c r="DD543" s="112"/>
      <c r="DE543" s="27"/>
      <c r="DF543" s="27"/>
      <c r="DG543" s="27"/>
      <c r="DH543" s="27"/>
      <c r="DI543" s="112"/>
    </row>
    <row r="544" spans="1:113" ht="12" hidden="1" customHeight="1" outlineLevel="1">
      <c r="A544" s="219"/>
      <c r="B544" s="597" t="s">
        <v>217</v>
      </c>
      <c r="C544" s="79"/>
      <c r="D544" s="6"/>
      <c r="E544" s="79"/>
      <c r="F544" s="6"/>
      <c r="G544" s="79"/>
      <c r="H544" s="6"/>
      <c r="I544" s="79"/>
      <c r="J544" s="6"/>
      <c r="K544" s="79"/>
      <c r="L544" s="6"/>
      <c r="M544" s="79"/>
      <c r="N544" s="6"/>
      <c r="O544" s="79"/>
      <c r="P544" s="6"/>
      <c r="Q544" s="79"/>
      <c r="R544" s="6"/>
      <c r="S544" s="6"/>
      <c r="T544" s="6"/>
      <c r="U544" s="6"/>
      <c r="V544" s="79"/>
      <c r="W544" s="6"/>
      <c r="X544" s="6"/>
      <c r="Y544" s="6"/>
      <c r="Z544" s="6"/>
      <c r="AA544" s="79"/>
      <c r="AB544" s="79"/>
      <c r="AC544" s="6"/>
      <c r="AD544" s="6"/>
      <c r="AE544" s="6"/>
      <c r="AF544" s="6"/>
      <c r="AG544" s="79"/>
      <c r="AH544" s="6"/>
      <c r="AI544" s="6"/>
      <c r="AJ544" s="6"/>
      <c r="AK544" s="6"/>
      <c r="AL544" s="79"/>
      <c r="AM544" s="6"/>
      <c r="AN544" s="6"/>
      <c r="AO544" s="6"/>
      <c r="AP544" s="6"/>
      <c r="AQ544" s="79"/>
      <c r="AR544" s="6"/>
      <c r="AS544" s="6"/>
      <c r="AT544" s="6"/>
      <c r="AU544" s="6"/>
      <c r="AV544" s="79"/>
      <c r="AW544" s="6"/>
      <c r="AX544" s="6"/>
      <c r="AY544" s="6"/>
      <c r="AZ544" s="6"/>
      <c r="BA544" s="79"/>
      <c r="BB544" s="6"/>
      <c r="BC544" s="6"/>
      <c r="BD544" s="6"/>
      <c r="BE544" s="6"/>
      <c r="BF544" s="79"/>
      <c r="BG544" s="6"/>
      <c r="BH544" s="6"/>
      <c r="BI544" s="6"/>
      <c r="BJ544" s="6"/>
      <c r="BK544" s="79"/>
      <c r="BL544" s="6"/>
      <c r="BM544" s="6"/>
      <c r="BN544" s="6"/>
      <c r="BO544" s="6"/>
      <c r="BP544" s="79"/>
      <c r="BQ544" s="6"/>
      <c r="BR544" s="6"/>
      <c r="BS544" s="6"/>
      <c r="BT544" s="6"/>
      <c r="BU544" s="79"/>
      <c r="BV544" s="6"/>
      <c r="BW544" s="6"/>
      <c r="BX544" s="6"/>
      <c r="BY544" s="6"/>
      <c r="BZ544" s="79"/>
      <c r="CA544" s="6"/>
      <c r="CB544" s="6"/>
      <c r="CC544" s="6"/>
      <c r="CD544" s="6"/>
      <c r="CE544" s="112">
        <f>-CE542/CE$483</f>
        <v>0.20560362587556655</v>
      </c>
      <c r="CF544" s="27"/>
      <c r="CG544" s="27"/>
      <c r="CH544" s="27"/>
      <c r="CI544" s="27"/>
      <c r="CJ544" s="112">
        <f>-CJ542/CJ$483</f>
        <v>0.23294908741594619</v>
      </c>
      <c r="CK544" s="27">
        <f>-CK542/CK$483</f>
        <v>0.22554890219560877</v>
      </c>
      <c r="CL544" s="27">
        <f>-CL542/CL$483</f>
        <v>0.25874125874125875</v>
      </c>
      <c r="CM544" s="27">
        <f>-CM542/CM$483</f>
        <v>0.26666666666666666</v>
      </c>
      <c r="CN544" s="27">
        <f>-CN542/CN483</f>
        <v>0.27450980392156865</v>
      </c>
      <c r="CO544" s="112">
        <f>-CO542/CO$483</f>
        <v>0.25413711583924348</v>
      </c>
      <c r="CP544" s="27">
        <f>-CP542/CP$483</f>
        <v>0.27868852459016391</v>
      </c>
      <c r="CQ544" s="27">
        <f>-CQ542/CQ$483</f>
        <v>0.34666666666666668</v>
      </c>
      <c r="CR544" s="27">
        <f>-CR542/CR$483</f>
        <v>0.45454545454545453</v>
      </c>
      <c r="CS544" s="27">
        <f>-CS542/CS483</f>
        <v>0.31147540983606559</v>
      </c>
      <c r="CT544" s="112">
        <f>-CT542/CT$483</f>
        <v>0.34241908006814309</v>
      </c>
      <c r="CU544" s="27"/>
      <c r="CV544" s="27"/>
      <c r="CW544" s="27"/>
      <c r="CX544" s="27"/>
      <c r="CY544" s="112"/>
      <c r="CZ544" s="27"/>
      <c r="DA544" s="27"/>
      <c r="DB544" s="27"/>
      <c r="DC544" s="27"/>
      <c r="DD544" s="112"/>
      <c r="DE544" s="27"/>
      <c r="DF544" s="27"/>
      <c r="DG544" s="27"/>
      <c r="DH544" s="27"/>
      <c r="DI544" s="112"/>
    </row>
    <row r="545" spans="1:113" ht="12" hidden="1" customHeight="1" outlineLevel="1">
      <c r="A545" s="219"/>
      <c r="B545" s="597" t="s">
        <v>376</v>
      </c>
      <c r="C545" s="79"/>
      <c r="D545" s="6"/>
      <c r="E545" s="79"/>
      <c r="F545" s="6"/>
      <c r="G545" s="79"/>
      <c r="H545" s="6"/>
      <c r="I545" s="79"/>
      <c r="J545" s="6"/>
      <c r="K545" s="79"/>
      <c r="L545" s="6"/>
      <c r="M545" s="79"/>
      <c r="N545" s="6"/>
      <c r="O545" s="79"/>
      <c r="P545" s="6"/>
      <c r="Q545" s="79"/>
      <c r="R545" s="6"/>
      <c r="S545" s="6"/>
      <c r="T545" s="6"/>
      <c r="U545" s="6"/>
      <c r="V545" s="79"/>
      <c r="W545" s="6"/>
      <c r="X545" s="6"/>
      <c r="Y545" s="6"/>
      <c r="Z545" s="6"/>
      <c r="AA545" s="79"/>
      <c r="AB545" s="79"/>
      <c r="AC545" s="6"/>
      <c r="AD545" s="6"/>
      <c r="AE545" s="6"/>
      <c r="AF545" s="6"/>
      <c r="AG545" s="79"/>
      <c r="AH545" s="6"/>
      <c r="AI545" s="6"/>
      <c r="AJ545" s="6"/>
      <c r="AK545" s="6"/>
      <c r="AL545" s="79"/>
      <c r="AM545" s="6"/>
      <c r="AN545" s="6"/>
      <c r="AO545" s="6"/>
      <c r="AP545" s="6"/>
      <c r="AQ545" s="79"/>
      <c r="AR545" s="6"/>
      <c r="AS545" s="6"/>
      <c r="AT545" s="6"/>
      <c r="AU545" s="6"/>
      <c r="AV545" s="79"/>
      <c r="AW545" s="6"/>
      <c r="AX545" s="6"/>
      <c r="AY545" s="6"/>
      <c r="AZ545" s="6"/>
      <c r="BA545" s="79"/>
      <c r="BB545" s="6"/>
      <c r="BC545" s="6"/>
      <c r="BD545" s="6"/>
      <c r="BE545" s="6"/>
      <c r="BF545" s="79"/>
      <c r="BG545" s="6"/>
      <c r="BH545" s="6"/>
      <c r="BI545" s="6"/>
      <c r="BJ545" s="6"/>
      <c r="BK545" s="79"/>
      <c r="BL545" s="6"/>
      <c r="BM545" s="6"/>
      <c r="BN545" s="6"/>
      <c r="BO545" s="6"/>
      <c r="BP545" s="79"/>
      <c r="BQ545" s="6"/>
      <c r="BR545" s="6"/>
      <c r="BS545" s="6"/>
      <c r="BT545" s="6"/>
      <c r="BU545" s="79"/>
      <c r="BV545" s="6"/>
      <c r="BW545" s="6"/>
      <c r="BX545" s="6"/>
      <c r="BY545" s="6"/>
      <c r="BZ545" s="79"/>
      <c r="CA545" s="6"/>
      <c r="CB545" s="6"/>
      <c r="CC545" s="6"/>
      <c r="CD545" s="6"/>
      <c r="CE545" s="596" t="s">
        <v>126</v>
      </c>
      <c r="CF545" s="568"/>
      <c r="CG545" s="568"/>
      <c r="CH545" s="568"/>
      <c r="CI545" s="568"/>
      <c r="CJ545" s="567">
        <f>(CJ544-CE544)*100*100</f>
        <v>273.45461540379642</v>
      </c>
      <c r="CK545" s="565" t="s">
        <v>126</v>
      </c>
      <c r="CL545" s="565" t="s">
        <v>126</v>
      </c>
      <c r="CM545" s="565" t="s">
        <v>126</v>
      </c>
      <c r="CN545" s="213" t="s">
        <v>126</v>
      </c>
      <c r="CO545" s="567">
        <f t="shared" ref="CO545:CT545" si="1613">(CO544-CJ544)*100*100</f>
        <v>211.88028423297283</v>
      </c>
      <c r="CP545" s="568">
        <f t="shared" si="1613"/>
        <v>531.39622394555136</v>
      </c>
      <c r="CQ545" s="568">
        <f t="shared" si="1613"/>
        <v>879.25407925407933</v>
      </c>
      <c r="CR545" s="568">
        <f t="shared" si="1613"/>
        <v>1878.7878787878785</v>
      </c>
      <c r="CS545" s="568">
        <f t="shared" si="1613"/>
        <v>369.65605914496933</v>
      </c>
      <c r="CT545" s="567">
        <f t="shared" si="1613"/>
        <v>882.81964228899619</v>
      </c>
      <c r="CU545" s="568"/>
      <c r="CV545" s="568"/>
      <c r="CW545" s="568"/>
      <c r="CX545" s="568"/>
      <c r="CY545" s="567"/>
      <c r="CZ545" s="568"/>
      <c r="DA545" s="568"/>
      <c r="DB545" s="568"/>
      <c r="DC545" s="568"/>
      <c r="DD545" s="567"/>
      <c r="DE545" s="568"/>
      <c r="DF545" s="568"/>
      <c r="DG545" s="568"/>
      <c r="DH545" s="568"/>
      <c r="DI545" s="567"/>
    </row>
    <row r="546" spans="1:113" ht="12" hidden="1" customHeight="1" outlineLevel="1">
      <c r="A546" s="219"/>
      <c r="B546" s="17" t="s">
        <v>390</v>
      </c>
      <c r="C546" s="79"/>
      <c r="D546" s="6"/>
      <c r="E546" s="79"/>
      <c r="F546" s="6"/>
      <c r="G546" s="79"/>
      <c r="H546" s="6"/>
      <c r="I546" s="79"/>
      <c r="J546" s="6"/>
      <c r="K546" s="79"/>
      <c r="L546" s="6"/>
      <c r="M546" s="79"/>
      <c r="N546" s="6"/>
      <c r="O546" s="79"/>
      <c r="P546" s="6"/>
      <c r="Q546" s="79"/>
      <c r="R546" s="6"/>
      <c r="S546" s="6"/>
      <c r="T546" s="6"/>
      <c r="U546" s="6"/>
      <c r="V546" s="79"/>
      <c r="W546" s="6"/>
      <c r="X546" s="6"/>
      <c r="Y546" s="6"/>
      <c r="Z546" s="6"/>
      <c r="AA546" s="79"/>
      <c r="AB546" s="79"/>
      <c r="AC546" s="6"/>
      <c r="AD546" s="6"/>
      <c r="AE546" s="6"/>
      <c r="AF546" s="6"/>
      <c r="AG546" s="79"/>
      <c r="AH546" s="6"/>
      <c r="AI546" s="6"/>
      <c r="AJ546" s="6"/>
      <c r="AK546" s="6"/>
      <c r="AL546" s="79"/>
      <c r="AM546" s="6"/>
      <c r="AN546" s="6"/>
      <c r="AO546" s="6"/>
      <c r="AP546" s="6"/>
      <c r="AQ546" s="79"/>
      <c r="AR546" s="6"/>
      <c r="AS546" s="6"/>
      <c r="AT546" s="6"/>
      <c r="AU546" s="6"/>
      <c r="AV546" s="79"/>
      <c r="AW546" s="6"/>
      <c r="AX546" s="6"/>
      <c r="AY546" s="6"/>
      <c r="AZ546" s="6"/>
      <c r="BA546" s="79"/>
      <c r="BB546" s="6"/>
      <c r="BC546" s="6"/>
      <c r="BD546" s="6"/>
      <c r="BE546" s="6"/>
      <c r="BF546" s="79"/>
      <c r="BG546" s="6"/>
      <c r="BH546" s="6"/>
      <c r="BI546" s="6"/>
      <c r="BJ546" s="6"/>
      <c r="BK546" s="79"/>
      <c r="BL546" s="6"/>
      <c r="BM546" s="6"/>
      <c r="BN546" s="6"/>
      <c r="BO546" s="6"/>
      <c r="BP546" s="79"/>
      <c r="BQ546" s="6"/>
      <c r="BR546" s="6"/>
      <c r="BS546" s="6"/>
      <c r="BT546" s="6"/>
      <c r="BU546" s="79"/>
      <c r="BV546" s="6"/>
      <c r="BW546" s="6"/>
      <c r="BX546" s="6"/>
      <c r="BY546" s="6"/>
      <c r="BZ546" s="79"/>
      <c r="CA546" s="6"/>
      <c r="CB546" s="6"/>
      <c r="CC546" s="6"/>
      <c r="CD546" s="6"/>
      <c r="CE546" s="36">
        <f>CE538+CE542</f>
        <v>-637</v>
      </c>
      <c r="CF546" s="43"/>
      <c r="CG546" s="43"/>
      <c r="CH546" s="43"/>
      <c r="CI546" s="43"/>
      <c r="CJ546" s="36">
        <f t="shared" ref="CJ546:CT546" si="1614">CJ538+CJ542</f>
        <v>-625</v>
      </c>
      <c r="CK546" s="43">
        <f t="shared" si="1614"/>
        <v>-148</v>
      </c>
      <c r="CL546" s="43">
        <f t="shared" si="1614"/>
        <v>-154</v>
      </c>
      <c r="CM546" s="43">
        <f t="shared" si="1614"/>
        <v>-148</v>
      </c>
      <c r="CN546" s="43">
        <f t="shared" si="1614"/>
        <v>-136</v>
      </c>
      <c r="CO546" s="36">
        <f t="shared" si="1614"/>
        <v>-586</v>
      </c>
      <c r="CP546" s="43">
        <f t="shared" si="1614"/>
        <v>-135</v>
      </c>
      <c r="CQ546" s="43">
        <f t="shared" si="1614"/>
        <v>-128</v>
      </c>
      <c r="CR546" s="43">
        <f t="shared" si="1614"/>
        <v>-137</v>
      </c>
      <c r="CS546" s="43">
        <f t="shared" si="1614"/>
        <v>-97</v>
      </c>
      <c r="CT546" s="36">
        <f t="shared" si="1614"/>
        <v>-497</v>
      </c>
      <c r="CU546" s="43"/>
      <c r="CV546" s="43"/>
      <c r="CW546" s="43"/>
      <c r="CX546" s="43"/>
      <c r="CY546" s="36"/>
      <c r="CZ546" s="43"/>
      <c r="DA546" s="43"/>
      <c r="DB546" s="43"/>
      <c r="DC546" s="43"/>
      <c r="DD546" s="36"/>
      <c r="DE546" s="43"/>
      <c r="DF546" s="43"/>
      <c r="DG546" s="43"/>
      <c r="DH546" s="43"/>
      <c r="DI546" s="36"/>
    </row>
    <row r="547" spans="1:113" ht="12" hidden="1" customHeight="1" outlineLevel="1">
      <c r="A547" s="219"/>
      <c r="B547" s="491" t="s">
        <v>348</v>
      </c>
      <c r="C547" s="79"/>
      <c r="D547" s="6"/>
      <c r="E547" s="79"/>
      <c r="F547" s="6"/>
      <c r="G547" s="79"/>
      <c r="H547" s="6"/>
      <c r="I547" s="79"/>
      <c r="J547" s="6"/>
      <c r="K547" s="79"/>
      <c r="L547" s="6"/>
      <c r="M547" s="79"/>
      <c r="N547" s="6"/>
      <c r="O547" s="79"/>
      <c r="P547" s="6"/>
      <c r="Q547" s="79"/>
      <c r="R547" s="6"/>
      <c r="S547" s="6"/>
      <c r="T547" s="6"/>
      <c r="U547" s="6"/>
      <c r="V547" s="79"/>
      <c r="W547" s="6"/>
      <c r="X547" s="6"/>
      <c r="Y547" s="6"/>
      <c r="Z547" s="6"/>
      <c r="AA547" s="79"/>
      <c r="AB547" s="79"/>
      <c r="AC547" s="6"/>
      <c r="AD547" s="6"/>
      <c r="AE547" s="6"/>
      <c r="AF547" s="6"/>
      <c r="AG547" s="79"/>
      <c r="AH547" s="6"/>
      <c r="AI547" s="6"/>
      <c r="AJ547" s="6"/>
      <c r="AK547" s="6"/>
      <c r="AL547" s="79"/>
      <c r="AM547" s="6"/>
      <c r="AN547" s="6"/>
      <c r="AO547" s="6"/>
      <c r="AP547" s="6"/>
      <c r="AQ547" s="79"/>
      <c r="AR547" s="6"/>
      <c r="AS547" s="6"/>
      <c r="AT547" s="6"/>
      <c r="AU547" s="6"/>
      <c r="AV547" s="79"/>
      <c r="AW547" s="6"/>
      <c r="AX547" s="6"/>
      <c r="AY547" s="6"/>
      <c r="AZ547" s="6"/>
      <c r="BA547" s="79"/>
      <c r="BB547" s="6"/>
      <c r="BC547" s="6"/>
      <c r="BD547" s="6"/>
      <c r="BE547" s="6"/>
      <c r="BF547" s="79"/>
      <c r="BG547" s="6"/>
      <c r="BH547" s="6"/>
      <c r="BI547" s="6"/>
      <c r="BJ547" s="6"/>
      <c r="BK547" s="79"/>
      <c r="BL547" s="6"/>
      <c r="BM547" s="6"/>
      <c r="BN547" s="6"/>
      <c r="BO547" s="6"/>
      <c r="BP547" s="79"/>
      <c r="BQ547" s="6"/>
      <c r="BR547" s="6"/>
      <c r="BS547" s="6"/>
      <c r="BT547" s="6"/>
      <c r="BU547" s="79"/>
      <c r="BV547" s="6"/>
      <c r="BW547" s="6"/>
      <c r="BX547" s="6"/>
      <c r="BY547" s="6"/>
      <c r="BZ547" s="79"/>
      <c r="CA547" s="6"/>
      <c r="CB547" s="6"/>
      <c r="CC547" s="6"/>
      <c r="CD547" s="6"/>
      <c r="CE547" s="232" t="s">
        <v>126</v>
      </c>
      <c r="CF547" s="27"/>
      <c r="CG547" s="27"/>
      <c r="CH547" s="27"/>
      <c r="CI547" s="27"/>
      <c r="CJ547" s="112">
        <f>CJ546/CE546-1</f>
        <v>-1.8838304552590279E-2</v>
      </c>
      <c r="CK547" s="565" t="s">
        <v>126</v>
      </c>
      <c r="CL547" s="565" t="s">
        <v>126</v>
      </c>
      <c r="CM547" s="565" t="s">
        <v>126</v>
      </c>
      <c r="CN547" s="213" t="s">
        <v>126</v>
      </c>
      <c r="CO547" s="112">
        <f t="shared" ref="CO547:CT547" si="1615">CO546/CJ546-1</f>
        <v>-6.2400000000000011E-2</v>
      </c>
      <c r="CP547" s="27">
        <f t="shared" si="1615"/>
        <v>-8.7837837837837829E-2</v>
      </c>
      <c r="CQ547" s="27">
        <f t="shared" si="1615"/>
        <v>-0.16883116883116878</v>
      </c>
      <c r="CR547" s="27">
        <f t="shared" si="1615"/>
        <v>-7.4324324324324342E-2</v>
      </c>
      <c r="CS547" s="27">
        <f t="shared" si="1615"/>
        <v>-0.28676470588235292</v>
      </c>
      <c r="CT547" s="112">
        <f t="shared" si="1615"/>
        <v>-0.15187713310580209</v>
      </c>
      <c r="CU547" s="27"/>
      <c r="CV547" s="27"/>
      <c r="CW547" s="27"/>
      <c r="CX547" s="27"/>
      <c r="CY547" s="112"/>
      <c r="CZ547" s="27"/>
      <c r="DA547" s="27"/>
      <c r="DB547" s="27"/>
      <c r="DC547" s="27"/>
      <c r="DD547" s="112"/>
      <c r="DE547" s="27"/>
      <c r="DF547" s="27"/>
      <c r="DG547" s="27"/>
      <c r="DH547" s="27"/>
      <c r="DI547" s="112"/>
    </row>
    <row r="548" spans="1:113" ht="12" hidden="1" customHeight="1" outlineLevel="1">
      <c r="A548" s="219"/>
      <c r="B548" s="491" t="s">
        <v>217</v>
      </c>
      <c r="C548" s="79"/>
      <c r="D548" s="6"/>
      <c r="E548" s="79"/>
      <c r="F548" s="6"/>
      <c r="G548" s="79"/>
      <c r="H548" s="6"/>
      <c r="I548" s="79"/>
      <c r="J548" s="6"/>
      <c r="K548" s="79"/>
      <c r="L548" s="6"/>
      <c r="M548" s="79"/>
      <c r="N548" s="6"/>
      <c r="O548" s="79"/>
      <c r="P548" s="6"/>
      <c r="Q548" s="79"/>
      <c r="R548" s="6"/>
      <c r="S548" s="6"/>
      <c r="T548" s="6"/>
      <c r="U548" s="6"/>
      <c r="V548" s="79"/>
      <c r="W548" s="6"/>
      <c r="X548" s="6"/>
      <c r="Y548" s="6"/>
      <c r="Z548" s="6"/>
      <c r="AA548" s="79"/>
      <c r="AB548" s="79"/>
      <c r="AC548" s="6"/>
      <c r="AD548" s="6"/>
      <c r="AE548" s="6"/>
      <c r="AF548" s="6"/>
      <c r="AG548" s="79"/>
      <c r="AH548" s="6"/>
      <c r="AI548" s="6"/>
      <c r="AJ548" s="6"/>
      <c r="AK548" s="6"/>
      <c r="AL548" s="79"/>
      <c r="AM548" s="6"/>
      <c r="AN548" s="6"/>
      <c r="AO548" s="6"/>
      <c r="AP548" s="6"/>
      <c r="AQ548" s="79"/>
      <c r="AR548" s="6"/>
      <c r="AS548" s="6"/>
      <c r="AT548" s="6"/>
      <c r="AU548" s="6"/>
      <c r="AV548" s="79"/>
      <c r="AW548" s="6"/>
      <c r="AX548" s="6"/>
      <c r="AY548" s="6"/>
      <c r="AZ548" s="6"/>
      <c r="BA548" s="79"/>
      <c r="BB548" s="6"/>
      <c r="BC548" s="6"/>
      <c r="BD548" s="6"/>
      <c r="BE548" s="6"/>
      <c r="BF548" s="79"/>
      <c r="BG548" s="6"/>
      <c r="BH548" s="6"/>
      <c r="BI548" s="6"/>
      <c r="BJ548" s="6"/>
      <c r="BK548" s="79"/>
      <c r="BL548" s="6"/>
      <c r="BM548" s="6"/>
      <c r="BN548" s="6"/>
      <c r="BO548" s="6"/>
      <c r="BP548" s="79"/>
      <c r="BQ548" s="6"/>
      <c r="BR548" s="6"/>
      <c r="BS548" s="6"/>
      <c r="BT548" s="6"/>
      <c r="BU548" s="79"/>
      <c r="BV548" s="6"/>
      <c r="BW548" s="6"/>
      <c r="BX548" s="6"/>
      <c r="BY548" s="6"/>
      <c r="BZ548" s="79"/>
      <c r="CA548" s="6"/>
      <c r="CB548" s="6"/>
      <c r="CC548" s="6"/>
      <c r="CD548" s="6"/>
      <c r="CE548" s="112">
        <f>-CE546/CE$483</f>
        <v>0.26246394725999178</v>
      </c>
      <c r="CF548" s="27"/>
      <c r="CG548" s="27"/>
      <c r="CH548" s="27"/>
      <c r="CI548" s="27"/>
      <c r="CJ548" s="112">
        <f>-CJ546/CJ$483</f>
        <v>0.30019212295869357</v>
      </c>
      <c r="CK548" s="27">
        <f>-CK546/CK$483</f>
        <v>0.29540918163672653</v>
      </c>
      <c r="CL548" s="27">
        <f>-CL546/CL$483</f>
        <v>0.35897435897435898</v>
      </c>
      <c r="CM548" s="27">
        <f>-CM546/CM$483</f>
        <v>0.36543209876543209</v>
      </c>
      <c r="CN548" s="27">
        <f>-CN546/CN483</f>
        <v>0.38095238095238093</v>
      </c>
      <c r="CO548" s="112">
        <f>-CO546/CO$483</f>
        <v>0.34633569739952719</v>
      </c>
      <c r="CP548" s="27">
        <f>-CP546/CP$483</f>
        <v>0.36885245901639346</v>
      </c>
      <c r="CQ548" s="27">
        <f>-CQ546/CQ$483</f>
        <v>0.42666666666666669</v>
      </c>
      <c r="CR548" s="27">
        <f>-CR546/CR$483</f>
        <v>0.51893939393939392</v>
      </c>
      <c r="CS548" s="27">
        <f>-CS546/CS483</f>
        <v>0.39754098360655737</v>
      </c>
      <c r="CT548" s="112">
        <f>-CT546/CT$483</f>
        <v>0.42333901192504259</v>
      </c>
      <c r="CU548" s="27"/>
      <c r="CV548" s="27"/>
      <c r="CW548" s="27"/>
      <c r="CX548" s="27"/>
      <c r="CY548" s="112"/>
      <c r="CZ548" s="27"/>
      <c r="DA548" s="27"/>
      <c r="DB548" s="27"/>
      <c r="DC548" s="27"/>
      <c r="DD548" s="112"/>
      <c r="DE548" s="27"/>
      <c r="DF548" s="27"/>
      <c r="DG548" s="27"/>
      <c r="DH548" s="27"/>
      <c r="DI548" s="112"/>
    </row>
    <row r="549" spans="1:113" ht="12" hidden="1" customHeight="1" outlineLevel="1">
      <c r="A549" s="219"/>
      <c r="B549" s="491" t="s">
        <v>376</v>
      </c>
      <c r="C549" s="79"/>
      <c r="D549" s="6"/>
      <c r="E549" s="79"/>
      <c r="F549" s="6"/>
      <c r="G549" s="79"/>
      <c r="H549" s="6"/>
      <c r="I549" s="79"/>
      <c r="J549" s="6"/>
      <c r="K549" s="79"/>
      <c r="L549" s="6"/>
      <c r="M549" s="79"/>
      <c r="N549" s="6"/>
      <c r="O549" s="79"/>
      <c r="P549" s="6"/>
      <c r="Q549" s="79"/>
      <c r="R549" s="6"/>
      <c r="S549" s="6"/>
      <c r="T549" s="6"/>
      <c r="U549" s="6"/>
      <c r="V549" s="79"/>
      <c r="W549" s="6"/>
      <c r="X549" s="6"/>
      <c r="Y549" s="6"/>
      <c r="Z549" s="6"/>
      <c r="AA549" s="79"/>
      <c r="AB549" s="79"/>
      <c r="AC549" s="6"/>
      <c r="AD549" s="6"/>
      <c r="AE549" s="6"/>
      <c r="AF549" s="6"/>
      <c r="AG549" s="79"/>
      <c r="AH549" s="6"/>
      <c r="AI549" s="6"/>
      <c r="AJ549" s="6"/>
      <c r="AK549" s="6"/>
      <c r="AL549" s="79"/>
      <c r="AM549" s="6"/>
      <c r="AN549" s="6"/>
      <c r="AO549" s="6"/>
      <c r="AP549" s="6"/>
      <c r="AQ549" s="79"/>
      <c r="AR549" s="6"/>
      <c r="AS549" s="6"/>
      <c r="AT549" s="6"/>
      <c r="AU549" s="6"/>
      <c r="AV549" s="79"/>
      <c r="AW549" s="6"/>
      <c r="AX549" s="6"/>
      <c r="AY549" s="6"/>
      <c r="AZ549" s="6"/>
      <c r="BA549" s="79"/>
      <c r="BB549" s="6"/>
      <c r="BC549" s="6"/>
      <c r="BD549" s="6"/>
      <c r="BE549" s="6"/>
      <c r="BF549" s="79"/>
      <c r="BG549" s="6"/>
      <c r="BH549" s="6"/>
      <c r="BI549" s="6"/>
      <c r="BJ549" s="6"/>
      <c r="BK549" s="79"/>
      <c r="BL549" s="6"/>
      <c r="BM549" s="6"/>
      <c r="BN549" s="6"/>
      <c r="BO549" s="6"/>
      <c r="BP549" s="79"/>
      <c r="BQ549" s="6"/>
      <c r="BR549" s="6"/>
      <c r="BS549" s="6"/>
      <c r="BT549" s="6"/>
      <c r="BU549" s="79"/>
      <c r="BV549" s="6"/>
      <c r="BW549" s="6"/>
      <c r="BX549" s="6"/>
      <c r="BY549" s="6"/>
      <c r="BZ549" s="79"/>
      <c r="CA549" s="6"/>
      <c r="CB549" s="6"/>
      <c r="CC549" s="6"/>
      <c r="CD549" s="6"/>
      <c r="CE549" s="596" t="s">
        <v>126</v>
      </c>
      <c r="CF549" s="568"/>
      <c r="CG549" s="568"/>
      <c r="CH549" s="568"/>
      <c r="CI549" s="568"/>
      <c r="CJ549" s="567">
        <f>(CJ548-CE548)*100*100</f>
        <v>377.28175698701796</v>
      </c>
      <c r="CK549" s="565" t="s">
        <v>126</v>
      </c>
      <c r="CL549" s="565" t="s">
        <v>126</v>
      </c>
      <c r="CM549" s="565" t="s">
        <v>126</v>
      </c>
      <c r="CN549" s="213" t="s">
        <v>126</v>
      </c>
      <c r="CO549" s="567">
        <f t="shared" ref="CO549:CT549" si="1616">(CO548-CJ548)*100*100</f>
        <v>461.43574440833612</v>
      </c>
      <c r="CP549" s="568">
        <f t="shared" si="1616"/>
        <v>734.43277379666938</v>
      </c>
      <c r="CQ549" s="568">
        <f t="shared" si="1616"/>
        <v>676.92307692307713</v>
      </c>
      <c r="CR549" s="568">
        <f t="shared" si="1616"/>
        <v>1535.0729517396185</v>
      </c>
      <c r="CS549" s="568">
        <f t="shared" si="1616"/>
        <v>165.88602654176444</v>
      </c>
      <c r="CT549" s="567">
        <f t="shared" si="1616"/>
        <v>770.03314525515395</v>
      </c>
      <c r="CU549" s="568"/>
      <c r="CV549" s="568"/>
      <c r="CW549" s="568"/>
      <c r="CX549" s="568"/>
      <c r="CY549" s="567"/>
      <c r="CZ549" s="568"/>
      <c r="DA549" s="568"/>
      <c r="DB549" s="568"/>
      <c r="DC549" s="568"/>
      <c r="DD549" s="567"/>
      <c r="DE549" s="568"/>
      <c r="DF549" s="568"/>
      <c r="DG549" s="568"/>
      <c r="DH549" s="568"/>
      <c r="DI549" s="567"/>
    </row>
    <row r="550" spans="1:113" ht="12" hidden="1" customHeight="1" outlineLevel="1">
      <c r="A550" s="219"/>
      <c r="B550" s="597"/>
      <c r="C550" s="79"/>
      <c r="D550" s="6"/>
      <c r="E550" s="79"/>
      <c r="F550" s="6"/>
      <c r="G550" s="79"/>
      <c r="H550" s="6"/>
      <c r="I550" s="79"/>
      <c r="J550" s="6"/>
      <c r="K550" s="79"/>
      <c r="L550" s="6"/>
      <c r="M550" s="79"/>
      <c r="N550" s="6"/>
      <c r="O550" s="79"/>
      <c r="P550" s="6"/>
      <c r="Q550" s="79"/>
      <c r="R550" s="6"/>
      <c r="S550" s="6"/>
      <c r="T550" s="6"/>
      <c r="U550" s="6"/>
      <c r="V550" s="79"/>
      <c r="W550" s="6"/>
      <c r="X550" s="6"/>
      <c r="Y550" s="6"/>
      <c r="Z550" s="6"/>
      <c r="AA550" s="79"/>
      <c r="AB550" s="79"/>
      <c r="AC550" s="6"/>
      <c r="AD550" s="6"/>
      <c r="AE550" s="6"/>
      <c r="AF550" s="6"/>
      <c r="AG550" s="79"/>
      <c r="AH550" s="6"/>
      <c r="AI550" s="6"/>
      <c r="AJ550" s="6"/>
      <c r="AK550" s="6"/>
      <c r="AL550" s="79"/>
      <c r="AM550" s="6"/>
      <c r="AN550" s="6"/>
      <c r="AO550" s="6"/>
      <c r="AP550" s="6"/>
      <c r="AQ550" s="79"/>
      <c r="AR550" s="6"/>
      <c r="AS550" s="6"/>
      <c r="AT550" s="6"/>
      <c r="AU550" s="6"/>
      <c r="AV550" s="79"/>
      <c r="AW550" s="6"/>
      <c r="AX550" s="6"/>
      <c r="AY550" s="6"/>
      <c r="AZ550" s="6"/>
      <c r="BA550" s="79"/>
      <c r="BB550" s="6"/>
      <c r="BC550" s="6"/>
      <c r="BD550" s="6"/>
      <c r="BE550" s="6"/>
      <c r="BF550" s="79"/>
      <c r="BG550" s="6"/>
      <c r="BH550" s="6"/>
      <c r="BI550" s="6"/>
      <c r="BJ550" s="6"/>
      <c r="BK550" s="79"/>
      <c r="BL550" s="6"/>
      <c r="BM550" s="6"/>
      <c r="BN550" s="6"/>
      <c r="BO550" s="6"/>
      <c r="BP550" s="79"/>
      <c r="BQ550" s="6"/>
      <c r="BR550" s="6"/>
      <c r="BS550" s="6"/>
      <c r="BT550" s="6"/>
      <c r="BU550" s="79"/>
      <c r="BV550" s="6"/>
      <c r="BW550" s="6"/>
      <c r="BX550" s="6"/>
      <c r="BY550" s="6"/>
      <c r="BZ550" s="79"/>
      <c r="CA550" s="6"/>
      <c r="CB550" s="6"/>
      <c r="CC550" s="6"/>
      <c r="CD550" s="6"/>
      <c r="CE550" s="79"/>
      <c r="CF550" s="6"/>
      <c r="CG550" s="6"/>
      <c r="CH550" s="6"/>
      <c r="CI550" s="6"/>
      <c r="CJ550" s="79"/>
      <c r="CK550" s="6"/>
      <c r="CL550" s="6"/>
      <c r="CM550" s="6"/>
      <c r="CN550" s="6"/>
      <c r="CO550" s="79"/>
      <c r="CP550" s="6"/>
      <c r="CQ550" s="6"/>
      <c r="CR550" s="6"/>
      <c r="CS550" s="6"/>
      <c r="CT550" s="79"/>
      <c r="CU550" s="591"/>
      <c r="CV550" s="591"/>
      <c r="CW550" s="591"/>
      <c r="CX550" s="591"/>
      <c r="CY550" s="590"/>
      <c r="CZ550" s="591"/>
      <c r="DA550" s="591"/>
      <c r="DB550" s="6"/>
      <c r="DC550" s="6"/>
      <c r="DD550" s="79"/>
      <c r="DE550" s="591"/>
      <c r="DF550" s="591"/>
      <c r="DG550" s="6"/>
      <c r="DH550" s="6"/>
      <c r="DI550" s="79"/>
    </row>
    <row r="551" spans="1:113" ht="12" hidden="1" customHeight="1" outlineLevel="1">
      <c r="A551" s="219"/>
      <c r="B551" s="17" t="s">
        <v>391</v>
      </c>
      <c r="C551" s="79"/>
      <c r="D551" s="6"/>
      <c r="E551" s="79"/>
      <c r="F551" s="6"/>
      <c r="G551" s="79"/>
      <c r="H551" s="6"/>
      <c r="I551" s="79"/>
      <c r="J551" s="6"/>
      <c r="K551" s="79"/>
      <c r="L551" s="6"/>
      <c r="M551" s="79"/>
      <c r="N551" s="6"/>
      <c r="O551" s="79"/>
      <c r="P551" s="6"/>
      <c r="Q551" s="79"/>
      <c r="R551" s="6"/>
      <c r="S551" s="6"/>
      <c r="T551" s="6"/>
      <c r="U551" s="6"/>
      <c r="V551" s="79"/>
      <c r="W551" s="6"/>
      <c r="X551" s="6"/>
      <c r="Y551" s="6"/>
      <c r="Z551" s="6"/>
      <c r="AA551" s="79"/>
      <c r="AB551" s="79"/>
      <c r="AC551" s="6"/>
      <c r="AD551" s="6"/>
      <c r="AE551" s="6"/>
      <c r="AF551" s="6"/>
      <c r="AG551" s="79"/>
      <c r="AH551" s="6"/>
      <c r="AI551" s="6"/>
      <c r="AJ551" s="6"/>
      <c r="AK551" s="6"/>
      <c r="AL551" s="79"/>
      <c r="AM551" s="6"/>
      <c r="AN551" s="6"/>
      <c r="AO551" s="6"/>
      <c r="AP551" s="6"/>
      <c r="AQ551" s="79"/>
      <c r="AR551" s="6"/>
      <c r="AS551" s="6"/>
      <c r="AT551" s="6"/>
      <c r="AU551" s="6"/>
      <c r="AV551" s="79"/>
      <c r="AW551" s="6"/>
      <c r="AX551" s="6"/>
      <c r="AY551" s="6"/>
      <c r="AZ551" s="6"/>
      <c r="BA551" s="79"/>
      <c r="BB551" s="6"/>
      <c r="BC551" s="6"/>
      <c r="BD551" s="6"/>
      <c r="BE551" s="6"/>
      <c r="BF551" s="79"/>
      <c r="BG551" s="6"/>
      <c r="BH551" s="6"/>
      <c r="BI551" s="6"/>
      <c r="BJ551" s="6"/>
      <c r="BK551" s="79"/>
      <c r="BL551" s="6"/>
      <c r="BM551" s="6"/>
      <c r="BN551" s="6"/>
      <c r="BO551" s="6"/>
      <c r="BP551" s="79"/>
      <c r="BQ551" s="6"/>
      <c r="BR551" s="6"/>
      <c r="BS551" s="6"/>
      <c r="BT551" s="6"/>
      <c r="BU551" s="79"/>
      <c r="BV551" s="6"/>
      <c r="BW551" s="6"/>
      <c r="BX551" s="6"/>
      <c r="BY551" s="6"/>
      <c r="BZ551" s="79"/>
      <c r="CA551" s="6"/>
      <c r="CB551" s="6"/>
      <c r="CC551" s="6"/>
      <c r="CD551" s="6"/>
      <c r="CE551" s="36">
        <v>-7</v>
      </c>
      <c r="CF551" s="43"/>
      <c r="CG551" s="43"/>
      <c r="CH551" s="43"/>
      <c r="CI551" s="43"/>
      <c r="CJ551" s="36">
        <v>-6</v>
      </c>
      <c r="CK551" s="43">
        <v>-1</v>
      </c>
      <c r="CL551" s="43">
        <v>0</v>
      </c>
      <c r="CM551" s="43">
        <v>1</v>
      </c>
      <c r="CN551" s="43">
        <f>CO551-CM551-CL551-CK551</f>
        <v>-2</v>
      </c>
      <c r="CO551" s="36">
        <v>-2</v>
      </c>
      <c r="CP551" s="43">
        <v>-1</v>
      </c>
      <c r="CQ551" s="43">
        <v>0</v>
      </c>
      <c r="CR551" s="43">
        <v>0</v>
      </c>
      <c r="CS551" s="43">
        <f>CT551-CR551-CQ551-CP551</f>
        <v>0</v>
      </c>
      <c r="CT551" s="36">
        <v>-1</v>
      </c>
      <c r="CU551" s="43"/>
      <c r="CV551" s="43"/>
      <c r="CW551" s="43"/>
      <c r="CX551" s="43"/>
      <c r="CY551" s="36"/>
      <c r="CZ551" s="43"/>
      <c r="DA551" s="43"/>
      <c r="DB551" s="43"/>
      <c r="DC551" s="43"/>
      <c r="DD551" s="36"/>
      <c r="DE551" s="43"/>
      <c r="DF551" s="43"/>
      <c r="DG551" s="43"/>
      <c r="DH551" s="43"/>
      <c r="DI551" s="36"/>
    </row>
    <row r="552" spans="1:113" ht="12" hidden="1" customHeight="1" outlineLevel="1">
      <c r="A552" s="219"/>
      <c r="B552" s="17"/>
      <c r="C552" s="79"/>
      <c r="D552" s="6"/>
      <c r="E552" s="79"/>
      <c r="F552" s="6"/>
      <c r="G552" s="79"/>
      <c r="H552" s="6"/>
      <c r="I552" s="79"/>
      <c r="J552" s="6"/>
      <c r="K552" s="79"/>
      <c r="L552" s="6"/>
      <c r="M552" s="79"/>
      <c r="N552" s="6"/>
      <c r="O552" s="79"/>
      <c r="P552" s="6"/>
      <c r="Q552" s="79"/>
      <c r="R552" s="6"/>
      <c r="S552" s="6"/>
      <c r="T552" s="6"/>
      <c r="U552" s="6"/>
      <c r="V552" s="79"/>
      <c r="W552" s="6"/>
      <c r="X552" s="6"/>
      <c r="Y552" s="6"/>
      <c r="Z552" s="6"/>
      <c r="AA552" s="79"/>
      <c r="AB552" s="79"/>
      <c r="AC552" s="6"/>
      <c r="AD552" s="6"/>
      <c r="AE552" s="6"/>
      <c r="AF552" s="6"/>
      <c r="AG552" s="79"/>
      <c r="AH552" s="6"/>
      <c r="AI552" s="6"/>
      <c r="AJ552" s="6"/>
      <c r="AK552" s="6"/>
      <c r="AL552" s="79"/>
      <c r="AM552" s="6"/>
      <c r="AN552" s="6"/>
      <c r="AO552" s="6"/>
      <c r="AP552" s="6"/>
      <c r="AQ552" s="79"/>
      <c r="AR552" s="6"/>
      <c r="AS552" s="6"/>
      <c r="AT552" s="6"/>
      <c r="AU552" s="6"/>
      <c r="AV552" s="79"/>
      <c r="AW552" s="6"/>
      <c r="AX552" s="6"/>
      <c r="AY552" s="6"/>
      <c r="AZ552" s="6"/>
      <c r="BA552" s="79"/>
      <c r="BB552" s="6"/>
      <c r="BC552" s="6"/>
      <c r="BD552" s="6"/>
      <c r="BE552" s="6"/>
      <c r="BF552" s="79"/>
      <c r="BG552" s="6"/>
      <c r="BH552" s="6"/>
      <c r="BI552" s="6"/>
      <c r="BJ552" s="6"/>
      <c r="BK552" s="79"/>
      <c r="BL552" s="49"/>
      <c r="BM552" s="6"/>
      <c r="BN552" s="6"/>
      <c r="BO552" s="6"/>
      <c r="BP552" s="79"/>
      <c r="BQ552" s="6"/>
      <c r="BR552" s="6"/>
      <c r="BS552" s="6"/>
      <c r="BT552" s="6"/>
      <c r="BU552" s="79"/>
      <c r="BV552" s="6"/>
      <c r="BW552" s="6"/>
      <c r="BX552" s="6"/>
      <c r="BY552" s="6"/>
      <c r="BZ552" s="79"/>
      <c r="CA552" s="6"/>
      <c r="CB552" s="6"/>
      <c r="CC552" s="6"/>
      <c r="CD552" s="6"/>
      <c r="CE552" s="79"/>
      <c r="CF552" s="6"/>
      <c r="CG552" s="6"/>
      <c r="CH552" s="6"/>
      <c r="CI552" s="6"/>
      <c r="CJ552" s="79"/>
      <c r="CK552" s="6"/>
      <c r="CL552" s="6"/>
      <c r="CM552" s="6"/>
      <c r="CN552" s="6"/>
      <c r="CO552" s="79"/>
      <c r="CP552" s="6"/>
      <c r="CQ552" s="6"/>
      <c r="CR552" s="6"/>
      <c r="CS552" s="6"/>
      <c r="CT552" s="79"/>
      <c r="CU552" s="6"/>
      <c r="CV552" s="6"/>
      <c r="CW552" s="6"/>
      <c r="CX552" s="6"/>
      <c r="CY552" s="79"/>
      <c r="CZ552" s="6"/>
      <c r="DA552" s="6"/>
      <c r="DB552" s="6"/>
      <c r="DC552" s="6"/>
      <c r="DD552" s="79"/>
      <c r="DE552" s="6"/>
      <c r="DF552" s="6"/>
      <c r="DG552" s="6"/>
      <c r="DH552" s="6"/>
      <c r="DI552" s="79"/>
    </row>
    <row r="553" spans="1:113" s="7" customFormat="1" ht="12" customHeight="1" collapsed="1">
      <c r="A553" s="239" t="str">
        <f t="shared" si="1527"/>
        <v xml:space="preserve"> </v>
      </c>
      <c r="B553" s="20" t="s">
        <v>196</v>
      </c>
      <c r="C553" s="36"/>
      <c r="D553" s="43"/>
      <c r="E553" s="36"/>
      <c r="F553" s="43"/>
      <c r="G553" s="36"/>
      <c r="H553" s="43"/>
      <c r="I553" s="36"/>
      <c r="J553" s="43"/>
      <c r="K553" s="36"/>
      <c r="L553" s="43"/>
      <c r="M553" s="36"/>
      <c r="N553" s="43"/>
      <c r="O553" s="36"/>
      <c r="P553" s="43"/>
      <c r="Q553" s="36"/>
      <c r="R553" s="43">
        <v>109</v>
      </c>
      <c r="S553" s="43">
        <v>59</v>
      </c>
      <c r="T553" s="43">
        <v>85</v>
      </c>
      <c r="U553" s="43">
        <v>82</v>
      </c>
      <c r="V553" s="36">
        <f>SUM(R553:U553)</f>
        <v>335</v>
      </c>
      <c r="W553" s="43">
        <v>86</v>
      </c>
      <c r="X553" s="43">
        <v>57</v>
      </c>
      <c r="Y553" s="43">
        <v>87</v>
      </c>
      <c r="Z553" s="43">
        <v>111</v>
      </c>
      <c r="AA553" s="36">
        <f>SUM(W553:Z553)</f>
        <v>341</v>
      </c>
      <c r="AB553" s="36"/>
      <c r="AC553" s="43">
        <v>124</v>
      </c>
      <c r="AD553" s="43">
        <v>91</v>
      </c>
      <c r="AE553" s="43">
        <v>121</v>
      </c>
      <c r="AF553" s="43">
        <v>89</v>
      </c>
      <c r="AG553" s="36">
        <f>SUM(AC553:AF553)</f>
        <v>425</v>
      </c>
      <c r="AH553" s="43">
        <v>169</v>
      </c>
      <c r="AI553" s="43">
        <v>100</v>
      </c>
      <c r="AJ553" s="43">
        <v>133</v>
      </c>
      <c r="AK553" s="43">
        <v>94</v>
      </c>
      <c r="AL553" s="36">
        <f>SUM(AH553:AK553)</f>
        <v>496</v>
      </c>
      <c r="AM553" s="43">
        <v>186</v>
      </c>
      <c r="AN553" s="43">
        <v>88</v>
      </c>
      <c r="AO553" s="43">
        <v>163</v>
      </c>
      <c r="AP553" s="43">
        <v>80</v>
      </c>
      <c r="AQ553" s="36">
        <f>SUM(AM553:AP553)</f>
        <v>517</v>
      </c>
      <c r="AR553" s="43">
        <v>147</v>
      </c>
      <c r="AS553" s="43">
        <v>85</v>
      </c>
      <c r="AT553" s="43">
        <v>127</v>
      </c>
      <c r="AU553" s="43">
        <v>128</v>
      </c>
      <c r="AV553" s="36">
        <f>SUM(AR553:AU553)</f>
        <v>487</v>
      </c>
      <c r="AW553" s="43">
        <v>153</v>
      </c>
      <c r="AX553" s="43">
        <v>78</v>
      </c>
      <c r="AY553" s="43">
        <v>109</v>
      </c>
      <c r="AZ553" s="43">
        <v>137</v>
      </c>
      <c r="BA553" s="36">
        <f>SUM(AW553:AZ553)</f>
        <v>477</v>
      </c>
      <c r="BB553" s="43">
        <v>89</v>
      </c>
      <c r="BC553" s="43">
        <v>48</v>
      </c>
      <c r="BD553" s="43">
        <v>69</v>
      </c>
      <c r="BE553" s="43">
        <v>104</v>
      </c>
      <c r="BF553" s="36">
        <f>SUM(BB553:BE553)</f>
        <v>310</v>
      </c>
      <c r="BG553" s="43">
        <v>98</v>
      </c>
      <c r="BH553" s="43">
        <v>44</v>
      </c>
      <c r="BI553" s="43">
        <v>79</v>
      </c>
      <c r="BJ553" s="43">
        <v>82</v>
      </c>
      <c r="BK553" s="36">
        <f>SUM(BG553:BJ553)</f>
        <v>303</v>
      </c>
      <c r="BL553" s="43">
        <v>138</v>
      </c>
      <c r="BM553" s="43">
        <v>90</v>
      </c>
      <c r="BN553" s="43">
        <v>96</v>
      </c>
      <c r="BO553" s="43">
        <v>-27</v>
      </c>
      <c r="BP553" s="36">
        <f>SUM(BL553:BO553)</f>
        <v>297</v>
      </c>
      <c r="BQ553" s="43">
        <v>168</v>
      </c>
      <c r="BR553" s="43">
        <v>87</v>
      </c>
      <c r="BS553" s="43">
        <v>150</v>
      </c>
      <c r="BT553" s="43">
        <v>138</v>
      </c>
      <c r="BU553" s="36">
        <f>SUM(BQ553:BT553)</f>
        <v>543</v>
      </c>
      <c r="BV553" s="43">
        <v>204</v>
      </c>
      <c r="BW553" s="43">
        <v>132</v>
      </c>
      <c r="BX553" s="43">
        <v>168</v>
      </c>
      <c r="BY553" s="43">
        <v>165</v>
      </c>
      <c r="BZ553" s="36">
        <f>SUM(BV553:BY553)</f>
        <v>669</v>
      </c>
      <c r="CA553" s="43">
        <v>209</v>
      </c>
      <c r="CB553" s="43">
        <v>153</v>
      </c>
      <c r="CC553" s="43">
        <v>164</v>
      </c>
      <c r="CD553" s="43">
        <v>150</v>
      </c>
      <c r="CE553" s="36">
        <f>SUM(CA553:CD553)</f>
        <v>676</v>
      </c>
      <c r="CF553" s="43">
        <v>167</v>
      </c>
      <c r="CG553" s="43">
        <v>115</v>
      </c>
      <c r="CH553" s="43">
        <v>98</v>
      </c>
      <c r="CI553" s="43">
        <v>94</v>
      </c>
      <c r="CJ553" s="36">
        <f>SUM(CF553:CI553)</f>
        <v>474</v>
      </c>
      <c r="CK553" s="43">
        <v>121</v>
      </c>
      <c r="CL553" s="43">
        <v>53</v>
      </c>
      <c r="CM553" s="43">
        <v>39</v>
      </c>
      <c r="CN553" s="43">
        <v>27</v>
      </c>
      <c r="CO553" s="36">
        <f>SUM(CK553:CN553)</f>
        <v>240</v>
      </c>
      <c r="CP553" s="43">
        <v>39</v>
      </c>
      <c r="CQ553" s="43">
        <v>-4</v>
      </c>
      <c r="CR553" s="43">
        <v>-40</v>
      </c>
      <c r="CS553" s="43">
        <v>23</v>
      </c>
      <c r="CT553" s="36">
        <f>SUM(CP553:CS553)</f>
        <v>18</v>
      </c>
      <c r="CU553" s="369">
        <v>25</v>
      </c>
      <c r="CV553" s="43">
        <f>(CQ553/CQ483+CV556/100/100)*CV483</f>
        <v>-4.125</v>
      </c>
      <c r="CW553" s="43">
        <f>(CR553/CR483+CW556/100/100)*CW483</f>
        <v>-33.056000000000004</v>
      </c>
      <c r="CX553" s="43">
        <f>(CS553/CS483+CX556/100/100)*CX483</f>
        <v>17.423999999999999</v>
      </c>
      <c r="CY553" s="36">
        <f>SUM(CU553:CX553)</f>
        <v>5.242999999999995</v>
      </c>
      <c r="CZ553" s="43">
        <f>(CU553/CU483+CZ556/100/100)*CZ483</f>
        <v>23.749999999999996</v>
      </c>
      <c r="DA553" s="43">
        <f>(CV553/CV483+DA556/100/100)*DA483</f>
        <v>-3.9187500000000002</v>
      </c>
      <c r="DB553" s="43">
        <f>(CW553/CW483+DB556/100/100)*DB483</f>
        <v>-32.394880000000001</v>
      </c>
      <c r="DC553" s="43">
        <f>(CX553/CX483+DC556/100/100)*DC483</f>
        <v>17.075520000000001</v>
      </c>
      <c r="DD553" s="36">
        <f>SUM(CZ553:DC553)</f>
        <v>4.5118899999999975</v>
      </c>
      <c r="DE553" s="43">
        <f>(CZ553/CZ483+DE556/100/100)*DE483</f>
        <v>23.749999999999996</v>
      </c>
      <c r="DF553" s="43">
        <f>(DA553/DA483+DF556/100/100)*DF483</f>
        <v>-3.9187500000000002</v>
      </c>
      <c r="DG553" s="43">
        <f>(DB553/DB483+DG556/100/100)*DG483</f>
        <v>-32.394880000000001</v>
      </c>
      <c r="DH553" s="43">
        <f>(DC553/DC483+DH556/100/100)*DH483</f>
        <v>17.075520000000001</v>
      </c>
      <c r="DI553" s="36">
        <f>SUM(DE553:DH553)</f>
        <v>4.5118899999999975</v>
      </c>
    </row>
    <row r="554" spans="1:113" ht="12" customHeight="1">
      <c r="A554" s="219" t="str">
        <f t="shared" si="1527"/>
        <v xml:space="preserve"> </v>
      </c>
      <c r="B554" s="491" t="s">
        <v>171</v>
      </c>
      <c r="C554" s="492"/>
      <c r="D554" s="522"/>
      <c r="E554" s="492"/>
      <c r="F554" s="522"/>
      <c r="G554" s="492"/>
      <c r="H554" s="522"/>
      <c r="I554" s="492"/>
      <c r="J554" s="522"/>
      <c r="K554" s="492"/>
      <c r="L554" s="522"/>
      <c r="M554" s="492"/>
      <c r="N554" s="522"/>
      <c r="O554" s="492"/>
      <c r="P554" s="522"/>
      <c r="Q554" s="492"/>
      <c r="R554" s="378" t="s">
        <v>126</v>
      </c>
      <c r="S554" s="522" t="s">
        <v>126</v>
      </c>
      <c r="T554" s="522" t="s">
        <v>126</v>
      </c>
      <c r="U554" s="522" t="s">
        <v>126</v>
      </c>
      <c r="V554" s="492" t="s">
        <v>126</v>
      </c>
      <c r="W554" s="52">
        <f>+W553/R553-1</f>
        <v>-0.21100917431192656</v>
      </c>
      <c r="X554" s="52">
        <f>+X553/S553-1</f>
        <v>-3.3898305084745783E-2</v>
      </c>
      <c r="Y554" s="52">
        <f>+Y553/T553-1</f>
        <v>2.3529411764705799E-2</v>
      </c>
      <c r="Z554" s="52">
        <f>+Z553/U553-1</f>
        <v>0.35365853658536595</v>
      </c>
      <c r="AA554" s="112">
        <f>+AA553/V553-1</f>
        <v>1.7910447761193993E-2</v>
      </c>
      <c r="AB554" s="112"/>
      <c r="AC554" s="52">
        <f>+AC553/W553-1</f>
        <v>0.44186046511627897</v>
      </c>
      <c r="AD554" s="52">
        <f>+AD553/X553-1</f>
        <v>0.59649122807017552</v>
      </c>
      <c r="AE554" s="52">
        <f>+AE553/Y553-1</f>
        <v>0.39080459770114939</v>
      </c>
      <c r="AF554" s="52">
        <f>+AF553/Z553-1</f>
        <v>-0.19819819819819817</v>
      </c>
      <c r="AG554" s="112">
        <f>+AG553/AA553-1</f>
        <v>0.24633431085043989</v>
      </c>
      <c r="AH554" s="52">
        <f t="shared" ref="AH554:BP554" si="1617">+AH553/AC553-1</f>
        <v>0.36290322580645151</v>
      </c>
      <c r="AI554" s="52">
        <f t="shared" si="1617"/>
        <v>9.8901098901098994E-2</v>
      </c>
      <c r="AJ554" s="52">
        <f t="shared" si="1617"/>
        <v>9.9173553719008156E-2</v>
      </c>
      <c r="AK554" s="52">
        <f t="shared" si="1617"/>
        <v>5.6179775280898792E-2</v>
      </c>
      <c r="AL554" s="112">
        <f t="shared" si="1617"/>
        <v>0.1670588235294117</v>
      </c>
      <c r="AM554" s="52">
        <f t="shared" si="1617"/>
        <v>0.10059171597633143</v>
      </c>
      <c r="AN554" s="52">
        <f t="shared" si="1617"/>
        <v>-0.12</v>
      </c>
      <c r="AO554" s="52">
        <f t="shared" si="1617"/>
        <v>0.22556390977443619</v>
      </c>
      <c r="AP554" s="52">
        <f t="shared" si="1617"/>
        <v>-0.14893617021276595</v>
      </c>
      <c r="AQ554" s="112">
        <f t="shared" si="1617"/>
        <v>4.2338709677419262E-2</v>
      </c>
      <c r="AR554" s="52">
        <f t="shared" si="1617"/>
        <v>-0.20967741935483875</v>
      </c>
      <c r="AS554" s="52">
        <f t="shared" si="1617"/>
        <v>-3.4090909090909061E-2</v>
      </c>
      <c r="AT554" s="52">
        <f t="shared" si="1617"/>
        <v>-0.22085889570552142</v>
      </c>
      <c r="AU554" s="52">
        <f t="shared" si="1617"/>
        <v>0.60000000000000009</v>
      </c>
      <c r="AV554" s="112">
        <f t="shared" si="1617"/>
        <v>-5.8027079303675011E-2</v>
      </c>
      <c r="AW554" s="52">
        <f t="shared" si="1617"/>
        <v>4.081632653061229E-2</v>
      </c>
      <c r="AX554" s="52">
        <f t="shared" si="1617"/>
        <v>-8.2352941176470629E-2</v>
      </c>
      <c r="AY554" s="52">
        <f t="shared" si="1617"/>
        <v>-0.1417322834645669</v>
      </c>
      <c r="AZ554" s="52">
        <f t="shared" si="1617"/>
        <v>7.03125E-2</v>
      </c>
      <c r="BA554" s="112">
        <f t="shared" si="1617"/>
        <v>-2.0533880903490731E-2</v>
      </c>
      <c r="BB554" s="52">
        <f t="shared" si="1617"/>
        <v>-0.4183006535947712</v>
      </c>
      <c r="BC554" s="52">
        <f t="shared" si="1617"/>
        <v>-0.38461538461538458</v>
      </c>
      <c r="BD554" s="52">
        <f t="shared" si="1617"/>
        <v>-0.3669724770642202</v>
      </c>
      <c r="BE554" s="52">
        <f t="shared" si="1617"/>
        <v>-0.24087591240875916</v>
      </c>
      <c r="BF554" s="112">
        <f t="shared" si="1617"/>
        <v>-0.35010482180293501</v>
      </c>
      <c r="BG554" s="52">
        <f t="shared" si="1617"/>
        <v>0.101123595505618</v>
      </c>
      <c r="BH554" s="52">
        <f t="shared" si="1617"/>
        <v>-8.333333333333337E-2</v>
      </c>
      <c r="BI554" s="52">
        <f t="shared" si="1617"/>
        <v>0.14492753623188404</v>
      </c>
      <c r="BJ554" s="52">
        <f t="shared" si="1617"/>
        <v>-0.21153846153846156</v>
      </c>
      <c r="BK554" s="112">
        <f t="shared" si="1617"/>
        <v>-2.2580645161290325E-2</v>
      </c>
      <c r="BL554" s="52">
        <f t="shared" si="1617"/>
        <v>0.40816326530612246</v>
      </c>
      <c r="BM554" s="52">
        <f t="shared" si="1617"/>
        <v>1.0454545454545454</v>
      </c>
      <c r="BN554" s="52">
        <f t="shared" si="1617"/>
        <v>0.21518987341772156</v>
      </c>
      <c r="BO554" s="52">
        <f t="shared" si="1617"/>
        <v>-1.3292682926829269</v>
      </c>
      <c r="BP554" s="112">
        <f t="shared" si="1617"/>
        <v>-1.980198019801982E-2</v>
      </c>
      <c r="BQ554" s="52">
        <f t="shared" ref="BQ554:CC554" si="1618">+BQ553/BL553-1</f>
        <v>0.21739130434782616</v>
      </c>
      <c r="BR554" s="52">
        <f t="shared" si="1618"/>
        <v>-3.3333333333333326E-2</v>
      </c>
      <c r="BS554" s="52">
        <f t="shared" si="1618"/>
        <v>0.5625</v>
      </c>
      <c r="BT554" s="114">
        <f t="shared" si="1618"/>
        <v>-6.1111111111111107</v>
      </c>
      <c r="BU554" s="112">
        <f t="shared" si="1618"/>
        <v>0.82828282828282829</v>
      </c>
      <c r="BV554" s="52">
        <f t="shared" si="1618"/>
        <v>0.21428571428571419</v>
      </c>
      <c r="BW554" s="52">
        <f t="shared" si="1618"/>
        <v>0.51724137931034475</v>
      </c>
      <c r="BX554" s="52">
        <f t="shared" si="1618"/>
        <v>0.12000000000000011</v>
      </c>
      <c r="BY554" s="114">
        <f t="shared" si="1618"/>
        <v>0.19565217391304346</v>
      </c>
      <c r="BZ554" s="112">
        <f t="shared" si="1618"/>
        <v>0.2320441988950277</v>
      </c>
      <c r="CA554" s="52">
        <f t="shared" si="1618"/>
        <v>2.450980392156854E-2</v>
      </c>
      <c r="CB554" s="52">
        <f t="shared" si="1618"/>
        <v>0.15909090909090917</v>
      </c>
      <c r="CC554" s="52">
        <f t="shared" si="1618"/>
        <v>-2.3809523809523836E-2</v>
      </c>
      <c r="CD554" s="114">
        <f t="shared" ref="CD554" si="1619">+CD553/BY553-1</f>
        <v>-9.0909090909090939E-2</v>
      </c>
      <c r="CE554" s="112">
        <f t="shared" ref="CE554" si="1620">+CE553/BZ553-1</f>
        <v>1.0463378176382765E-2</v>
      </c>
      <c r="CF554" s="52">
        <f t="shared" ref="CF554" si="1621">+CF553/CA553-1</f>
        <v>-0.20095693779904311</v>
      </c>
      <c r="CG554" s="52">
        <f t="shared" ref="CG554:CH554" si="1622">+CG553/CB553-1</f>
        <v>-0.24836601307189543</v>
      </c>
      <c r="CH554" s="52">
        <f t="shared" si="1622"/>
        <v>-0.40243902439024393</v>
      </c>
      <c r="CI554" s="52">
        <f t="shared" ref="CI554" si="1623">+CI553/CD553-1</f>
        <v>-0.37333333333333329</v>
      </c>
      <c r="CJ554" s="112">
        <f t="shared" ref="CJ554:CL554" si="1624">+CJ553/CE553-1</f>
        <v>-0.29881656804733725</v>
      </c>
      <c r="CK554" s="52">
        <f t="shared" si="1624"/>
        <v>-0.27544910179640714</v>
      </c>
      <c r="CL554" s="52">
        <f t="shared" si="1624"/>
        <v>-0.53913043478260869</v>
      </c>
      <c r="CM554" s="52">
        <f t="shared" ref="CM554" si="1625">+CM553/CH553-1</f>
        <v>-0.60204081632653061</v>
      </c>
      <c r="CN554" s="52">
        <f t="shared" ref="CN554" si="1626">+CN553/CI553-1</f>
        <v>-0.71276595744680848</v>
      </c>
      <c r="CO554" s="112">
        <f t="shared" ref="CO554:CR554" si="1627">+CO553/CJ553-1</f>
        <v>-0.49367088607594933</v>
      </c>
      <c r="CP554" s="52">
        <f t="shared" si="1627"/>
        <v>-0.6776859504132231</v>
      </c>
      <c r="CQ554" s="52">
        <f t="shared" si="1627"/>
        <v>-1.0754716981132075</v>
      </c>
      <c r="CR554" s="52">
        <f t="shared" si="1627"/>
        <v>-2.0256410256410255</v>
      </c>
      <c r="CS554" s="52">
        <f t="shared" ref="CS554" si="1628">+CS553/CN553-1</f>
        <v>-0.14814814814814814</v>
      </c>
      <c r="CT554" s="112">
        <f t="shared" ref="CT554:CU554" si="1629">+CT553/CO553-1</f>
        <v>-0.92500000000000004</v>
      </c>
      <c r="CU554" s="52">
        <f t="shared" si="1629"/>
        <v>-0.35897435897435892</v>
      </c>
      <c r="CV554" s="52">
        <f t="shared" ref="CV554" si="1630">+CV553/CQ553-1</f>
        <v>3.125E-2</v>
      </c>
      <c r="CW554" s="52">
        <f t="shared" ref="CW554" si="1631">+CW553/CR553-1</f>
        <v>-0.17359999999999987</v>
      </c>
      <c r="CX554" s="52">
        <f t="shared" ref="CX554" si="1632">+CX553/CS553-1</f>
        <v>-0.24243478260869566</v>
      </c>
      <c r="CY554" s="112">
        <f t="shared" ref="CY554" si="1633">+CY553/CT553-1</f>
        <v>-0.70872222222222248</v>
      </c>
      <c r="CZ554" s="52">
        <f t="shared" ref="CZ554" si="1634">+CZ553/CU553-1</f>
        <v>-5.0000000000000155E-2</v>
      </c>
      <c r="DA554" s="52">
        <f t="shared" ref="DA554" si="1635">+DA553/CV553-1</f>
        <v>-4.9999999999999933E-2</v>
      </c>
      <c r="DB554" s="52">
        <f t="shared" ref="DB554" si="1636">+DB553/CW553-1</f>
        <v>-2.0000000000000129E-2</v>
      </c>
      <c r="DC554" s="52">
        <f t="shared" ref="DC554" si="1637">+DC553/CX553-1</f>
        <v>-1.9999999999999907E-2</v>
      </c>
      <c r="DD554" s="112">
        <f t="shared" ref="DD554" si="1638">+DD553/CY553-1</f>
        <v>-0.13944497425138247</v>
      </c>
      <c r="DE554" s="52">
        <f t="shared" ref="DE554" si="1639">+DE553/CZ553-1</f>
        <v>0</v>
      </c>
      <c r="DF554" s="52">
        <f t="shared" ref="DF554" si="1640">+DF553/DA553-1</f>
        <v>0</v>
      </c>
      <c r="DG554" s="52">
        <f t="shared" ref="DG554" si="1641">+DG553/DB553-1</f>
        <v>0</v>
      </c>
      <c r="DH554" s="52">
        <f t="shared" ref="DH554" si="1642">+DH553/DC553-1</f>
        <v>0</v>
      </c>
      <c r="DI554" s="112">
        <f t="shared" ref="DI554" si="1643">+DI553/DD553-1</f>
        <v>0</v>
      </c>
    </row>
    <row r="555" spans="1:113" s="3" customFormat="1" ht="12" customHeight="1">
      <c r="A555" s="490" t="str">
        <f t="shared" si="1527"/>
        <v xml:space="preserve"> </v>
      </c>
      <c r="B555" s="491" t="s">
        <v>170</v>
      </c>
      <c r="C555" s="550"/>
      <c r="D555" s="549"/>
      <c r="E555" s="550"/>
      <c r="F555" s="549"/>
      <c r="G555" s="550"/>
      <c r="H555" s="549"/>
      <c r="I555" s="550"/>
      <c r="J555" s="549"/>
      <c r="K555" s="550"/>
      <c r="L555" s="549"/>
      <c r="M555" s="550"/>
      <c r="N555" s="549"/>
      <c r="O555" s="550"/>
      <c r="P555" s="549"/>
      <c r="Q555" s="550"/>
      <c r="R555" s="111">
        <f t="shared" ref="R555:AA555" si="1644">+R553/R483</f>
        <v>0.15706051873198848</v>
      </c>
      <c r="S555" s="111">
        <f t="shared" si="1644"/>
        <v>9.2331768388106417E-2</v>
      </c>
      <c r="T555" s="111">
        <f t="shared" si="1644"/>
        <v>0.125</v>
      </c>
      <c r="U555" s="111">
        <f t="shared" si="1644"/>
        <v>0.10608020698576973</v>
      </c>
      <c r="V555" s="229">
        <f t="shared" si="1644"/>
        <v>0.1202440775305097</v>
      </c>
      <c r="W555" s="111">
        <f t="shared" si="1644"/>
        <v>0.11125485122897801</v>
      </c>
      <c r="X555" s="111">
        <f t="shared" si="1644"/>
        <v>8.469539375928678E-2</v>
      </c>
      <c r="Y555" s="111">
        <f t="shared" si="1644"/>
        <v>0.11553784860557768</v>
      </c>
      <c r="Z555" s="111">
        <f t="shared" si="1644"/>
        <v>0.12388392857142858</v>
      </c>
      <c r="AA555" s="229">
        <f t="shared" si="1644"/>
        <v>0.11017770597738287</v>
      </c>
      <c r="AB555" s="229"/>
      <c r="AC555" s="111">
        <f t="shared" ref="AC555:BH555" si="1645">+AC553/AC483</f>
        <v>0.29665071770334928</v>
      </c>
      <c r="AD555" s="111">
        <f t="shared" si="1645"/>
        <v>0.28797468354430378</v>
      </c>
      <c r="AE555" s="111">
        <f t="shared" si="1645"/>
        <v>0.33518005540166207</v>
      </c>
      <c r="AF555" s="111">
        <f t="shared" si="1645"/>
        <v>0.25141242937853109</v>
      </c>
      <c r="AG555" s="229">
        <f t="shared" si="1645"/>
        <v>0.29330572808833677</v>
      </c>
      <c r="AH555" s="111">
        <f t="shared" si="1645"/>
        <v>0.34210526315789475</v>
      </c>
      <c r="AI555" s="111">
        <f t="shared" si="1645"/>
        <v>0.27777777777777779</v>
      </c>
      <c r="AJ555" s="111">
        <f t="shared" si="1645"/>
        <v>0.31666666666666665</v>
      </c>
      <c r="AK555" s="111">
        <f t="shared" si="1645"/>
        <v>0.22926829268292684</v>
      </c>
      <c r="AL555" s="229">
        <f t="shared" si="1645"/>
        <v>0.29453681710213775</v>
      </c>
      <c r="AM555" s="111">
        <f t="shared" si="1645"/>
        <v>0.32347826086956522</v>
      </c>
      <c r="AN555" s="111">
        <f t="shared" si="1645"/>
        <v>0.20276497695852536</v>
      </c>
      <c r="AO555" s="111">
        <f t="shared" si="1645"/>
        <v>0.30297397769516726</v>
      </c>
      <c r="AP555" s="111">
        <f t="shared" si="1645"/>
        <v>0.18390804597701149</v>
      </c>
      <c r="AQ555" s="229">
        <f t="shared" si="1645"/>
        <v>0.26084762865792127</v>
      </c>
      <c r="AR555" s="111">
        <f t="shared" si="1645"/>
        <v>0.26486486486486488</v>
      </c>
      <c r="AS555" s="111">
        <f t="shared" si="1645"/>
        <v>0.21356783919597991</v>
      </c>
      <c r="AT555" s="111">
        <f t="shared" si="1645"/>
        <v>0.25971370143149286</v>
      </c>
      <c r="AU555" s="111">
        <f t="shared" si="1645"/>
        <v>0.24951267056530213</v>
      </c>
      <c r="AV555" s="229">
        <f t="shared" si="1645"/>
        <v>0.24910485933503837</v>
      </c>
      <c r="AW555" s="111">
        <f t="shared" si="1645"/>
        <v>0.2665505226480836</v>
      </c>
      <c r="AX555" s="111">
        <f t="shared" si="1645"/>
        <v>0.1875</v>
      </c>
      <c r="AY555" s="111">
        <f t="shared" si="1645"/>
        <v>0.21887550200803213</v>
      </c>
      <c r="AZ555" s="111">
        <f t="shared" si="1645"/>
        <v>0.24729241877256317</v>
      </c>
      <c r="BA555" s="229">
        <f t="shared" si="1645"/>
        <v>0.23359451518119489</v>
      </c>
      <c r="BB555" s="111">
        <f t="shared" si="1645"/>
        <v>0.18426501035196688</v>
      </c>
      <c r="BC555" s="111">
        <f t="shared" si="1645"/>
        <v>0.11764705882352941</v>
      </c>
      <c r="BD555" s="111">
        <f t="shared" si="1645"/>
        <v>0.14285714285714285</v>
      </c>
      <c r="BE555" s="111">
        <f t="shared" si="1645"/>
        <v>0.203125</v>
      </c>
      <c r="BF555" s="229">
        <f t="shared" si="1645"/>
        <v>0.16436903499469777</v>
      </c>
      <c r="BG555" s="111">
        <f t="shared" si="1645"/>
        <v>0.1859582542694497</v>
      </c>
      <c r="BH555" s="111">
        <f t="shared" si="1645"/>
        <v>0.10352941176470588</v>
      </c>
      <c r="BI555" s="111">
        <f t="shared" ref="BI555:CN555" si="1646">+BI553/BI483</f>
        <v>0.17062634989200864</v>
      </c>
      <c r="BJ555" s="111">
        <f t="shared" si="1646"/>
        <v>0.16700610997963339</v>
      </c>
      <c r="BK555" s="229">
        <f t="shared" si="1646"/>
        <v>0.1589716684155299</v>
      </c>
      <c r="BL555" s="111">
        <f t="shared" si="1646"/>
        <v>0.24864864864864866</v>
      </c>
      <c r="BM555" s="111">
        <f t="shared" si="1646"/>
        <v>0.1875</v>
      </c>
      <c r="BN555" s="111">
        <f t="shared" si="1646"/>
        <v>0.18972332015810275</v>
      </c>
      <c r="BO555" s="111">
        <f t="shared" si="1646"/>
        <v>-8.8524590163934422E-2</v>
      </c>
      <c r="BP555" s="229">
        <f t="shared" si="1646"/>
        <v>0.16088840736728061</v>
      </c>
      <c r="BQ555" s="111">
        <f t="shared" si="1646"/>
        <v>0.2984014209591474</v>
      </c>
      <c r="BR555" s="111">
        <f t="shared" si="1646"/>
        <v>0.18277310924369747</v>
      </c>
      <c r="BS555" s="111">
        <f t="shared" si="1646"/>
        <v>0.26315789473684209</v>
      </c>
      <c r="BT555" s="247">
        <f t="shared" si="1646"/>
        <v>0.23154362416107382</v>
      </c>
      <c r="BU555" s="229">
        <f t="shared" si="1646"/>
        <v>0.24625850340136055</v>
      </c>
      <c r="BV555" s="111">
        <f t="shared" si="1646"/>
        <v>0.32432432432432434</v>
      </c>
      <c r="BW555" s="111">
        <f t="shared" si="1646"/>
        <v>0.23698384201077199</v>
      </c>
      <c r="BX555" s="111">
        <f t="shared" si="1646"/>
        <v>0.29629629629629628</v>
      </c>
      <c r="BY555" s="247">
        <f t="shared" si="1646"/>
        <v>0.27824620573355818</v>
      </c>
      <c r="BZ555" s="229">
        <f t="shared" si="1646"/>
        <v>0.28516624040920718</v>
      </c>
      <c r="CA555" s="111">
        <f t="shared" si="1646"/>
        <v>0.32503888024883359</v>
      </c>
      <c r="CB555" s="111">
        <f t="shared" si="1646"/>
        <v>0.26109215017064846</v>
      </c>
      <c r="CC555" s="111">
        <f t="shared" si="1646"/>
        <v>0.26797385620915032</v>
      </c>
      <c r="CD555" s="247">
        <f t="shared" si="1646"/>
        <v>0.25597269624573377</v>
      </c>
      <c r="CE555" s="229">
        <f t="shared" si="1646"/>
        <v>0.27853316852080756</v>
      </c>
      <c r="CF555" s="111">
        <f t="shared" si="1646"/>
        <v>0.28401360544217685</v>
      </c>
      <c r="CG555" s="111">
        <f t="shared" si="1646"/>
        <v>0.22157996146435452</v>
      </c>
      <c r="CH555" s="111">
        <f t="shared" si="1646"/>
        <v>0.19797979797979798</v>
      </c>
      <c r="CI555" s="111">
        <f t="shared" si="1646"/>
        <v>0.19583333333333333</v>
      </c>
      <c r="CJ555" s="229">
        <f t="shared" si="1646"/>
        <v>0.2276657060518732</v>
      </c>
      <c r="CK555" s="111">
        <f t="shared" si="1646"/>
        <v>0.24151696606786427</v>
      </c>
      <c r="CL555" s="111">
        <f t="shared" si="1646"/>
        <v>0.12354312354312354</v>
      </c>
      <c r="CM555" s="111">
        <f t="shared" si="1646"/>
        <v>9.6296296296296297E-2</v>
      </c>
      <c r="CN555" s="111">
        <f t="shared" si="1646"/>
        <v>7.5630252100840331E-2</v>
      </c>
      <c r="CO555" s="229">
        <f t="shared" ref="CO555:DI555" si="1647">+CO553/CO483</f>
        <v>0.14184397163120568</v>
      </c>
      <c r="CP555" s="111">
        <f t="shared" si="1647"/>
        <v>0.10655737704918032</v>
      </c>
      <c r="CQ555" s="111">
        <f t="shared" si="1647"/>
        <v>-1.3333333333333334E-2</v>
      </c>
      <c r="CR555" s="111">
        <f t="shared" si="1647"/>
        <v>-0.15151515151515152</v>
      </c>
      <c r="CS555" s="111">
        <f t="shared" si="1647"/>
        <v>9.4262295081967207E-2</v>
      </c>
      <c r="CT555" s="229">
        <f t="shared" si="1647"/>
        <v>1.5332197614991482E-2</v>
      </c>
      <c r="CU555" s="111">
        <f t="shared" si="1647"/>
        <v>9.5057034220532313E-2</v>
      </c>
      <c r="CV555" s="111">
        <f t="shared" si="1647"/>
        <v>-1.8333333333333333E-2</v>
      </c>
      <c r="CW555" s="111">
        <f t="shared" si="1647"/>
        <v>-0.15651515151515152</v>
      </c>
      <c r="CX555" s="111">
        <f t="shared" si="1647"/>
        <v>8.9262295081967202E-2</v>
      </c>
      <c r="CY555" s="229">
        <f t="shared" si="1647"/>
        <v>5.8620304114490101E-3</v>
      </c>
      <c r="CZ555" s="111">
        <f t="shared" si="1647"/>
        <v>9.5057034220532313E-2</v>
      </c>
      <c r="DA555" s="111">
        <f t="shared" si="1647"/>
        <v>-1.8333333333333333E-2</v>
      </c>
      <c r="DB555" s="111">
        <f t="shared" si="1647"/>
        <v>-0.15651515151515152</v>
      </c>
      <c r="DC555" s="111">
        <f t="shared" si="1647"/>
        <v>8.9262295081967202E-2</v>
      </c>
      <c r="DD555" s="229">
        <f t="shared" si="1647"/>
        <v>5.2349884901702311E-3</v>
      </c>
      <c r="DE555" s="111">
        <f t="shared" si="1647"/>
        <v>9.5057034220532313E-2</v>
      </c>
      <c r="DF555" s="111">
        <f t="shared" si="1647"/>
        <v>-1.8333333333333333E-2</v>
      </c>
      <c r="DG555" s="111">
        <f t="shared" si="1647"/>
        <v>-0.15651515151515152</v>
      </c>
      <c r="DH555" s="111">
        <f t="shared" si="1647"/>
        <v>8.9262295081967202E-2</v>
      </c>
      <c r="DI555" s="229">
        <f t="shared" si="1647"/>
        <v>5.2349884901702311E-3</v>
      </c>
    </row>
    <row r="556" spans="1:113" s="3" customFormat="1" ht="12" customHeight="1">
      <c r="A556" s="490" t="str">
        <f t="shared" si="1527"/>
        <v xml:space="preserve"> </v>
      </c>
      <c r="B556" s="491" t="s">
        <v>174</v>
      </c>
      <c r="C556" s="550"/>
      <c r="D556" s="549"/>
      <c r="E556" s="550"/>
      <c r="F556" s="549"/>
      <c r="G556" s="550"/>
      <c r="H556" s="549"/>
      <c r="I556" s="550"/>
      <c r="J556" s="549"/>
      <c r="K556" s="550"/>
      <c r="L556" s="549"/>
      <c r="M556" s="550"/>
      <c r="N556" s="549"/>
      <c r="O556" s="550"/>
      <c r="P556" s="549"/>
      <c r="Q556" s="550"/>
      <c r="R556" s="548" t="s">
        <v>126</v>
      </c>
      <c r="S556" s="549" t="s">
        <v>126</v>
      </c>
      <c r="T556" s="549" t="s">
        <v>126</v>
      </c>
      <c r="U556" s="549" t="s">
        <v>126</v>
      </c>
      <c r="V556" s="550" t="s">
        <v>126</v>
      </c>
      <c r="W556" s="620">
        <f>+(W555-R555)*100*100</f>
        <v>-458.05667503010471</v>
      </c>
      <c r="X556" s="620">
        <f>+(X555-S555)*100*100</f>
        <v>-76.363746288196367</v>
      </c>
      <c r="Y556" s="620">
        <f>+(Y555-T555)*100*100</f>
        <v>-94.621513944223153</v>
      </c>
      <c r="Z556" s="620">
        <f>+(Z555-U555)*100*100</f>
        <v>178.03721585658849</v>
      </c>
      <c r="AA556" s="621">
        <f>+(AA555-V555)*100*100</f>
        <v>-100.66371553126827</v>
      </c>
      <c r="AB556" s="621"/>
      <c r="AC556" s="572">
        <f>+(AC555-W555)*100*100</f>
        <v>1853.9586647437129</v>
      </c>
      <c r="AD556" s="572">
        <f>+(AD555-X555)*100*100</f>
        <v>2032.79289785017</v>
      </c>
      <c r="AE556" s="572">
        <f>+(AE555-Y555)*100*100</f>
        <v>2196.4220679608438</v>
      </c>
      <c r="AF556" s="572">
        <f>+(AF555-Z555)*100*100</f>
        <v>1275.2850080710252</v>
      </c>
      <c r="AG556" s="571">
        <f>+(AG555-AA555)*100*100</f>
        <v>1831.2802211095391</v>
      </c>
      <c r="AH556" s="572">
        <f t="shared" ref="AH556:CC556" si="1648">+(AH555-AC555)*100*100</f>
        <v>454.54545454545467</v>
      </c>
      <c r="AI556" s="572">
        <f t="shared" si="1648"/>
        <v>-101.96905766525988</v>
      </c>
      <c r="AJ556" s="572">
        <f t="shared" si="1648"/>
        <v>-185.13388734995416</v>
      </c>
      <c r="AK556" s="572">
        <f t="shared" si="1648"/>
        <v>-221.44136695604249</v>
      </c>
      <c r="AL556" s="571">
        <f t="shared" si="1648"/>
        <v>12.310890138009789</v>
      </c>
      <c r="AM556" s="572">
        <f t="shared" si="1648"/>
        <v>-186.2700228832953</v>
      </c>
      <c r="AN556" s="572">
        <f t="shared" si="1648"/>
        <v>-750.12800819252425</v>
      </c>
      <c r="AO556" s="572">
        <f t="shared" si="1648"/>
        <v>-136.92688971499391</v>
      </c>
      <c r="AP556" s="572">
        <f t="shared" si="1648"/>
        <v>-453.60246705915347</v>
      </c>
      <c r="AQ556" s="571">
        <f t="shared" si="1648"/>
        <v>-336.89188444216478</v>
      </c>
      <c r="AR556" s="572">
        <f t="shared" si="1648"/>
        <v>-586.13396004700337</v>
      </c>
      <c r="AS556" s="572">
        <f t="shared" si="1648"/>
        <v>108.02862237454551</v>
      </c>
      <c r="AT556" s="572">
        <f t="shared" si="1648"/>
        <v>-432.60276263674405</v>
      </c>
      <c r="AU556" s="572">
        <f t="shared" si="1648"/>
        <v>656.04624588290642</v>
      </c>
      <c r="AV556" s="571">
        <f t="shared" si="1648"/>
        <v>-117.427693228829</v>
      </c>
      <c r="AW556" s="572">
        <f t="shared" si="1648"/>
        <v>16.856577832187192</v>
      </c>
      <c r="AX556" s="572">
        <f t="shared" si="1648"/>
        <v>-260.67839195979906</v>
      </c>
      <c r="AY556" s="572">
        <f t="shared" si="1648"/>
        <v>-408.3819942346073</v>
      </c>
      <c r="AZ556" s="572">
        <f t="shared" si="1648"/>
        <v>-22.202517927389643</v>
      </c>
      <c r="BA556" s="571">
        <f t="shared" si="1648"/>
        <v>-155.10344153843474</v>
      </c>
      <c r="BB556" s="572">
        <f t="shared" si="1648"/>
        <v>-822.85512296116713</v>
      </c>
      <c r="BC556" s="572">
        <f t="shared" si="1648"/>
        <v>-698.52941176470586</v>
      </c>
      <c r="BD556" s="572">
        <f t="shared" si="1648"/>
        <v>-760.18359150889285</v>
      </c>
      <c r="BE556" s="572">
        <f t="shared" si="1648"/>
        <v>-441.67418772563167</v>
      </c>
      <c r="BF556" s="598">
        <f>+(BF555-BA555)*100*100</f>
        <v>-692.25480186497123</v>
      </c>
      <c r="BG556" s="572">
        <f t="shared" si="1648"/>
        <v>16.932439174828229</v>
      </c>
      <c r="BH556" s="572">
        <f t="shared" si="1648"/>
        <v>-141.17647058823525</v>
      </c>
      <c r="BI556" s="572">
        <f t="shared" si="1648"/>
        <v>277.69207034865798</v>
      </c>
      <c r="BJ556" s="572">
        <f t="shared" si="1648"/>
        <v>-361.18890020366609</v>
      </c>
      <c r="BK556" s="598">
        <f>+(BK555-BF555)*100*100</f>
        <v>-53.97366579167867</v>
      </c>
      <c r="BL556" s="572">
        <f t="shared" si="1648"/>
        <v>626.9039437919896</v>
      </c>
      <c r="BM556" s="572">
        <f t="shared" si="1648"/>
        <v>839.7058823529411</v>
      </c>
      <c r="BN556" s="572">
        <f t="shared" si="1648"/>
        <v>190.9697026609411</v>
      </c>
      <c r="BO556" s="572">
        <f t="shared" si="1648"/>
        <v>-2555.3070014356786</v>
      </c>
      <c r="BP556" s="598">
        <f>+(BP555-BK555)*100*100</f>
        <v>19.167389517507072</v>
      </c>
      <c r="BQ556" s="599">
        <f t="shared" si="1648"/>
        <v>497.52772310498739</v>
      </c>
      <c r="BR556" s="599">
        <f t="shared" si="1648"/>
        <v>-47.268907563025323</v>
      </c>
      <c r="BS556" s="599">
        <f t="shared" si="1648"/>
        <v>734.3457457873933</v>
      </c>
      <c r="BT556" s="599">
        <f t="shared" si="1648"/>
        <v>3200.6821432500828</v>
      </c>
      <c r="BU556" s="598">
        <f>+(BU555-BP555)*100*100</f>
        <v>853.70096034079927</v>
      </c>
      <c r="BV556" s="599">
        <f t="shared" si="1648"/>
        <v>259.22903365176938</v>
      </c>
      <c r="BW556" s="599">
        <f t="shared" si="1648"/>
        <v>542.10732767074524</v>
      </c>
      <c r="BX556" s="599">
        <f t="shared" si="1648"/>
        <v>331.38401559454189</v>
      </c>
      <c r="BY556" s="599">
        <f t="shared" si="1648"/>
        <v>467.0258157248436</v>
      </c>
      <c r="BZ556" s="598">
        <f>+(BZ555-BU555)*100*100</f>
        <v>389.0773700784664</v>
      </c>
      <c r="CA556" s="599">
        <f t="shared" si="1648"/>
        <v>7.1455592450925254</v>
      </c>
      <c r="CB556" s="599">
        <f t="shared" si="1648"/>
        <v>241.08308159876469</v>
      </c>
      <c r="CC556" s="599">
        <f t="shared" si="1648"/>
        <v>-283.22440087145964</v>
      </c>
      <c r="CD556" s="599">
        <f t="shared" ref="CD556" si="1649">+(CD555-BY555)*100*100</f>
        <v>-222.73509487824415</v>
      </c>
      <c r="CE556" s="598">
        <f>+(CE555-BZ555)*100*100</f>
        <v>-66.330718883996227</v>
      </c>
      <c r="CF556" s="599">
        <f t="shared" ref="CF556:CM556" si="1650">+(CF555-CA555)*100*100</f>
        <v>-410.25274806656745</v>
      </c>
      <c r="CG556" s="599">
        <f t="shared" si="1650"/>
        <v>-395.12188706293944</v>
      </c>
      <c r="CH556" s="599">
        <f t="shared" si="1650"/>
        <v>-699.94058229352345</v>
      </c>
      <c r="CI556" s="599">
        <f t="shared" si="1650"/>
        <v>-601.39362912400441</v>
      </c>
      <c r="CJ556" s="598">
        <f>+(CJ555-CE555)*100*100</f>
        <v>-508.67462468934372</v>
      </c>
      <c r="CK556" s="599">
        <f t="shared" si="1650"/>
        <v>-424.96639374312576</v>
      </c>
      <c r="CL556" s="599">
        <f t="shared" si="1650"/>
        <v>-980.36837921230995</v>
      </c>
      <c r="CM556" s="599">
        <f t="shared" si="1650"/>
        <v>-1016.8350168350167</v>
      </c>
      <c r="CN556" s="599">
        <f t="shared" ref="CN556" si="1651">+(CN555-CI555)*100*100</f>
        <v>-1202.0308123249301</v>
      </c>
      <c r="CO556" s="598">
        <f>+(CO555-CJ555)*100*100</f>
        <v>-858.21734420667508</v>
      </c>
      <c r="CP556" s="599">
        <f t="shared" ref="CP556:CU556" si="1652">+(CP555-CK555)*100*100</f>
        <v>-1349.5958901868394</v>
      </c>
      <c r="CQ556" s="599">
        <f t="shared" si="1652"/>
        <v>-1368.7645687645686</v>
      </c>
      <c r="CR556" s="599">
        <f t="shared" si="1652"/>
        <v>-2478.1144781144781</v>
      </c>
      <c r="CS556" s="599">
        <f t="shared" si="1652"/>
        <v>186.32042981126875</v>
      </c>
      <c r="CT556" s="598">
        <f>+(CT555-CO555)*100*100</f>
        <v>-1265.1177401621419</v>
      </c>
      <c r="CU556" s="599">
        <f t="shared" si="1652"/>
        <v>-115.00342828648007</v>
      </c>
      <c r="CV556" s="600">
        <v>-50</v>
      </c>
      <c r="CW556" s="600">
        <v>-50</v>
      </c>
      <c r="CX556" s="600">
        <v>-50</v>
      </c>
      <c r="CY556" s="598">
        <f>+(CY555-CT555)*100*100</f>
        <v>-94.701672035424721</v>
      </c>
      <c r="CZ556" s="600">
        <v>0</v>
      </c>
      <c r="DA556" s="600">
        <v>0</v>
      </c>
      <c r="DB556" s="600">
        <v>0</v>
      </c>
      <c r="DC556" s="600">
        <v>0</v>
      </c>
      <c r="DD556" s="598">
        <f>+(DD555-CY555)*100*100</f>
        <v>-6.2704192127877896</v>
      </c>
      <c r="DE556" s="600">
        <v>0</v>
      </c>
      <c r="DF556" s="600">
        <v>0</v>
      </c>
      <c r="DG556" s="600">
        <v>0</v>
      </c>
      <c r="DH556" s="600">
        <v>0</v>
      </c>
      <c r="DI556" s="598">
        <f>+(DI555-DD555)*100*100</f>
        <v>0</v>
      </c>
    </row>
    <row r="557" spans="1:113" ht="12" customHeight="1">
      <c r="A557" s="219"/>
      <c r="B557" s="17"/>
      <c r="C557" s="79"/>
      <c r="D557" s="6"/>
      <c r="E557" s="79"/>
      <c r="F557" s="6"/>
      <c r="G557" s="79"/>
      <c r="H557" s="6"/>
      <c r="I557" s="79"/>
      <c r="J557" s="6"/>
      <c r="K557" s="79"/>
      <c r="L557" s="6"/>
      <c r="M557" s="79"/>
      <c r="N557" s="6"/>
      <c r="O557" s="79"/>
      <c r="P557" s="6"/>
      <c r="Q557" s="79"/>
      <c r="R557" s="6"/>
      <c r="S557" s="6"/>
      <c r="T557" s="6"/>
      <c r="U557" s="6"/>
      <c r="V557" s="79"/>
      <c r="W557" s="6"/>
      <c r="X557" s="6"/>
      <c r="Y557" s="6"/>
      <c r="Z557" s="6"/>
      <c r="AA557" s="79"/>
      <c r="AB557" s="79"/>
      <c r="AC557" s="6"/>
      <c r="AD557" s="6"/>
      <c r="AE557" s="6"/>
      <c r="AF557" s="6"/>
      <c r="AG557" s="79"/>
      <c r="AH557" s="6"/>
      <c r="AI557" s="6"/>
      <c r="AJ557" s="6"/>
      <c r="AK557" s="6"/>
      <c r="AL557" s="79"/>
      <c r="AM557" s="6"/>
      <c r="AN557" s="6"/>
      <c r="AO557" s="6"/>
      <c r="AP557" s="6"/>
      <c r="AQ557" s="79"/>
      <c r="AR557" s="6"/>
      <c r="AS557" s="6"/>
      <c r="AT557" s="6"/>
      <c r="AU557" s="6"/>
      <c r="AV557" s="79"/>
      <c r="AW557" s="6"/>
      <c r="AX557" s="6"/>
      <c r="AY557" s="6"/>
      <c r="AZ557" s="6"/>
      <c r="BA557" s="79"/>
      <c r="BB557" s="6"/>
      <c r="BC557" s="6"/>
      <c r="BD557" s="6"/>
      <c r="BE557" s="6"/>
      <c r="BF557" s="79"/>
      <c r="BG557" s="6"/>
      <c r="BH557" s="6"/>
      <c r="BI557" s="6"/>
      <c r="BJ557" s="6"/>
      <c r="BK557" s="79"/>
      <c r="BL557" s="6"/>
      <c r="BM557" s="6"/>
      <c r="BN557" s="6"/>
      <c r="BO557" s="6"/>
      <c r="BP557" s="79"/>
      <c r="BQ557" s="6"/>
      <c r="BR557" s="6"/>
      <c r="BS557" s="6"/>
      <c r="BT557" s="6"/>
      <c r="BU557" s="79"/>
      <c r="BV557" s="6"/>
      <c r="BW557" s="6"/>
      <c r="BX557" s="6"/>
      <c r="BY557" s="6"/>
      <c r="BZ557" s="79"/>
      <c r="CA557" s="6"/>
      <c r="CB557" s="6"/>
      <c r="CC557" s="6"/>
      <c r="CD557" s="6"/>
      <c r="CE557" s="79"/>
      <c r="CF557" s="6"/>
      <c r="CG557" s="6"/>
      <c r="CH557" s="6"/>
      <c r="CI557" s="6"/>
      <c r="CJ557" s="79"/>
      <c r="CK557" s="6"/>
      <c r="CL557" s="6"/>
      <c r="CM557" s="6"/>
      <c r="CN557" s="6"/>
      <c r="CO557" s="79"/>
      <c r="CP557" s="6"/>
      <c r="CQ557" s="6"/>
      <c r="CR557" s="6"/>
      <c r="CS557" s="6"/>
      <c r="CT557" s="79"/>
      <c r="CU557" s="6"/>
      <c r="CV557" s="6"/>
      <c r="CW557" s="6"/>
      <c r="CX557" s="6"/>
      <c r="CY557" s="79"/>
      <c r="CZ557" s="6"/>
      <c r="DA557" s="6"/>
      <c r="DB557" s="6"/>
      <c r="DC557" s="6"/>
      <c r="DD557" s="79"/>
      <c r="DE557" s="6"/>
      <c r="DF557" s="6"/>
      <c r="DG557" s="6"/>
      <c r="DH557" s="6"/>
      <c r="DI557" s="79"/>
    </row>
    <row r="558" spans="1:113" ht="12" customHeight="1">
      <c r="A558" s="219"/>
      <c r="B558" s="17" t="s">
        <v>415</v>
      </c>
      <c r="C558" s="79"/>
      <c r="D558" s="6"/>
      <c r="E558" s="79"/>
      <c r="F558" s="6"/>
      <c r="G558" s="79"/>
      <c r="H558" s="6"/>
      <c r="I558" s="79"/>
      <c r="J558" s="6"/>
      <c r="K558" s="79"/>
      <c r="L558" s="6"/>
      <c r="M558" s="79"/>
      <c r="N558" s="6"/>
      <c r="O558" s="79"/>
      <c r="P558" s="6"/>
      <c r="Q558" s="79"/>
      <c r="R558" s="6"/>
      <c r="S558" s="6"/>
      <c r="T558" s="6"/>
      <c r="U558" s="6"/>
      <c r="V558" s="79"/>
      <c r="W558" s="6"/>
      <c r="X558" s="6"/>
      <c r="Y558" s="6"/>
      <c r="Z558" s="6"/>
      <c r="AA558" s="79"/>
      <c r="AB558" s="79"/>
      <c r="AC558" s="6"/>
      <c r="AD558" s="6"/>
      <c r="AE558" s="6"/>
      <c r="AF558" s="6"/>
      <c r="AG558" s="79"/>
      <c r="AH558" s="6"/>
      <c r="AI558" s="6"/>
      <c r="AJ558" s="6"/>
      <c r="AK558" s="6"/>
      <c r="AL558" s="79"/>
      <c r="AM558" s="6"/>
      <c r="AN558" s="6"/>
      <c r="AO558" s="6"/>
      <c r="AP558" s="6"/>
      <c r="AQ558" s="79"/>
      <c r="AR558" s="6"/>
      <c r="AS558" s="6"/>
      <c r="AT558" s="6"/>
      <c r="AU558" s="6"/>
      <c r="AV558" s="79"/>
      <c r="AW558" s="6"/>
      <c r="AX558" s="6"/>
      <c r="AY558" s="6"/>
      <c r="AZ558" s="6"/>
      <c r="BA558" s="79"/>
      <c r="BB558" s="6"/>
      <c r="BC558" s="6"/>
      <c r="BD558" s="6"/>
      <c r="BE558" s="6"/>
      <c r="BF558" s="79"/>
      <c r="BG558" s="6"/>
      <c r="BH558" s="6"/>
      <c r="BI558" s="6"/>
      <c r="BJ558" s="6"/>
      <c r="BK558" s="79"/>
      <c r="BL558" s="6"/>
      <c r="BM558" s="6"/>
      <c r="BN558" s="6"/>
      <c r="BO558" s="6"/>
      <c r="BP558" s="79"/>
      <c r="BQ558" s="6"/>
      <c r="BR558" s="6"/>
      <c r="BS558" s="6"/>
      <c r="BT558" s="6"/>
      <c r="BU558" s="79"/>
      <c r="BV558" s="6"/>
      <c r="BW558" s="6"/>
      <c r="BX558" s="6"/>
      <c r="BY558" s="6"/>
      <c r="BZ558" s="79"/>
      <c r="CA558" s="6"/>
      <c r="CB558" s="6"/>
      <c r="CC558" s="6"/>
      <c r="CD558" s="6"/>
      <c r="CE558" s="36">
        <v>17</v>
      </c>
      <c r="CF558" s="43"/>
      <c r="CG558" s="43"/>
      <c r="CH558" s="43"/>
      <c r="CI558" s="43"/>
      <c r="CJ558" s="36">
        <v>17</v>
      </c>
      <c r="CK558" s="43">
        <v>4</v>
      </c>
      <c r="CL558" s="43">
        <v>4</v>
      </c>
      <c r="CM558" s="43">
        <v>3</v>
      </c>
      <c r="CN558" s="43">
        <f>CO558-CM558-CL558-CK558</f>
        <v>3</v>
      </c>
      <c r="CO558" s="36">
        <v>14</v>
      </c>
      <c r="CP558" s="43">
        <v>2</v>
      </c>
      <c r="CQ558" s="43">
        <v>2</v>
      </c>
      <c r="CR558" s="43">
        <v>2</v>
      </c>
      <c r="CS558" s="43">
        <f>CT558-CR558-CQ558-CP558</f>
        <v>2</v>
      </c>
      <c r="CT558" s="36">
        <v>8</v>
      </c>
      <c r="CU558" s="43"/>
      <c r="CV558" s="43"/>
      <c r="CW558" s="43"/>
      <c r="CX558" s="43"/>
      <c r="CY558" s="36"/>
      <c r="CZ558" s="43"/>
      <c r="DA558" s="43"/>
      <c r="DB558" s="43"/>
      <c r="DC558" s="43"/>
      <c r="DD558" s="36"/>
      <c r="DE558" s="43"/>
      <c r="DF558" s="43"/>
      <c r="DG558" s="43"/>
      <c r="DH558" s="43"/>
      <c r="DI558" s="36"/>
    </row>
    <row r="559" spans="1:113" ht="12" customHeight="1">
      <c r="A559" s="219"/>
      <c r="B559" s="17" t="s">
        <v>416</v>
      </c>
      <c r="C559" s="79"/>
      <c r="D559" s="6"/>
      <c r="E559" s="79"/>
      <c r="F559" s="6"/>
      <c r="G559" s="79"/>
      <c r="H559" s="6"/>
      <c r="I559" s="79"/>
      <c r="J559" s="6"/>
      <c r="K559" s="79"/>
      <c r="L559" s="6"/>
      <c r="M559" s="79"/>
      <c r="N559" s="6"/>
      <c r="O559" s="79"/>
      <c r="P559" s="6"/>
      <c r="Q559" s="79"/>
      <c r="R559" s="6"/>
      <c r="S559" s="6"/>
      <c r="T559" s="6"/>
      <c r="U559" s="6"/>
      <c r="V559" s="79"/>
      <c r="W559" s="6"/>
      <c r="X559" s="6"/>
      <c r="Y559" s="6"/>
      <c r="Z559" s="6"/>
      <c r="AA559" s="79"/>
      <c r="AB559" s="79"/>
      <c r="AC559" s="6"/>
      <c r="AD559" s="6"/>
      <c r="AE559" s="6"/>
      <c r="AF559" s="6"/>
      <c r="AG559" s="79"/>
      <c r="AH559" s="6"/>
      <c r="AI559" s="6"/>
      <c r="AJ559" s="6"/>
      <c r="AK559" s="6"/>
      <c r="AL559" s="79"/>
      <c r="AM559" s="6"/>
      <c r="AN559" s="6"/>
      <c r="AO559" s="6"/>
      <c r="AP559" s="6"/>
      <c r="AQ559" s="79"/>
      <c r="AR559" s="6"/>
      <c r="AS559" s="6"/>
      <c r="AT559" s="6"/>
      <c r="AU559" s="6"/>
      <c r="AV559" s="79"/>
      <c r="AW559" s="6"/>
      <c r="AX559" s="6"/>
      <c r="AY559" s="6"/>
      <c r="AZ559" s="6"/>
      <c r="BA559" s="79"/>
      <c r="BB559" s="6"/>
      <c r="BC559" s="6"/>
      <c r="BD559" s="6"/>
      <c r="BE559" s="6"/>
      <c r="BF559" s="79"/>
      <c r="BG559" s="6"/>
      <c r="BH559" s="6"/>
      <c r="BI559" s="6"/>
      <c r="BJ559" s="6"/>
      <c r="BK559" s="79"/>
      <c r="BL559" s="6"/>
      <c r="BM559" s="6"/>
      <c r="BN559" s="6"/>
      <c r="BO559" s="6"/>
      <c r="BP559" s="79"/>
      <c r="BQ559" s="6"/>
      <c r="BR559" s="6"/>
      <c r="BS559" s="6"/>
      <c r="BT559" s="6"/>
      <c r="BU559" s="79"/>
      <c r="BV559" s="6"/>
      <c r="BW559" s="6"/>
      <c r="BX559" s="6"/>
      <c r="BY559" s="6"/>
      <c r="BZ559" s="79"/>
      <c r="CA559" s="6"/>
      <c r="CB559" s="6"/>
      <c r="CC559" s="6"/>
      <c r="CD559" s="6"/>
      <c r="CE559" s="36">
        <v>305</v>
      </c>
      <c r="CF559" s="43"/>
      <c r="CG559" s="43"/>
      <c r="CH559" s="43"/>
      <c r="CI559" s="43"/>
      <c r="CJ559" s="36">
        <v>296</v>
      </c>
      <c r="CK559" s="39" t="s">
        <v>126</v>
      </c>
      <c r="CL559" s="39" t="s">
        <v>126</v>
      </c>
      <c r="CM559" s="39" t="s">
        <v>126</v>
      </c>
      <c r="CN559" s="39" t="s">
        <v>126</v>
      </c>
      <c r="CO559" s="36">
        <v>272</v>
      </c>
      <c r="CP559" s="43">
        <v>247</v>
      </c>
      <c r="CQ559" s="43">
        <v>229</v>
      </c>
      <c r="CR559" s="7">
        <v>195</v>
      </c>
      <c r="CS559" s="43">
        <f>CT559-CR559-CQ559-CP559</f>
        <v>-500</v>
      </c>
      <c r="CT559" s="36">
        <v>171</v>
      </c>
      <c r="CU559" s="43"/>
      <c r="CV559" s="43"/>
      <c r="CW559" s="43"/>
      <c r="CX559" s="43"/>
      <c r="CY559" s="36"/>
      <c r="CZ559" s="43"/>
      <c r="DA559" s="43"/>
      <c r="DB559" s="43"/>
      <c r="DC559" s="43"/>
      <c r="DD559" s="36"/>
      <c r="DE559" s="43"/>
      <c r="DF559" s="43"/>
      <c r="DG559" s="43"/>
      <c r="DH559" s="43"/>
      <c r="DI559" s="36"/>
    </row>
    <row r="560" spans="1:113" ht="12" customHeight="1">
      <c r="A560" s="219"/>
      <c r="B560" s="491" t="s">
        <v>348</v>
      </c>
      <c r="C560" s="79"/>
      <c r="D560" s="6"/>
      <c r="E560" s="79"/>
      <c r="F560" s="6"/>
      <c r="G560" s="79"/>
      <c r="H560" s="6"/>
      <c r="I560" s="79"/>
      <c r="J560" s="6"/>
      <c r="K560" s="79"/>
      <c r="L560" s="6"/>
      <c r="M560" s="79"/>
      <c r="N560" s="6"/>
      <c r="O560" s="79"/>
      <c r="P560" s="6"/>
      <c r="Q560" s="79"/>
      <c r="R560" s="6"/>
      <c r="S560" s="6"/>
      <c r="T560" s="6"/>
      <c r="U560" s="6"/>
      <c r="V560" s="79"/>
      <c r="W560" s="6"/>
      <c r="X560" s="6"/>
      <c r="Y560" s="6"/>
      <c r="Z560" s="6"/>
      <c r="AA560" s="79"/>
      <c r="AB560" s="79"/>
      <c r="AC560" s="6"/>
      <c r="AD560" s="6"/>
      <c r="AE560" s="6"/>
      <c r="AF560" s="6"/>
      <c r="AG560" s="79"/>
      <c r="AH560" s="6"/>
      <c r="AI560" s="6"/>
      <c r="AJ560" s="6"/>
      <c r="AK560" s="6"/>
      <c r="AL560" s="79"/>
      <c r="AM560" s="6"/>
      <c r="AN560" s="6"/>
      <c r="AO560" s="6"/>
      <c r="AP560" s="6"/>
      <c r="AQ560" s="79"/>
      <c r="AR560" s="6"/>
      <c r="AS560" s="6"/>
      <c r="AT560" s="6"/>
      <c r="AU560" s="6"/>
      <c r="AV560" s="79"/>
      <c r="AW560" s="6"/>
      <c r="AX560" s="6"/>
      <c r="AY560" s="6"/>
      <c r="AZ560" s="6"/>
      <c r="BA560" s="79"/>
      <c r="BB560" s="6"/>
      <c r="BC560" s="6"/>
      <c r="BD560" s="6"/>
      <c r="BE560" s="6"/>
      <c r="BF560" s="79"/>
      <c r="BG560" s="6"/>
      <c r="BH560" s="6"/>
      <c r="BI560" s="6"/>
      <c r="BJ560" s="6"/>
      <c r="BK560" s="79"/>
      <c r="BL560" s="6"/>
      <c r="BM560" s="6"/>
      <c r="BN560" s="6"/>
      <c r="BO560" s="6"/>
      <c r="BP560" s="79"/>
      <c r="BQ560" s="6"/>
      <c r="BR560" s="6"/>
      <c r="BS560" s="6"/>
      <c r="BT560" s="6"/>
      <c r="BU560" s="79"/>
      <c r="BV560" s="6"/>
      <c r="BW560" s="6"/>
      <c r="BX560" s="6"/>
      <c r="BY560" s="6"/>
      <c r="BZ560" s="79"/>
      <c r="CA560" s="6"/>
      <c r="CB560" s="6"/>
      <c r="CC560" s="6"/>
      <c r="CD560" s="6"/>
      <c r="CE560" s="232" t="s">
        <v>126</v>
      </c>
      <c r="CF560" s="27"/>
      <c r="CG560" s="27"/>
      <c r="CH560" s="27"/>
      <c r="CI560" s="27"/>
      <c r="CJ560" s="112">
        <f>CJ559/CE559-1</f>
        <v>-2.9508196721311442E-2</v>
      </c>
      <c r="CK560" s="39" t="s">
        <v>126</v>
      </c>
      <c r="CL560" s="39" t="s">
        <v>126</v>
      </c>
      <c r="CM560" s="39" t="s">
        <v>126</v>
      </c>
      <c r="CN560" s="39" t="s">
        <v>126</v>
      </c>
      <c r="CO560" s="112">
        <f>CO559/CJ559-1</f>
        <v>-8.108108108108103E-2</v>
      </c>
      <c r="CP560" s="213" t="s">
        <v>126</v>
      </c>
      <c r="CQ560" s="213" t="s">
        <v>126</v>
      </c>
      <c r="CR560" s="213" t="s">
        <v>126</v>
      </c>
      <c r="CS560" s="39" t="s">
        <v>126</v>
      </c>
      <c r="CT560" s="112">
        <f>CT559/CO559-1</f>
        <v>-0.37132352941176472</v>
      </c>
      <c r="CU560" s="27"/>
      <c r="CV560" s="27"/>
      <c r="CW560" s="27"/>
      <c r="CX560" s="27"/>
      <c r="CY560" s="112"/>
      <c r="CZ560" s="27"/>
      <c r="DA560" s="27"/>
      <c r="DB560" s="27"/>
      <c r="DC560" s="27"/>
      <c r="DD560" s="112"/>
      <c r="DE560" s="27"/>
      <c r="DF560" s="27"/>
      <c r="DG560" s="27"/>
      <c r="DH560" s="27"/>
      <c r="DI560" s="112"/>
    </row>
    <row r="561" spans="1:113" ht="12" customHeight="1">
      <c r="A561" s="219"/>
      <c r="B561" s="17"/>
      <c r="C561" s="79"/>
      <c r="D561" s="6"/>
      <c r="E561" s="79"/>
      <c r="F561" s="6"/>
      <c r="G561" s="79"/>
      <c r="H561" s="6"/>
      <c r="I561" s="79"/>
      <c r="J561" s="6"/>
      <c r="K561" s="79"/>
      <c r="L561" s="6"/>
      <c r="M561" s="79"/>
      <c r="N561" s="6"/>
      <c r="O561" s="79"/>
      <c r="P561" s="6"/>
      <c r="Q561" s="79"/>
      <c r="R561" s="6"/>
      <c r="S561" s="6"/>
      <c r="T561" s="6"/>
      <c r="U561" s="6"/>
      <c r="V561" s="79"/>
      <c r="W561" s="6"/>
      <c r="X561" s="6"/>
      <c r="Y561" s="6"/>
      <c r="Z561" s="6"/>
      <c r="AA561" s="79"/>
      <c r="AB561" s="79"/>
      <c r="AC561" s="6"/>
      <c r="AD561" s="6"/>
      <c r="AE561" s="6"/>
      <c r="AF561" s="6"/>
      <c r="AG561" s="79"/>
      <c r="AH561" s="6"/>
      <c r="AI561" s="6"/>
      <c r="AJ561" s="6"/>
      <c r="AK561" s="6"/>
      <c r="AL561" s="79"/>
      <c r="AM561" s="6"/>
      <c r="AN561" s="6"/>
      <c r="AO561" s="6"/>
      <c r="AP561" s="6"/>
      <c r="AQ561" s="79"/>
      <c r="AR561" s="6"/>
      <c r="AS561" s="6"/>
      <c r="AT561" s="6"/>
      <c r="AU561" s="6"/>
      <c r="AV561" s="79"/>
      <c r="AW561" s="6"/>
      <c r="AX561" s="6"/>
      <c r="AY561" s="6"/>
      <c r="AZ561" s="6"/>
      <c r="BA561" s="79"/>
      <c r="BB561" s="6"/>
      <c r="BC561" s="6"/>
      <c r="BD561" s="6"/>
      <c r="BE561" s="6"/>
      <c r="BF561" s="79"/>
      <c r="BG561" s="6"/>
      <c r="BH561" s="6"/>
      <c r="BI561" s="6"/>
      <c r="BJ561" s="6"/>
      <c r="BK561" s="79"/>
      <c r="BL561" s="6"/>
      <c r="BM561" s="6"/>
      <c r="BN561" s="6"/>
      <c r="BO561" s="6"/>
      <c r="BP561" s="79"/>
      <c r="BQ561" s="6"/>
      <c r="BR561" s="6"/>
      <c r="BS561" s="6"/>
      <c r="BT561" s="6"/>
      <c r="BU561" s="79"/>
      <c r="BV561" s="6"/>
      <c r="BW561" s="6"/>
      <c r="BX561" s="6"/>
      <c r="BY561" s="6"/>
      <c r="BZ561" s="79"/>
      <c r="CA561" s="6"/>
      <c r="CB561" s="6"/>
      <c r="CC561" s="6"/>
      <c r="CD561" s="6"/>
      <c r="CE561" s="79"/>
      <c r="CF561" s="6"/>
      <c r="CG561" s="6"/>
      <c r="CH561" s="6"/>
      <c r="CI561" s="6"/>
      <c r="CJ561" s="79"/>
      <c r="CK561" s="6"/>
      <c r="CL561" s="6"/>
      <c r="CM561" s="6"/>
      <c r="CN561" s="6"/>
      <c r="CO561" s="79"/>
      <c r="CP561" s="6"/>
      <c r="CQ561" s="6"/>
      <c r="CR561" s="6"/>
      <c r="CS561" s="6"/>
      <c r="CT561" s="79"/>
      <c r="CU561" s="6"/>
      <c r="CV561" s="6"/>
      <c r="CW561" s="6"/>
      <c r="CX561" s="6"/>
      <c r="CY561" s="79"/>
      <c r="CZ561" s="6"/>
      <c r="DA561" s="6"/>
      <c r="DB561" s="6"/>
      <c r="DC561" s="6"/>
      <c r="DD561" s="79"/>
      <c r="DE561" s="6"/>
      <c r="DF561" s="6"/>
      <c r="DG561" s="6"/>
      <c r="DH561" s="6"/>
      <c r="DI561" s="79"/>
    </row>
    <row r="562" spans="1:113" ht="12" customHeight="1">
      <c r="A562" s="5" t="str">
        <f t="shared" si="1527"/>
        <v xml:space="preserve"> </v>
      </c>
      <c r="B562" s="61" t="s">
        <v>94</v>
      </c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37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90"/>
      <c r="AP562" s="90"/>
      <c r="AQ562" s="89"/>
      <c r="AR562" s="89"/>
      <c r="AS562" s="89"/>
      <c r="AT562" s="90"/>
      <c r="AU562" s="90"/>
      <c r="AV562" s="90"/>
      <c r="AW562" s="89"/>
      <c r="AX562" s="89"/>
      <c r="AY562" s="90"/>
      <c r="AZ562" s="90"/>
      <c r="BA562" s="90"/>
      <c r="BB562" s="89"/>
      <c r="BC562" s="89"/>
      <c r="BD562" s="90"/>
      <c r="BE562" s="90"/>
      <c r="BF562" s="90"/>
      <c r="BG562" s="89"/>
      <c r="BH562" s="89"/>
      <c r="BI562" s="90"/>
      <c r="BJ562" s="90"/>
      <c r="BK562" s="90"/>
      <c r="BL562" s="89"/>
      <c r="BM562" s="89"/>
      <c r="BN562" s="90"/>
      <c r="BO562" s="90"/>
      <c r="BP562" s="90"/>
      <c r="BQ562" s="89"/>
      <c r="BR562" s="89"/>
      <c r="BS562" s="90"/>
      <c r="BT562" s="90"/>
      <c r="BU562" s="90"/>
      <c r="BV562" s="89"/>
      <c r="BW562" s="89"/>
      <c r="BX562" s="90"/>
      <c r="BY562" s="90"/>
      <c r="BZ562" s="90"/>
      <c r="CA562" s="89"/>
      <c r="CB562" s="89"/>
      <c r="CC562" s="90"/>
      <c r="CD562" s="90"/>
      <c r="CE562" s="90"/>
      <c r="CF562" s="89"/>
      <c r="CG562" s="89"/>
      <c r="CH562" s="90"/>
      <c r="CI562" s="90"/>
      <c r="CJ562" s="90"/>
      <c r="CK562" s="89"/>
      <c r="CL562" s="89"/>
      <c r="CM562" s="90"/>
      <c r="CN562" s="90"/>
      <c r="CO562" s="90"/>
      <c r="CP562" s="89"/>
      <c r="CQ562" s="89"/>
      <c r="CR562" s="90"/>
      <c r="CS562" s="90"/>
      <c r="CT562" s="90"/>
      <c r="CU562" s="89"/>
      <c r="CV562" s="47"/>
      <c r="CW562" s="208"/>
      <c r="CX562" s="89"/>
      <c r="CY562" s="47"/>
      <c r="CZ562" s="89"/>
      <c r="DA562" s="47"/>
      <c r="DB562" s="89"/>
      <c r="DC562" s="47"/>
      <c r="DD562" s="89"/>
      <c r="DE562" s="47"/>
      <c r="DF562" s="89"/>
      <c r="DG562" s="90"/>
      <c r="DH562" s="90"/>
      <c r="DI562" s="182"/>
    </row>
    <row r="563" spans="1:113" s="7" customFormat="1" ht="12" customHeight="1">
      <c r="A563" s="239" t="str">
        <f t="shared" si="1527"/>
        <v xml:space="preserve"> </v>
      </c>
      <c r="B563" s="20" t="s">
        <v>197</v>
      </c>
      <c r="C563" s="36"/>
      <c r="D563" s="43"/>
      <c r="E563" s="36"/>
      <c r="F563" s="43"/>
      <c r="G563" s="36"/>
      <c r="H563" s="43"/>
      <c r="I563" s="36"/>
      <c r="J563" s="43"/>
      <c r="K563" s="36"/>
      <c r="L563" s="43"/>
      <c r="M563" s="36"/>
      <c r="N563" s="43"/>
      <c r="O563" s="36"/>
      <c r="P563" s="43"/>
      <c r="Q563" s="36"/>
      <c r="R563" s="43">
        <v>-2</v>
      </c>
      <c r="S563" s="43">
        <v>-28</v>
      </c>
      <c r="T563" s="43">
        <v>-26</v>
      </c>
      <c r="U563" s="43">
        <v>-13</v>
      </c>
      <c r="V563" s="36">
        <f>SUM(R563:U563)</f>
        <v>-69</v>
      </c>
      <c r="W563" s="43">
        <v>-5</v>
      </c>
      <c r="X563" s="43">
        <v>-4</v>
      </c>
      <c r="Y563" s="43">
        <v>-8</v>
      </c>
      <c r="Z563" s="43">
        <v>-22</v>
      </c>
      <c r="AA563" s="36">
        <f>SUM(W563:Z563)</f>
        <v>-39</v>
      </c>
      <c r="AB563" s="36"/>
      <c r="AC563" s="43">
        <v>-11</v>
      </c>
      <c r="AD563" s="43">
        <v>-9</v>
      </c>
      <c r="AE563" s="43">
        <v>-3</v>
      </c>
      <c r="AF563" s="43">
        <v>6</v>
      </c>
      <c r="AG563" s="36">
        <f>SUM(AC563:AF563)</f>
        <v>-17</v>
      </c>
      <c r="AH563" s="43">
        <v>9</v>
      </c>
      <c r="AI563" s="43">
        <v>1</v>
      </c>
      <c r="AJ563" s="43">
        <v>-2</v>
      </c>
      <c r="AK563" s="43">
        <v>-5</v>
      </c>
      <c r="AL563" s="36">
        <f>SUM(AH563:AK563)</f>
        <v>3</v>
      </c>
      <c r="AM563" s="43">
        <v>-14</v>
      </c>
      <c r="AN563" s="43">
        <v>-13</v>
      </c>
      <c r="AO563" s="43">
        <v>-17</v>
      </c>
      <c r="AP563" s="43">
        <v>-38</v>
      </c>
      <c r="AQ563" s="36">
        <f>SUM(AM563:AP563)</f>
        <v>-82</v>
      </c>
      <c r="AR563" s="43">
        <v>-39</v>
      </c>
      <c r="AS563" s="43">
        <v>-29</v>
      </c>
      <c r="AT563" s="43">
        <v>-24</v>
      </c>
      <c r="AU563" s="43">
        <v>6</v>
      </c>
      <c r="AV563" s="36">
        <f>SUM(AR563:AU563)</f>
        <v>-86</v>
      </c>
      <c r="AW563" s="43">
        <v>28</v>
      </c>
      <c r="AX563" s="43">
        <v>40</v>
      </c>
      <c r="AY563" s="43">
        <v>11</v>
      </c>
      <c r="AZ563" s="43">
        <v>-4</v>
      </c>
      <c r="BA563" s="36">
        <f>SUM(AW563:AZ563)</f>
        <v>75</v>
      </c>
      <c r="BB563" s="43">
        <v>2</v>
      </c>
      <c r="BC563" s="43">
        <v>10</v>
      </c>
      <c r="BD563" s="257">
        <v>6</v>
      </c>
      <c r="BE563" s="257">
        <v>8</v>
      </c>
      <c r="BF563" s="259">
        <f>SUM(BB563:BE563)</f>
        <v>26</v>
      </c>
      <c r="BG563" s="257">
        <v>4</v>
      </c>
      <c r="BH563" s="257">
        <v>3</v>
      </c>
      <c r="BI563" s="257">
        <v>0</v>
      </c>
      <c r="BJ563" s="257">
        <v>-14</v>
      </c>
      <c r="BK563" s="259">
        <f>SUM(BG563:BJ563)</f>
        <v>-7</v>
      </c>
      <c r="BL563" s="257">
        <v>9</v>
      </c>
      <c r="BM563" s="257">
        <v>2</v>
      </c>
      <c r="BN563" s="257">
        <v>-18</v>
      </c>
      <c r="BO563" s="257">
        <v>-4</v>
      </c>
      <c r="BP563" s="259">
        <f>SUM(BL563:BO563)</f>
        <v>-11</v>
      </c>
      <c r="BQ563" s="257">
        <v>13</v>
      </c>
      <c r="BR563" s="257">
        <v>26</v>
      </c>
      <c r="BS563" s="257">
        <v>14</v>
      </c>
      <c r="BT563" s="257">
        <v>-13</v>
      </c>
      <c r="BU563" s="259">
        <f>SUM(BQ563:BT563)</f>
        <v>40</v>
      </c>
      <c r="BV563" s="257">
        <v>-21</v>
      </c>
      <c r="BW563" s="257">
        <v>-16</v>
      </c>
      <c r="BX563" s="257">
        <v>-19</v>
      </c>
      <c r="BY563" s="257">
        <v>-16</v>
      </c>
      <c r="BZ563" s="259">
        <f>SUM(BV563:BY563)</f>
        <v>-72</v>
      </c>
      <c r="CA563" s="257">
        <v>-4</v>
      </c>
      <c r="CB563" s="257">
        <v>5</v>
      </c>
      <c r="CC563" s="257">
        <v>12</v>
      </c>
      <c r="CD563" s="257">
        <v>14</v>
      </c>
      <c r="CE563" s="259">
        <f>SUM(CA563:CD563)</f>
        <v>27</v>
      </c>
      <c r="CF563" s="257">
        <v>-2</v>
      </c>
      <c r="CG563" s="257">
        <v>-3</v>
      </c>
      <c r="CH563" s="257">
        <v>-14</v>
      </c>
      <c r="CI563" s="257">
        <v>-23</v>
      </c>
      <c r="CJ563" s="259">
        <f>SUM(CF563:CI563)</f>
        <v>-42</v>
      </c>
      <c r="CK563" s="257">
        <v>-23</v>
      </c>
      <c r="CL563" s="257">
        <v>-25</v>
      </c>
      <c r="CM563" s="257">
        <v>-26</v>
      </c>
      <c r="CN563" s="257">
        <v>-23</v>
      </c>
      <c r="CO563" s="259">
        <f>SUM(CK563:CN563)</f>
        <v>-97</v>
      </c>
      <c r="CP563" s="257">
        <v>-8</v>
      </c>
      <c r="CQ563" s="257">
        <v>3</v>
      </c>
      <c r="CR563" s="257">
        <v>3</v>
      </c>
      <c r="CS563" s="257">
        <v>4</v>
      </c>
      <c r="CT563" s="259">
        <f>SUM(CP563:CS563)</f>
        <v>2</v>
      </c>
      <c r="CU563" s="257">
        <v>-2</v>
      </c>
      <c r="CV563" s="263">
        <v>0</v>
      </c>
      <c r="CW563" s="263">
        <v>0</v>
      </c>
      <c r="CX563" s="263">
        <v>0</v>
      </c>
      <c r="CY563" s="259">
        <f>SUM(CU563:CX563)</f>
        <v>-2</v>
      </c>
      <c r="CZ563" s="263">
        <v>0</v>
      </c>
      <c r="DA563" s="263">
        <v>0</v>
      </c>
      <c r="DB563" s="263">
        <v>0</v>
      </c>
      <c r="DC563" s="263">
        <v>0</v>
      </c>
      <c r="DD563" s="259">
        <f>SUM(CZ563:DC563)</f>
        <v>0</v>
      </c>
      <c r="DE563" s="263">
        <v>0</v>
      </c>
      <c r="DF563" s="263">
        <v>0</v>
      </c>
      <c r="DG563" s="263">
        <v>0</v>
      </c>
      <c r="DH563" s="263">
        <v>0</v>
      </c>
      <c r="DI563" s="259">
        <f>SUM(DE563:DH563)</f>
        <v>0</v>
      </c>
    </row>
    <row r="564" spans="1:113" ht="12" customHeight="1">
      <c r="A564" s="219" t="str">
        <f t="shared" si="1527"/>
        <v xml:space="preserve"> </v>
      </c>
      <c r="B564" s="491" t="s">
        <v>171</v>
      </c>
      <c r="C564" s="492"/>
      <c r="D564" s="522"/>
      <c r="E564" s="492"/>
      <c r="F564" s="522"/>
      <c r="G564" s="492"/>
      <c r="H564" s="522"/>
      <c r="I564" s="492"/>
      <c r="J564" s="522"/>
      <c r="K564" s="492"/>
      <c r="L564" s="522"/>
      <c r="M564" s="492"/>
      <c r="N564" s="522"/>
      <c r="O564" s="492"/>
      <c r="P564" s="522"/>
      <c r="Q564" s="492"/>
      <c r="R564" s="378" t="s">
        <v>126</v>
      </c>
      <c r="S564" s="522" t="s">
        <v>126</v>
      </c>
      <c r="T564" s="522" t="s">
        <v>126</v>
      </c>
      <c r="U564" s="522" t="s">
        <v>126</v>
      </c>
      <c r="V564" s="492" t="s">
        <v>126</v>
      </c>
      <c r="W564" s="52">
        <f>+W563/R563-1</f>
        <v>1.5</v>
      </c>
      <c r="X564" s="52">
        <f>+X563/S563-1</f>
        <v>-0.85714285714285721</v>
      </c>
      <c r="Y564" s="52">
        <f>+Y563/T563-1</f>
        <v>-0.69230769230769229</v>
      </c>
      <c r="Z564" s="52">
        <f>+Z563/U563-1</f>
        <v>0.69230769230769229</v>
      </c>
      <c r="AA564" s="112">
        <f>+AA563/V563-1</f>
        <v>-0.43478260869565222</v>
      </c>
      <c r="AB564" s="112"/>
      <c r="AC564" s="52">
        <f>+AC563/W563-1</f>
        <v>1.2000000000000002</v>
      </c>
      <c r="AD564" s="52">
        <f>+AD563/X563-1</f>
        <v>1.25</v>
      </c>
      <c r="AE564" s="52">
        <f>+AE563/Y563-1</f>
        <v>-0.625</v>
      </c>
      <c r="AF564" s="52">
        <f>+AF563/Z563-1</f>
        <v>-1.2727272727272727</v>
      </c>
      <c r="AG564" s="112">
        <f>+AG563/AA563-1</f>
        <v>-0.5641025641025641</v>
      </c>
      <c r="AH564" s="52">
        <f t="shared" ref="AH564:BM564" si="1653">+AH563/AC563-1</f>
        <v>-1.8181818181818183</v>
      </c>
      <c r="AI564" s="52">
        <f t="shared" si="1653"/>
        <v>-1.1111111111111112</v>
      </c>
      <c r="AJ564" s="52">
        <f t="shared" si="1653"/>
        <v>-0.33333333333333337</v>
      </c>
      <c r="AK564" s="52">
        <f t="shared" si="1653"/>
        <v>-1.8333333333333335</v>
      </c>
      <c r="AL564" s="112">
        <f t="shared" si="1653"/>
        <v>-1.1764705882352942</v>
      </c>
      <c r="AM564" s="52">
        <f t="shared" si="1653"/>
        <v>-2.5555555555555554</v>
      </c>
      <c r="AN564" s="52">
        <f t="shared" si="1653"/>
        <v>-14</v>
      </c>
      <c r="AO564" s="52">
        <f t="shared" si="1653"/>
        <v>7.5</v>
      </c>
      <c r="AP564" s="52">
        <f t="shared" si="1653"/>
        <v>6.6</v>
      </c>
      <c r="AQ564" s="112">
        <f t="shared" si="1653"/>
        <v>-28.333333333333332</v>
      </c>
      <c r="AR564" s="52">
        <f t="shared" si="1653"/>
        <v>1.7857142857142856</v>
      </c>
      <c r="AS564" s="52">
        <f t="shared" si="1653"/>
        <v>1.2307692307692308</v>
      </c>
      <c r="AT564" s="52">
        <f t="shared" si="1653"/>
        <v>0.41176470588235303</v>
      </c>
      <c r="AU564" s="52">
        <f t="shared" si="1653"/>
        <v>-1.1578947368421053</v>
      </c>
      <c r="AV564" s="112">
        <f t="shared" si="1653"/>
        <v>4.8780487804878092E-2</v>
      </c>
      <c r="AW564" s="52">
        <f t="shared" si="1653"/>
        <v>-1.7179487179487181</v>
      </c>
      <c r="AX564" s="52">
        <f t="shared" si="1653"/>
        <v>-2.3793103448275863</v>
      </c>
      <c r="AY564" s="52">
        <f t="shared" si="1653"/>
        <v>-1.4583333333333333</v>
      </c>
      <c r="AZ564" s="52">
        <f t="shared" si="1653"/>
        <v>-1.6666666666666665</v>
      </c>
      <c r="BA564" s="112">
        <f t="shared" si="1653"/>
        <v>-1.8720930232558139</v>
      </c>
      <c r="BB564" s="52">
        <f t="shared" si="1653"/>
        <v>-0.9285714285714286</v>
      </c>
      <c r="BC564" s="52">
        <f t="shared" si="1653"/>
        <v>-0.75</v>
      </c>
      <c r="BD564" s="52">
        <f t="shared" si="1653"/>
        <v>-0.45454545454545459</v>
      </c>
      <c r="BE564" s="52">
        <f t="shared" si="1653"/>
        <v>-3</v>
      </c>
      <c r="BF564" s="112">
        <f t="shared" si="1653"/>
        <v>-0.65333333333333332</v>
      </c>
      <c r="BG564" s="52">
        <f t="shared" si="1653"/>
        <v>1</v>
      </c>
      <c r="BH564" s="52">
        <f t="shared" si="1653"/>
        <v>-0.7</v>
      </c>
      <c r="BI564" s="52">
        <f t="shared" si="1653"/>
        <v>-1</v>
      </c>
      <c r="BJ564" s="52">
        <f t="shared" si="1653"/>
        <v>-2.75</v>
      </c>
      <c r="BK564" s="112">
        <f>+BK563/BF563-1</f>
        <v>-1.2692307692307692</v>
      </c>
      <c r="BL564" s="52">
        <f t="shared" si="1653"/>
        <v>1.25</v>
      </c>
      <c r="BM564" s="52">
        <f t="shared" si="1653"/>
        <v>-0.33333333333333337</v>
      </c>
      <c r="BN564" s="52" t="str">
        <f t="shared" ref="BN564:BU564" si="1654">+IFERROR(BN563/BI563-1,"--")</f>
        <v>--</v>
      </c>
      <c r="BO564" s="52">
        <f t="shared" si="1654"/>
        <v>-0.7142857142857143</v>
      </c>
      <c r="BP564" s="112">
        <f t="shared" si="1654"/>
        <v>0.5714285714285714</v>
      </c>
      <c r="BQ564" s="52">
        <f t="shared" si="1654"/>
        <v>0.44444444444444442</v>
      </c>
      <c r="BR564" s="52">
        <f t="shared" si="1654"/>
        <v>12</v>
      </c>
      <c r="BS564" s="52">
        <f t="shared" si="1654"/>
        <v>-1.7777777777777777</v>
      </c>
      <c r="BT564" s="52">
        <f t="shared" si="1654"/>
        <v>2.25</v>
      </c>
      <c r="BU564" s="112">
        <f t="shared" si="1654"/>
        <v>-4.6363636363636367</v>
      </c>
      <c r="BV564" s="52">
        <f t="shared" ref="BV564:CE564" si="1655">+IFERROR(BV563/BQ563-1,"--")</f>
        <v>-2.6153846153846154</v>
      </c>
      <c r="BW564" s="52">
        <f t="shared" si="1655"/>
        <v>-1.6153846153846154</v>
      </c>
      <c r="BX564" s="52">
        <f t="shared" si="1655"/>
        <v>-2.3571428571428572</v>
      </c>
      <c r="BY564" s="52">
        <f t="shared" si="1655"/>
        <v>0.23076923076923084</v>
      </c>
      <c r="BZ564" s="112">
        <f t="shared" si="1655"/>
        <v>-2.8</v>
      </c>
      <c r="CA564" s="52">
        <f t="shared" si="1655"/>
        <v>-0.80952380952380953</v>
      </c>
      <c r="CB564" s="52">
        <f t="shared" si="1655"/>
        <v>-1.3125</v>
      </c>
      <c r="CC564" s="52">
        <f t="shared" si="1655"/>
        <v>-1.631578947368421</v>
      </c>
      <c r="CD564" s="52">
        <f t="shared" si="1655"/>
        <v>-1.875</v>
      </c>
      <c r="CE564" s="112">
        <f t="shared" si="1655"/>
        <v>-1.375</v>
      </c>
      <c r="CF564" s="52">
        <f t="shared" ref="CF564" si="1656">+IFERROR(CF563/CA563-1,"--")</f>
        <v>-0.5</v>
      </c>
      <c r="CG564" s="52">
        <f t="shared" ref="CG564:CH564" si="1657">+IFERROR(CG563/CB563-1,"--")</f>
        <v>-1.6</v>
      </c>
      <c r="CH564" s="52">
        <f t="shared" si="1657"/>
        <v>-2.166666666666667</v>
      </c>
      <c r="CI564" s="52">
        <f t="shared" ref="CI564" si="1658">+IFERROR(CI563/CD563-1,"--")</f>
        <v>-2.6428571428571428</v>
      </c>
      <c r="CJ564" s="112">
        <f t="shared" ref="CJ564" si="1659">+IFERROR(CJ563/CE563-1,"--")</f>
        <v>-2.5555555555555554</v>
      </c>
      <c r="CK564" s="52">
        <f t="shared" ref="CK564" si="1660">+IFERROR(CK563/CF563-1,"--")</f>
        <v>10.5</v>
      </c>
      <c r="CL564" s="52">
        <f t="shared" ref="CL564" si="1661">+IFERROR(CL563/CG563-1,"--")</f>
        <v>7.3333333333333339</v>
      </c>
      <c r="CM564" s="52">
        <f t="shared" ref="CM564" si="1662">+IFERROR(CM563/CH563-1,"--")</f>
        <v>0.85714285714285721</v>
      </c>
      <c r="CN564" s="52">
        <f t="shared" ref="CN564" si="1663">+IFERROR(CN563/CI563-1,"--")</f>
        <v>0</v>
      </c>
      <c r="CO564" s="112">
        <f t="shared" ref="CO564:CP564" si="1664">+IFERROR(CO563/CJ563-1,"--")</f>
        <v>1.3095238095238093</v>
      </c>
      <c r="CP564" s="52">
        <f t="shared" si="1664"/>
        <v>-0.65217391304347827</v>
      </c>
      <c r="CQ564" s="52">
        <f t="shared" ref="CQ564" si="1665">+IFERROR(CQ563/CL563-1,"--")</f>
        <v>-1.1200000000000001</v>
      </c>
      <c r="CR564" s="52">
        <f t="shared" ref="CR564" si="1666">+IFERROR(CR563/CM563-1,"--")</f>
        <v>-1.1153846153846154</v>
      </c>
      <c r="CS564" s="52">
        <f t="shared" ref="CS564" si="1667">+IFERROR(CS563/CN563-1,"--")</f>
        <v>-1.1739130434782608</v>
      </c>
      <c r="CT564" s="112">
        <f t="shared" ref="CT564" si="1668">+IFERROR(CT563/CO563-1,"--")</f>
        <v>-1.0206185567010309</v>
      </c>
      <c r="CU564" s="52">
        <f t="shared" ref="CU564" si="1669">+IFERROR(CU563/CP563-1,"--")</f>
        <v>-0.75</v>
      </c>
      <c r="CV564" s="52">
        <f t="shared" ref="CV564" si="1670">+IFERROR(CV563/CQ563-1,"--")</f>
        <v>-1</v>
      </c>
      <c r="CW564" s="52">
        <f t="shared" ref="CW564" si="1671">+IFERROR(CW563/CR563-1,"--")</f>
        <v>-1</v>
      </c>
      <c r="CX564" s="52">
        <f t="shared" ref="CX564" si="1672">+IFERROR(CX563/CS563-1,"--")</f>
        <v>-1</v>
      </c>
      <c r="CY564" s="112">
        <f t="shared" ref="CY564" si="1673">+IFERROR(CY563/CT563-1,"--")</f>
        <v>-2</v>
      </c>
      <c r="CZ564" s="52">
        <f t="shared" ref="CZ564" si="1674">+IFERROR(CZ563/CU563-1,"--")</f>
        <v>-1</v>
      </c>
      <c r="DA564" s="52" t="str">
        <f t="shared" ref="DA564" si="1675">+IFERROR(DA563/CV563-1,"--")</f>
        <v>--</v>
      </c>
      <c r="DB564" s="52" t="str">
        <f t="shared" ref="DB564" si="1676">+IFERROR(DB563/CW563-1,"--")</f>
        <v>--</v>
      </c>
      <c r="DC564" s="52" t="str">
        <f t="shared" ref="DC564" si="1677">+IFERROR(DC563/CX563-1,"--")</f>
        <v>--</v>
      </c>
      <c r="DD564" s="112">
        <f t="shared" ref="DD564" si="1678">+IFERROR(DD563/CY563-1,"--")</f>
        <v>-1</v>
      </c>
      <c r="DE564" s="52" t="str">
        <f t="shared" ref="DE564" si="1679">+IFERROR(DE563/CZ563-1,"--")</f>
        <v>--</v>
      </c>
      <c r="DF564" s="52" t="str">
        <f t="shared" ref="DF564" si="1680">+IFERROR(DF563/DA563-1,"--")</f>
        <v>--</v>
      </c>
      <c r="DG564" s="52" t="str">
        <f t="shared" ref="DG564" si="1681">+IFERROR(DG563/DB563-1,"--")</f>
        <v>--</v>
      </c>
      <c r="DH564" s="52" t="str">
        <f t="shared" ref="DH564" si="1682">+IFERROR(DH563/DC563-1,"--")</f>
        <v>--</v>
      </c>
      <c r="DI564" s="112" t="str">
        <f t="shared" ref="DI564" si="1683">+IFERROR(DI563/DD563-1,"--")</f>
        <v>--</v>
      </c>
    </row>
    <row r="565" spans="1:113" ht="12" customHeight="1">
      <c r="A565" s="219"/>
      <c r="B565" s="17"/>
      <c r="C565" s="79"/>
      <c r="D565" s="6"/>
      <c r="E565" s="79"/>
      <c r="F565" s="6"/>
      <c r="G565" s="79"/>
      <c r="H565" s="6"/>
      <c r="I565" s="79"/>
      <c r="J565" s="6"/>
      <c r="K565" s="79"/>
      <c r="L565" s="6"/>
      <c r="M565" s="79"/>
      <c r="N565" s="6"/>
      <c r="O565" s="79"/>
      <c r="P565" s="6"/>
      <c r="Q565" s="79"/>
      <c r="R565" s="6"/>
      <c r="S565" s="6"/>
      <c r="T565" s="6"/>
      <c r="U565" s="6"/>
      <c r="V565" s="79"/>
      <c r="W565" s="6"/>
      <c r="X565" s="6"/>
      <c r="Y565" s="6"/>
      <c r="Z565" s="6"/>
      <c r="AA565" s="79"/>
      <c r="AB565" s="79"/>
      <c r="AC565" s="6"/>
      <c r="AD565" s="6"/>
      <c r="AE565" s="6"/>
      <c r="AF565" s="6"/>
      <c r="AG565" s="79"/>
      <c r="AH565" s="6"/>
      <c r="AI565" s="6"/>
      <c r="AJ565" s="6"/>
      <c r="AK565" s="6"/>
      <c r="AL565" s="79"/>
      <c r="AM565" s="6"/>
      <c r="AN565" s="6"/>
      <c r="AO565" s="6"/>
      <c r="AP565" s="6"/>
      <c r="AQ565" s="79"/>
      <c r="AR565" s="6"/>
      <c r="AS565" s="6"/>
      <c r="AT565" s="6"/>
      <c r="AU565" s="6"/>
      <c r="AV565" s="79"/>
      <c r="AW565" s="6"/>
      <c r="AX565" s="6"/>
      <c r="AY565" s="6"/>
      <c r="AZ565" s="6"/>
      <c r="BA565" s="79"/>
      <c r="BB565" s="6"/>
      <c r="BC565" s="6"/>
      <c r="BD565" s="6"/>
      <c r="BE565" s="6"/>
      <c r="BF565" s="79"/>
      <c r="BG565" s="6"/>
      <c r="BH565" s="6"/>
      <c r="BI565" s="6"/>
      <c r="BJ565" s="6"/>
      <c r="BK565" s="79"/>
      <c r="BL565" s="6"/>
      <c r="BM565" s="6"/>
      <c r="BN565" s="6"/>
      <c r="BO565" s="6"/>
      <c r="BP565" s="79"/>
      <c r="BQ565" s="6"/>
      <c r="BR565" s="6"/>
      <c r="BS565" s="6"/>
      <c r="BT565" s="6"/>
      <c r="BU565" s="79"/>
      <c r="BV565" s="6"/>
      <c r="BW565" s="6"/>
      <c r="BX565" s="6"/>
      <c r="BY565" s="6"/>
      <c r="BZ565" s="79"/>
      <c r="CA565" s="6"/>
      <c r="CB565" s="6"/>
      <c r="CC565" s="6"/>
      <c r="CD565" s="6"/>
      <c r="CE565" s="79"/>
      <c r="CF565" s="6"/>
      <c r="CG565" s="6"/>
      <c r="CH565" s="6"/>
      <c r="CI565" s="6"/>
      <c r="CJ565" s="79"/>
      <c r="CK565" s="6"/>
      <c r="CL565" s="6"/>
      <c r="CM565" s="6"/>
      <c r="CN565" s="6"/>
      <c r="CO565" s="79"/>
      <c r="CP565" s="6"/>
      <c r="CQ565" s="6"/>
      <c r="CR565" s="6"/>
      <c r="CS565" s="6"/>
      <c r="CT565" s="79"/>
      <c r="CU565" s="6"/>
      <c r="CV565" s="6"/>
      <c r="CW565" s="6"/>
      <c r="CX565" s="6"/>
      <c r="CY565" s="79"/>
      <c r="CZ565" s="6"/>
      <c r="DA565" s="6"/>
      <c r="DB565" s="6"/>
      <c r="DC565" s="6"/>
      <c r="DD565" s="79"/>
      <c r="DE565" s="6"/>
      <c r="DF565" s="6"/>
      <c r="DG565" s="6"/>
      <c r="DH565" s="6"/>
      <c r="DI565" s="79"/>
    </row>
    <row r="566" spans="1:113" ht="12" hidden="1" customHeight="1" outlineLevel="1">
      <c r="A566" s="219" t="str">
        <f t="shared" si="1527"/>
        <v xml:space="preserve"> </v>
      </c>
      <c r="B566" s="17" t="s">
        <v>199</v>
      </c>
      <c r="C566" s="79"/>
      <c r="D566" s="6"/>
      <c r="E566" s="79"/>
      <c r="F566" s="6"/>
      <c r="G566" s="79"/>
      <c r="H566" s="6"/>
      <c r="I566" s="79"/>
      <c r="J566" s="6"/>
      <c r="K566" s="79"/>
      <c r="L566" s="6"/>
      <c r="M566" s="79"/>
      <c r="N566" s="6"/>
      <c r="O566" s="79"/>
      <c r="P566" s="6"/>
      <c r="Q566" s="79"/>
      <c r="R566" s="6"/>
      <c r="S566" s="6"/>
      <c r="T566" s="6"/>
      <c r="U566" s="6"/>
      <c r="V566" s="79"/>
      <c r="W566" s="6"/>
      <c r="X566" s="6"/>
      <c r="Y566" s="6"/>
      <c r="Z566" s="6"/>
      <c r="AA566" s="79"/>
      <c r="AB566" s="79"/>
      <c r="AC566" s="6"/>
      <c r="AD566" s="6"/>
      <c r="AE566" s="6"/>
      <c r="AF566" s="6"/>
      <c r="AG566" s="79"/>
      <c r="AH566" s="6"/>
      <c r="AI566" s="6"/>
      <c r="AJ566" s="6"/>
      <c r="AK566" s="6"/>
      <c r="AL566" s="79"/>
      <c r="AM566" s="6"/>
      <c r="AN566" s="6"/>
      <c r="AO566" s="6"/>
      <c r="AP566" s="6"/>
      <c r="AQ566" s="79"/>
      <c r="AR566" s="6">
        <v>-42</v>
      </c>
      <c r="AS566" s="6">
        <v>-60</v>
      </c>
      <c r="AT566" s="5">
        <v>57</v>
      </c>
      <c r="AU566" s="6">
        <f>AV566-SUM(AR566:AT566)</f>
        <v>121</v>
      </c>
      <c r="AV566" s="79">
        <v>76</v>
      </c>
      <c r="AW566" s="6">
        <v>138</v>
      </c>
      <c r="AX566" s="6">
        <v>125</v>
      </c>
      <c r="AY566" s="6">
        <v>54</v>
      </c>
      <c r="AZ566" s="6">
        <f>BA566-SUM(AW566:AY566)</f>
        <v>-37</v>
      </c>
      <c r="BA566" s="79">
        <v>280</v>
      </c>
      <c r="BB566" s="6">
        <v>-79</v>
      </c>
      <c r="BC566" s="6">
        <v>-72</v>
      </c>
      <c r="BD566" s="6">
        <v>-59</v>
      </c>
      <c r="BE566" s="6">
        <f>BF566-SUM(BB566:BD566)</f>
        <v>-71</v>
      </c>
      <c r="BF566" s="79">
        <v>-281</v>
      </c>
      <c r="BG566" s="6">
        <v>-28</v>
      </c>
      <c r="BH566" s="582">
        <v>-43</v>
      </c>
      <c r="BI566" s="6">
        <v>-75</v>
      </c>
      <c r="BJ566" s="6">
        <f>BK566-SUM(BG566:BI566)</f>
        <v>-130</v>
      </c>
      <c r="BK566" s="79">
        <v>-276</v>
      </c>
      <c r="BL566" s="582">
        <v>-14</v>
      </c>
      <c r="BM566" s="6">
        <v>68</v>
      </c>
      <c r="BN566" s="6">
        <v>72</v>
      </c>
      <c r="BO566" s="6">
        <f>BP566-SUM(BL566:BN566)</f>
        <v>87</v>
      </c>
      <c r="BP566" s="79">
        <v>213</v>
      </c>
      <c r="BQ566" s="6">
        <v>76</v>
      </c>
      <c r="BR566" s="6">
        <v>24</v>
      </c>
      <c r="BS566" s="6">
        <v>10</v>
      </c>
      <c r="BT566" s="6"/>
      <c r="BU566" s="79"/>
      <c r="BV566" s="6">
        <v>-2</v>
      </c>
      <c r="BW566" s="6"/>
      <c r="BX566" s="6">
        <v>-58</v>
      </c>
      <c r="BY566" s="6"/>
      <c r="BZ566" s="79">
        <v>-190</v>
      </c>
      <c r="CA566" s="6">
        <v>-140</v>
      </c>
      <c r="CB566" s="6">
        <v>-149</v>
      </c>
      <c r="CC566" s="6">
        <v>-77</v>
      </c>
      <c r="CD566" s="6"/>
      <c r="CE566" s="79">
        <v>-352</v>
      </c>
      <c r="CF566" s="6">
        <v>105</v>
      </c>
      <c r="CG566" s="6">
        <v>213</v>
      </c>
      <c r="CH566" s="6">
        <v>167</v>
      </c>
      <c r="CI566" s="6"/>
      <c r="CJ566" s="79">
        <v>588</v>
      </c>
      <c r="CK566" s="6">
        <v>18</v>
      </c>
      <c r="CL566" s="6">
        <v>-47</v>
      </c>
      <c r="CM566" s="6">
        <v>-39</v>
      </c>
      <c r="CN566" s="6"/>
      <c r="CO566" s="79">
        <v>-88</v>
      </c>
      <c r="CP566" s="6">
        <v>17</v>
      </c>
      <c r="CQ566" s="6">
        <v>20</v>
      </c>
      <c r="CR566" s="6">
        <v>57</v>
      </c>
      <c r="CS566" s="6"/>
      <c r="CT566" s="79">
        <v>-31</v>
      </c>
      <c r="CU566" s="6"/>
      <c r="CV566" s="6"/>
      <c r="CW566" s="6"/>
      <c r="CX566" s="6"/>
      <c r="CY566" s="79"/>
      <c r="CZ566" s="6"/>
      <c r="DA566" s="6"/>
      <c r="DB566" s="6"/>
      <c r="DC566" s="6"/>
      <c r="DD566" s="79"/>
      <c r="DE566" s="6"/>
      <c r="DF566" s="6"/>
      <c r="DG566" s="6"/>
      <c r="DH566" s="6"/>
      <c r="DI566" s="79"/>
    </row>
    <row r="567" spans="1:113" ht="12" hidden="1" customHeight="1" outlineLevel="1">
      <c r="A567" s="219" t="str">
        <f t="shared" si="1527"/>
        <v xml:space="preserve"> </v>
      </c>
      <c r="B567" s="17" t="s">
        <v>200</v>
      </c>
      <c r="C567" s="79"/>
      <c r="D567" s="6"/>
      <c r="E567" s="79"/>
      <c r="F567" s="6"/>
      <c r="G567" s="79"/>
      <c r="H567" s="6"/>
      <c r="I567" s="79"/>
      <c r="J567" s="6"/>
      <c r="K567" s="79"/>
      <c r="L567" s="6"/>
      <c r="M567" s="79"/>
      <c r="N567" s="6"/>
      <c r="O567" s="79"/>
      <c r="P567" s="6"/>
      <c r="Q567" s="79"/>
      <c r="R567" s="6"/>
      <c r="S567" s="6"/>
      <c r="T567" s="6"/>
      <c r="U567" s="6"/>
      <c r="V567" s="79"/>
      <c r="W567" s="6"/>
      <c r="X567" s="6"/>
      <c r="Y567" s="6"/>
      <c r="Z567" s="6"/>
      <c r="AA567" s="79"/>
      <c r="AB567" s="79"/>
      <c r="AC567" s="6"/>
      <c r="AD567" s="6"/>
      <c r="AE567" s="6"/>
      <c r="AF567" s="6"/>
      <c r="AG567" s="79"/>
      <c r="AH567" s="6"/>
      <c r="AI567" s="6"/>
      <c r="AJ567" s="6"/>
      <c r="AK567" s="6"/>
      <c r="AL567" s="79"/>
      <c r="AM567" s="6"/>
      <c r="AN567" s="6"/>
      <c r="AO567" s="6"/>
      <c r="AP567" s="6"/>
      <c r="AQ567" s="79"/>
      <c r="AR567" s="6">
        <v>31</v>
      </c>
      <c r="AS567" s="6">
        <v>11</v>
      </c>
      <c r="AT567" s="5">
        <v>14</v>
      </c>
      <c r="AU567" s="6">
        <f>AV567-SUM(AR567:AT567)</f>
        <v>-29</v>
      </c>
      <c r="AV567" s="79">
        <v>27</v>
      </c>
      <c r="AW567" s="6">
        <v>23</v>
      </c>
      <c r="AX567" s="6">
        <v>4</v>
      </c>
      <c r="AY567" s="6">
        <v>47</v>
      </c>
      <c r="AZ567" s="6">
        <f>BA567-SUM(AW567:AY567)</f>
        <v>-20</v>
      </c>
      <c r="BA567" s="79">
        <v>54</v>
      </c>
      <c r="BB567" s="6">
        <v>-78</v>
      </c>
      <c r="BC567" s="6">
        <v>-39</v>
      </c>
      <c r="BD567" s="6">
        <v>-90</v>
      </c>
      <c r="BE567" s="6">
        <f>BF567-SUM(BB567:BD567)</f>
        <v>11</v>
      </c>
      <c r="BF567" s="79">
        <v>-196</v>
      </c>
      <c r="BG567" s="6">
        <v>29</v>
      </c>
      <c r="BH567" s="582">
        <v>58</v>
      </c>
      <c r="BI567" s="6">
        <v>39</v>
      </c>
      <c r="BJ567" s="6">
        <f>BK567-SUM(BG567:BI567)</f>
        <v>6</v>
      </c>
      <c r="BK567" s="79">
        <v>132</v>
      </c>
      <c r="BL567" s="582">
        <v>62</v>
      </c>
      <c r="BM567" s="6">
        <v>-54</v>
      </c>
      <c r="BN567" s="6">
        <v>27</v>
      </c>
      <c r="BO567" s="6">
        <f>BP567-SUM(BL567:BN567)</f>
        <v>89</v>
      </c>
      <c r="BP567" s="79">
        <v>124</v>
      </c>
      <c r="BQ567" s="6">
        <v>-9</v>
      </c>
      <c r="BR567" s="6">
        <v>-53</v>
      </c>
      <c r="BS567" s="6">
        <v>-102</v>
      </c>
      <c r="BT567" s="6"/>
      <c r="BU567" s="79"/>
      <c r="BV567" s="6">
        <v>-13</v>
      </c>
      <c r="BW567" s="6">
        <f>51-34</f>
        <v>17</v>
      </c>
      <c r="BX567" s="6">
        <v>87</v>
      </c>
      <c r="BY567" s="6"/>
      <c r="BZ567" s="79">
        <v>219</v>
      </c>
      <c r="CA567" s="6">
        <v>67</v>
      </c>
      <c r="CB567" s="6">
        <v>141</v>
      </c>
      <c r="CC567" s="6">
        <v>13</v>
      </c>
      <c r="CD567" s="6"/>
      <c r="CE567" s="79">
        <v>174</v>
      </c>
      <c r="CF567" s="6">
        <v>-117</v>
      </c>
      <c r="CG567" s="6">
        <v>24</v>
      </c>
      <c r="CH567" s="6">
        <v>-4</v>
      </c>
      <c r="CI567" s="6"/>
      <c r="CJ567" s="79" t="s">
        <v>322</v>
      </c>
      <c r="CK567" s="6">
        <v>28</v>
      </c>
      <c r="CL567" s="6">
        <v>-61</v>
      </c>
      <c r="CM567" s="6">
        <v>14</v>
      </c>
      <c r="CN567" s="6"/>
      <c r="CO567" s="79">
        <v>-92</v>
      </c>
      <c r="CP567" s="6">
        <v>-37</v>
      </c>
      <c r="CQ567" s="6">
        <v>-28</v>
      </c>
      <c r="CR567" s="6">
        <v>12</v>
      </c>
      <c r="CS567" s="6"/>
      <c r="CT567" s="79">
        <v>147</v>
      </c>
      <c r="CU567" s="6"/>
      <c r="CV567" s="6"/>
      <c r="CW567" s="6"/>
      <c r="CX567" s="6"/>
      <c r="CY567" s="79"/>
      <c r="CZ567" s="6"/>
      <c r="DA567" s="6"/>
      <c r="DB567" s="6"/>
      <c r="DC567" s="6"/>
      <c r="DD567" s="79"/>
      <c r="DE567" s="6"/>
      <c r="DF567" s="6"/>
      <c r="DG567" s="6"/>
      <c r="DH567" s="6"/>
      <c r="DI567" s="79"/>
    </row>
    <row r="568" spans="1:113" ht="12" hidden="1" customHeight="1" outlineLevel="1">
      <c r="A568" s="219"/>
      <c r="B568" s="17" t="s">
        <v>201</v>
      </c>
      <c r="C568" s="79"/>
      <c r="D568" s="6"/>
      <c r="E568" s="79"/>
      <c r="F568" s="6"/>
      <c r="G568" s="79"/>
      <c r="H568" s="6"/>
      <c r="I568" s="79"/>
      <c r="J568" s="6"/>
      <c r="K568" s="79"/>
      <c r="L568" s="6"/>
      <c r="M568" s="79"/>
      <c r="N568" s="6"/>
      <c r="O568" s="79"/>
      <c r="P568" s="6"/>
      <c r="Q568" s="79"/>
      <c r="R568" s="6"/>
      <c r="S568" s="6"/>
      <c r="T568" s="6"/>
      <c r="U568" s="6"/>
      <c r="V568" s="79"/>
      <c r="W568" s="6"/>
      <c r="X568" s="6"/>
      <c r="Y568" s="6"/>
      <c r="Z568" s="6"/>
      <c r="AA568" s="79"/>
      <c r="AB568" s="79"/>
      <c r="AC568" s="6"/>
      <c r="AD568" s="6"/>
      <c r="AE568" s="6"/>
      <c r="AF568" s="6"/>
      <c r="AG568" s="79"/>
      <c r="AH568" s="6"/>
      <c r="AI568" s="6"/>
      <c r="AJ568" s="6"/>
      <c r="AK568" s="6"/>
      <c r="AL568" s="79"/>
      <c r="AM568" s="6"/>
      <c r="AN568" s="6"/>
      <c r="AO568" s="6"/>
      <c r="AP568" s="6"/>
      <c r="AQ568" s="79"/>
      <c r="AR568" s="6">
        <v>-60</v>
      </c>
      <c r="AS568" s="6">
        <v>-38</v>
      </c>
      <c r="AT568" s="5">
        <v>-54</v>
      </c>
      <c r="AU568" s="5">
        <f>AV568-SUM(AR568:AT568)</f>
        <v>-27</v>
      </c>
      <c r="AV568" s="79">
        <v>-179</v>
      </c>
      <c r="AW568" s="6">
        <v>0</v>
      </c>
      <c r="AX568" s="6">
        <v>40</v>
      </c>
      <c r="AY568" s="6">
        <v>44</v>
      </c>
      <c r="AZ568" s="5">
        <f>BA568-SUM(AW568:AY568)</f>
        <v>31</v>
      </c>
      <c r="BA568" s="79">
        <v>115</v>
      </c>
      <c r="BB568" s="6">
        <v>-113</v>
      </c>
      <c r="BC568" s="6">
        <v>-36</v>
      </c>
      <c r="BD568" s="6">
        <v>-31</v>
      </c>
      <c r="BE568" s="5">
        <f>BF568-SUM(BB568:BD568)</f>
        <v>-75</v>
      </c>
      <c r="BF568" s="79">
        <v>-255</v>
      </c>
      <c r="BG568" s="6">
        <v>88</v>
      </c>
      <c r="BH568" s="582">
        <v>-95</v>
      </c>
      <c r="BI568" s="6">
        <v>-85</v>
      </c>
      <c r="BJ568" s="5">
        <f>BK568-SUM(BG568:BI568)</f>
        <v>-118</v>
      </c>
      <c r="BK568" s="79">
        <v>-210</v>
      </c>
      <c r="BL568" s="582">
        <v>-70</v>
      </c>
      <c r="BM568" s="6">
        <v>-4</v>
      </c>
      <c r="BN568" s="6">
        <v>-442</v>
      </c>
      <c r="BO568" s="5">
        <f>BP568-SUM(BL568:BN568)</f>
        <v>22</v>
      </c>
      <c r="BP568" s="79">
        <v>-494</v>
      </c>
      <c r="BQ568" s="6">
        <v>-140</v>
      </c>
      <c r="BR568" s="6">
        <v>-276</v>
      </c>
      <c r="BS568" s="6">
        <f>373</f>
        <v>373</v>
      </c>
      <c r="BT568" s="6"/>
      <c r="BU568" s="79"/>
      <c r="BV568" s="6">
        <v>-33</v>
      </c>
      <c r="BW568" s="6">
        <v>198</v>
      </c>
      <c r="BX568" s="6">
        <v>41</v>
      </c>
      <c r="BY568" s="6"/>
      <c r="BZ568" s="79">
        <v>13</v>
      </c>
      <c r="CA568" s="6">
        <v>44</v>
      </c>
      <c r="CB568" s="6">
        <f>-83-149</f>
        <v>-232</v>
      </c>
      <c r="CC568" s="6">
        <f>-164-44</f>
        <v>-208</v>
      </c>
      <c r="CD568" s="6"/>
      <c r="CE568" s="79">
        <f>-371-45</f>
        <v>-416</v>
      </c>
      <c r="CF568" s="6">
        <v>-59</v>
      </c>
      <c r="CG568" s="6">
        <v>-33</v>
      </c>
      <c r="CH568" s="6">
        <v>57</v>
      </c>
      <c r="CI568" s="6"/>
      <c r="CJ568" s="79">
        <f>80+27-443</f>
        <v>-336</v>
      </c>
      <c r="CK568" s="6">
        <v>63</v>
      </c>
      <c r="CL568" s="6">
        <v>69</v>
      </c>
      <c r="CM568" s="6">
        <v>-403</v>
      </c>
      <c r="CN568" s="6"/>
      <c r="CO568" s="79">
        <f>443+379+64+205</f>
        <v>1091</v>
      </c>
      <c r="CP568" s="6">
        <v>20</v>
      </c>
      <c r="CQ568" s="6">
        <v>61</v>
      </c>
      <c r="CR568" s="6">
        <v>5</v>
      </c>
      <c r="CS568" s="6"/>
      <c r="CT568" s="79">
        <v>79</v>
      </c>
      <c r="CU568" s="6"/>
      <c r="CV568" s="6"/>
      <c r="CW568" s="6"/>
      <c r="CX568" s="6"/>
      <c r="CY568" s="79"/>
      <c r="CZ568" s="6"/>
      <c r="DA568" s="6"/>
      <c r="DB568" s="6"/>
      <c r="DC568" s="6"/>
      <c r="DD568" s="79"/>
      <c r="DE568" s="6"/>
      <c r="DF568" s="6"/>
      <c r="DG568" s="6"/>
      <c r="DH568" s="6"/>
      <c r="DI568" s="79"/>
    </row>
    <row r="569" spans="1:113" ht="12" hidden="1" customHeight="1" outlineLevel="1">
      <c r="A569" s="219"/>
      <c r="B569" s="17"/>
      <c r="C569" s="79"/>
      <c r="D569" s="6"/>
      <c r="E569" s="79"/>
      <c r="F569" s="6"/>
      <c r="G569" s="79"/>
      <c r="H569" s="6"/>
      <c r="I569" s="79"/>
      <c r="J569" s="6"/>
      <c r="K569" s="79"/>
      <c r="L569" s="6"/>
      <c r="M569" s="79"/>
      <c r="N569" s="6"/>
      <c r="O569" s="79"/>
      <c r="P569" s="6"/>
      <c r="Q569" s="79"/>
      <c r="R569" s="6"/>
      <c r="S569" s="6"/>
      <c r="T569" s="6"/>
      <c r="U569" s="6"/>
      <c r="V569" s="79"/>
      <c r="W569" s="6"/>
      <c r="X569" s="6"/>
      <c r="Y569" s="6"/>
      <c r="Z569" s="6"/>
      <c r="AA569" s="79"/>
      <c r="AB569" s="79"/>
      <c r="AC569" s="6"/>
      <c r="AD569" s="6"/>
      <c r="AE569" s="6"/>
      <c r="AF569" s="6"/>
      <c r="AG569" s="79"/>
      <c r="AH569" s="6"/>
      <c r="AI569" s="6"/>
      <c r="AJ569" s="6"/>
      <c r="AK569" s="6"/>
      <c r="AL569" s="79"/>
      <c r="AM569" s="6"/>
      <c r="AN569" s="6"/>
      <c r="AO569" s="6"/>
      <c r="AP569" s="6"/>
      <c r="AQ569" s="79"/>
      <c r="AR569" s="6"/>
      <c r="AS569" s="6"/>
      <c r="AT569" s="6"/>
      <c r="AU569" s="6"/>
      <c r="AV569" s="79"/>
      <c r="AW569" s="6"/>
      <c r="AX569" s="6"/>
      <c r="AY569" s="6"/>
      <c r="AZ569" s="6"/>
      <c r="BA569" s="79"/>
      <c r="BB569" s="6"/>
      <c r="BC569" s="6"/>
      <c r="BD569" s="6"/>
      <c r="BE569" s="6"/>
      <c r="BF569" s="79"/>
      <c r="BG569" s="6"/>
      <c r="BH569" s="6"/>
      <c r="BI569" s="6"/>
      <c r="BJ569" s="6"/>
      <c r="BK569" s="79"/>
      <c r="BL569" s="6"/>
      <c r="BM569" s="6"/>
      <c r="BN569" s="6"/>
      <c r="BO569" s="6"/>
      <c r="BP569" s="79"/>
      <c r="BQ569" s="6"/>
      <c r="BR569" s="6"/>
      <c r="BS569" s="6"/>
      <c r="BT569" s="6"/>
      <c r="BU569" s="79"/>
      <c r="BV569" s="6"/>
      <c r="BW569" s="6"/>
      <c r="BX569" s="6"/>
      <c r="BY569" s="6"/>
      <c r="BZ569" s="79"/>
      <c r="CA569" s="6"/>
      <c r="CB569" s="6"/>
      <c r="CC569" s="6"/>
      <c r="CD569" s="6"/>
      <c r="CE569" s="79"/>
      <c r="CF569" s="6"/>
      <c r="CG569" s="6"/>
      <c r="CH569" s="6"/>
      <c r="CI569" s="6"/>
      <c r="CJ569" s="79"/>
      <c r="CK569" s="6"/>
      <c r="CL569" s="6"/>
      <c r="CM569" s="6"/>
      <c r="CN569" s="6"/>
      <c r="CO569" s="79"/>
      <c r="CP569" s="6"/>
      <c r="CS569" s="6"/>
      <c r="CT569" s="79"/>
      <c r="CU569" s="591"/>
      <c r="CV569" s="591"/>
      <c r="CW569" s="591"/>
      <c r="CX569" s="591"/>
      <c r="CY569" s="590"/>
      <c r="CZ569" s="591"/>
      <c r="DA569" s="591"/>
      <c r="DB569" s="6"/>
      <c r="DC569" s="6"/>
      <c r="DD569" s="79"/>
      <c r="DE569" s="591"/>
      <c r="DF569" s="591"/>
      <c r="DG569" s="6"/>
      <c r="DH569" s="6"/>
      <c r="DI569" s="79"/>
    </row>
    <row r="570" spans="1:113" ht="12" hidden="1" customHeight="1" outlineLevel="1">
      <c r="A570" s="219"/>
      <c r="B570" s="17" t="s">
        <v>382</v>
      </c>
      <c r="C570" s="79"/>
      <c r="D570" s="6"/>
      <c r="E570" s="79"/>
      <c r="F570" s="6"/>
      <c r="G570" s="79"/>
      <c r="H570" s="6"/>
      <c r="I570" s="79"/>
      <c r="J570" s="6"/>
      <c r="K570" s="79"/>
      <c r="L570" s="6"/>
      <c r="M570" s="79"/>
      <c r="N570" s="6"/>
      <c r="O570" s="79"/>
      <c r="P570" s="6"/>
      <c r="Q570" s="79"/>
      <c r="R570" s="6"/>
      <c r="S570" s="6"/>
      <c r="T570" s="6"/>
      <c r="U570" s="6"/>
      <c r="V570" s="79"/>
      <c r="W570" s="6"/>
      <c r="X570" s="6"/>
      <c r="Y570" s="6"/>
      <c r="Z570" s="6"/>
      <c r="AA570" s="79"/>
      <c r="AB570" s="79"/>
      <c r="AC570" s="6"/>
      <c r="AD570" s="6"/>
      <c r="AE570" s="6"/>
      <c r="AF570" s="6"/>
      <c r="AG570" s="79"/>
      <c r="AH570" s="6"/>
      <c r="AI570" s="6"/>
      <c r="AJ570" s="6"/>
      <c r="AK570" s="6"/>
      <c r="AL570" s="79"/>
      <c r="AM570" s="6"/>
      <c r="AN570" s="6"/>
      <c r="AO570" s="6"/>
      <c r="AP570" s="6"/>
      <c r="AQ570" s="79"/>
      <c r="AR570" s="6"/>
      <c r="AS570" s="6"/>
      <c r="AT570" s="6"/>
      <c r="AU570" s="6"/>
      <c r="AV570" s="79"/>
      <c r="AW570" s="6"/>
      <c r="AX570" s="6"/>
      <c r="AY570" s="6"/>
      <c r="AZ570" s="6"/>
      <c r="BA570" s="79"/>
      <c r="BB570" s="6"/>
      <c r="BC570" s="6"/>
      <c r="BD570" s="6"/>
      <c r="BE570" s="6"/>
      <c r="BF570" s="79"/>
      <c r="BG570" s="6"/>
      <c r="BH570" s="6"/>
      <c r="BI570" s="6"/>
      <c r="BJ570" s="6"/>
      <c r="BK570" s="79"/>
      <c r="BL570" s="6"/>
      <c r="BM570" s="6"/>
      <c r="BN570" s="6"/>
      <c r="BO570" s="6"/>
      <c r="BP570" s="79"/>
      <c r="BQ570" s="6"/>
      <c r="BR570" s="6"/>
      <c r="BS570" s="6"/>
      <c r="BT570" s="6"/>
      <c r="BU570" s="79"/>
      <c r="BV570" s="6"/>
      <c r="BW570" s="6"/>
      <c r="BX570" s="6"/>
      <c r="BY570" s="6"/>
      <c r="BZ570" s="79"/>
      <c r="CA570" s="6"/>
      <c r="CB570" s="6"/>
      <c r="CC570" s="6"/>
      <c r="CD570" s="6"/>
      <c r="CE570" s="36">
        <v>-535</v>
      </c>
      <c r="CF570" s="43"/>
      <c r="CG570" s="43"/>
      <c r="CH570" s="43"/>
      <c r="CI570" s="43"/>
      <c r="CJ570" s="36">
        <f>-38+(403-340)+(64-(403-340))</f>
        <v>26</v>
      </c>
      <c r="CK570" s="43">
        <v>-10</v>
      </c>
      <c r="CL570" s="43">
        <v>-3</v>
      </c>
      <c r="CM570" s="43">
        <v>-11</v>
      </c>
      <c r="CN570" s="43">
        <f>CO570-CM570-CL570-CK570</f>
        <v>-7</v>
      </c>
      <c r="CO570" s="36">
        <v>-31</v>
      </c>
      <c r="CP570" s="43">
        <v>9</v>
      </c>
      <c r="CQ570" s="43">
        <v>9</v>
      </c>
      <c r="CR570" s="43">
        <v>31</v>
      </c>
      <c r="CS570" s="43">
        <f>CT570-CR570-CQ570-CP570</f>
        <v>48</v>
      </c>
      <c r="CT570" s="36">
        <v>97</v>
      </c>
      <c r="CU570" s="43"/>
      <c r="CV570" s="43"/>
      <c r="CW570" s="43"/>
      <c r="CX570" s="43"/>
      <c r="CY570" s="36"/>
      <c r="CZ570" s="43"/>
      <c r="DA570" s="43"/>
      <c r="DB570" s="43"/>
      <c r="DC570" s="43"/>
      <c r="DD570" s="36"/>
      <c r="DE570" s="43"/>
      <c r="DF570" s="43"/>
      <c r="DG570" s="43"/>
      <c r="DH570" s="43"/>
      <c r="DI570" s="36"/>
    </row>
    <row r="571" spans="1:113" ht="12" hidden="1" customHeight="1" outlineLevel="1">
      <c r="A571" s="219"/>
      <c r="B571" s="491" t="s">
        <v>348</v>
      </c>
      <c r="C571" s="79"/>
      <c r="D571" s="6"/>
      <c r="E571" s="79"/>
      <c r="F571" s="6"/>
      <c r="G571" s="79"/>
      <c r="H571" s="6"/>
      <c r="I571" s="79"/>
      <c r="J571" s="6"/>
      <c r="K571" s="79"/>
      <c r="L571" s="6"/>
      <c r="M571" s="79"/>
      <c r="N571" s="6"/>
      <c r="O571" s="79"/>
      <c r="P571" s="6"/>
      <c r="Q571" s="79"/>
      <c r="R571" s="6"/>
      <c r="S571" s="6"/>
      <c r="T571" s="6"/>
      <c r="U571" s="6"/>
      <c r="V571" s="79"/>
      <c r="W571" s="6"/>
      <c r="X571" s="6"/>
      <c r="Y571" s="6"/>
      <c r="Z571" s="6"/>
      <c r="AA571" s="79"/>
      <c r="AB571" s="79"/>
      <c r="AC571" s="6"/>
      <c r="AD571" s="6"/>
      <c r="AE571" s="6"/>
      <c r="AF571" s="6"/>
      <c r="AG571" s="79"/>
      <c r="AH571" s="6"/>
      <c r="AI571" s="6"/>
      <c r="AJ571" s="6"/>
      <c r="AK571" s="6"/>
      <c r="AL571" s="79"/>
      <c r="AM571" s="6"/>
      <c r="AN571" s="6"/>
      <c r="AO571" s="6"/>
      <c r="AP571" s="6"/>
      <c r="AQ571" s="79"/>
      <c r="AR571" s="6"/>
      <c r="AS571" s="6"/>
      <c r="AT571" s="6"/>
      <c r="AU571" s="6"/>
      <c r="AV571" s="79"/>
      <c r="AW571" s="6"/>
      <c r="AX571" s="6"/>
      <c r="AY571" s="6"/>
      <c r="AZ571" s="6"/>
      <c r="BA571" s="79"/>
      <c r="BB571" s="6"/>
      <c r="BC571" s="6"/>
      <c r="BD571" s="6"/>
      <c r="BE571" s="6"/>
      <c r="BF571" s="79"/>
      <c r="BG571" s="6"/>
      <c r="BH571" s="6"/>
      <c r="BI571" s="6"/>
      <c r="BJ571" s="6"/>
      <c r="BK571" s="79"/>
      <c r="BL571" s="6"/>
      <c r="BM571" s="6"/>
      <c r="BN571" s="6"/>
      <c r="BO571" s="6"/>
      <c r="BP571" s="79"/>
      <c r="BQ571" s="6"/>
      <c r="BR571" s="6"/>
      <c r="BS571" s="6"/>
      <c r="BT571" s="6"/>
      <c r="BU571" s="79"/>
      <c r="BV571" s="6"/>
      <c r="BW571" s="6"/>
      <c r="BX571" s="6"/>
      <c r="BY571" s="6"/>
      <c r="BZ571" s="79"/>
      <c r="CA571" s="6"/>
      <c r="CB571" s="6"/>
      <c r="CC571" s="6"/>
      <c r="CD571" s="6"/>
      <c r="CE571" s="232" t="s">
        <v>126</v>
      </c>
      <c r="CF571" s="27"/>
      <c r="CG571" s="27"/>
      <c r="CH571" s="27"/>
      <c r="CI571" s="27"/>
      <c r="CJ571" s="112">
        <f>CJ570/CE570-1</f>
        <v>-1.0485981308411214</v>
      </c>
      <c r="CK571" s="213" t="s">
        <v>126</v>
      </c>
      <c r="CL571" s="213" t="s">
        <v>126</v>
      </c>
      <c r="CM571" s="213" t="s">
        <v>126</v>
      </c>
      <c r="CN571" s="213" t="s">
        <v>126</v>
      </c>
      <c r="CO571" s="112">
        <f t="shared" ref="CO571:CT571" si="1684">CO570/CJ570-1</f>
        <v>-2.1923076923076925</v>
      </c>
      <c r="CP571" s="27">
        <f t="shared" si="1684"/>
        <v>-1.9</v>
      </c>
      <c r="CQ571" s="27">
        <f t="shared" si="1684"/>
        <v>-4</v>
      </c>
      <c r="CR571" s="27">
        <f t="shared" si="1684"/>
        <v>-3.8181818181818183</v>
      </c>
      <c r="CS571" s="27">
        <f t="shared" si="1684"/>
        <v>-7.8571428571428568</v>
      </c>
      <c r="CT571" s="112">
        <f t="shared" si="1684"/>
        <v>-4.129032258064516</v>
      </c>
      <c r="CU571" s="27"/>
      <c r="CV571" s="27"/>
      <c r="CW571" s="27"/>
      <c r="CX571" s="27"/>
      <c r="CY571" s="112"/>
      <c r="CZ571" s="27"/>
      <c r="DA571" s="27"/>
      <c r="DB571" s="27"/>
      <c r="DC571" s="27"/>
      <c r="DD571" s="112"/>
      <c r="DE571" s="27"/>
      <c r="DF571" s="27"/>
      <c r="DG571" s="27"/>
      <c r="DH571" s="27"/>
      <c r="DI571" s="112"/>
    </row>
    <row r="572" spans="1:113" ht="12" hidden="1" customHeight="1" outlineLevel="1">
      <c r="A572" s="219"/>
      <c r="B572" s="491"/>
      <c r="C572" s="79"/>
      <c r="D572" s="6"/>
      <c r="E572" s="79"/>
      <c r="F572" s="6"/>
      <c r="G572" s="79"/>
      <c r="H572" s="6"/>
      <c r="I572" s="79"/>
      <c r="J572" s="6"/>
      <c r="K572" s="79"/>
      <c r="L572" s="6"/>
      <c r="M572" s="79"/>
      <c r="N572" s="6"/>
      <c r="O572" s="79"/>
      <c r="P572" s="6"/>
      <c r="Q572" s="79"/>
      <c r="R572" s="6"/>
      <c r="S572" s="6"/>
      <c r="T572" s="6"/>
      <c r="U572" s="6"/>
      <c r="V572" s="79"/>
      <c r="W572" s="6"/>
      <c r="X572" s="6"/>
      <c r="Y572" s="6"/>
      <c r="Z572" s="6"/>
      <c r="AA572" s="79"/>
      <c r="AB572" s="79"/>
      <c r="AC572" s="6"/>
      <c r="AD572" s="6"/>
      <c r="AE572" s="6"/>
      <c r="AF572" s="6"/>
      <c r="AG572" s="79"/>
      <c r="AH572" s="6"/>
      <c r="AI572" s="6"/>
      <c r="AJ572" s="6"/>
      <c r="AK572" s="6"/>
      <c r="AL572" s="79"/>
      <c r="AM572" s="6"/>
      <c r="AN572" s="6"/>
      <c r="AO572" s="6"/>
      <c r="AP572" s="6"/>
      <c r="AQ572" s="79"/>
      <c r="AR572" s="6"/>
      <c r="AS572" s="6"/>
      <c r="AT572" s="6"/>
      <c r="AU572" s="6"/>
      <c r="AV572" s="79"/>
      <c r="AW572" s="6"/>
      <c r="AX572" s="6"/>
      <c r="AY572" s="6"/>
      <c r="AZ572" s="6"/>
      <c r="BA572" s="79"/>
      <c r="BB572" s="6"/>
      <c r="BC572" s="6"/>
      <c r="BD572" s="6"/>
      <c r="BE572" s="6"/>
      <c r="BF572" s="79"/>
      <c r="BG572" s="6"/>
      <c r="BH572" s="6"/>
      <c r="BI572" s="6"/>
      <c r="BJ572" s="6"/>
      <c r="BK572" s="79"/>
      <c r="BL572" s="6"/>
      <c r="BM572" s="6"/>
      <c r="BN572" s="6"/>
      <c r="BO572" s="6"/>
      <c r="BP572" s="79"/>
      <c r="BQ572" s="6"/>
      <c r="BR572" s="6"/>
      <c r="BS572" s="6"/>
      <c r="BT572" s="6"/>
      <c r="BU572" s="79"/>
      <c r="BV572" s="6"/>
      <c r="BW572" s="6"/>
      <c r="BX572" s="6"/>
      <c r="BY572" s="6"/>
      <c r="BZ572" s="79"/>
      <c r="CA572" s="6"/>
      <c r="CB572" s="6"/>
      <c r="CC572" s="6"/>
      <c r="CD572" s="6"/>
      <c r="CE572" s="79"/>
      <c r="CF572" s="6"/>
      <c r="CG572" s="6"/>
      <c r="CH572" s="6"/>
      <c r="CI572" s="6"/>
      <c r="CJ572" s="79"/>
      <c r="CK572" s="6"/>
      <c r="CL572" s="6"/>
      <c r="CM572" s="6"/>
      <c r="CN572" s="6"/>
      <c r="CO572" s="79"/>
      <c r="CP572" s="6"/>
      <c r="CQ572" s="6"/>
      <c r="CS572" s="6"/>
      <c r="CT572" s="79"/>
      <c r="CU572" s="591"/>
      <c r="CV572" s="591"/>
      <c r="CW572" s="591"/>
      <c r="CX572" s="591"/>
      <c r="CY572" s="590"/>
      <c r="CZ572" s="591"/>
      <c r="DA572" s="591"/>
      <c r="DB572" s="6"/>
      <c r="DC572" s="6"/>
      <c r="DD572" s="79"/>
      <c r="DE572" s="591"/>
      <c r="DF572" s="591"/>
      <c r="DG572" s="6"/>
      <c r="DH572" s="6"/>
      <c r="DI572" s="79"/>
    </row>
    <row r="573" spans="1:113" ht="12" hidden="1" customHeight="1" outlineLevel="1">
      <c r="A573" s="219"/>
      <c r="B573" s="555" t="s">
        <v>383</v>
      </c>
      <c r="C573" s="79"/>
      <c r="D573" s="6"/>
      <c r="E573" s="79"/>
      <c r="F573" s="6"/>
      <c r="G573" s="79"/>
      <c r="H573" s="6"/>
      <c r="I573" s="79"/>
      <c r="J573" s="6"/>
      <c r="K573" s="79"/>
      <c r="L573" s="6"/>
      <c r="M573" s="79"/>
      <c r="N573" s="6"/>
      <c r="O573" s="79"/>
      <c r="P573" s="6"/>
      <c r="Q573" s="79"/>
      <c r="R573" s="6"/>
      <c r="S573" s="6"/>
      <c r="T573" s="6"/>
      <c r="U573" s="6"/>
      <c r="V573" s="79"/>
      <c r="W573" s="6"/>
      <c r="X573" s="6"/>
      <c r="Y573" s="6"/>
      <c r="Z573" s="6"/>
      <c r="AA573" s="79"/>
      <c r="AB573" s="79"/>
      <c r="AC573" s="6"/>
      <c r="AD573" s="6"/>
      <c r="AE573" s="6"/>
      <c r="AF573" s="6"/>
      <c r="AG573" s="79"/>
      <c r="AH573" s="6"/>
      <c r="AI573" s="6"/>
      <c r="AJ573" s="6"/>
      <c r="AK573" s="6"/>
      <c r="AL573" s="79"/>
      <c r="AM573" s="6"/>
      <c r="AN573" s="6"/>
      <c r="AO573" s="6"/>
      <c r="AP573" s="6"/>
      <c r="AQ573" s="79"/>
      <c r="AR573" s="6"/>
      <c r="AS573" s="6"/>
      <c r="AT573" s="6"/>
      <c r="AU573" s="6"/>
      <c r="AV573" s="79"/>
      <c r="AW573" s="6"/>
      <c r="AX573" s="6"/>
      <c r="AY573" s="6"/>
      <c r="AZ573" s="6"/>
      <c r="BA573" s="79"/>
      <c r="BB573" s="6"/>
      <c r="BC573" s="6"/>
      <c r="BD573" s="6"/>
      <c r="BE573" s="6"/>
      <c r="BF573" s="79"/>
      <c r="BG573" s="6"/>
      <c r="BH573" s="6"/>
      <c r="BI573" s="6"/>
      <c r="BJ573" s="6"/>
      <c r="BK573" s="79"/>
      <c r="BL573" s="6"/>
      <c r="BM573" s="6"/>
      <c r="BN573" s="6"/>
      <c r="BO573" s="6"/>
      <c r="BP573" s="79"/>
      <c r="BQ573" s="6"/>
      <c r="BR573" s="6"/>
      <c r="BS573" s="6"/>
      <c r="BT573" s="6"/>
      <c r="BU573" s="79"/>
      <c r="BV573" s="6"/>
      <c r="BW573" s="6"/>
      <c r="BX573" s="6"/>
      <c r="BY573" s="6"/>
      <c r="BZ573" s="79"/>
      <c r="CA573" s="6"/>
      <c r="CB573" s="6"/>
      <c r="CC573" s="6"/>
      <c r="CD573" s="6"/>
      <c r="CE573" s="36">
        <v>-34</v>
      </c>
      <c r="CF573" s="43"/>
      <c r="CG573" s="43"/>
      <c r="CH573" s="43"/>
      <c r="CI573" s="43"/>
      <c r="CJ573" s="36">
        <v>-14</v>
      </c>
      <c r="CK573" s="43">
        <v>-3</v>
      </c>
      <c r="CL573" s="43">
        <v>-4</v>
      </c>
      <c r="CM573" s="43">
        <v>-2</v>
      </c>
      <c r="CN573" s="43">
        <f>CO573-CM573-CL573-CK573</f>
        <v>-3</v>
      </c>
      <c r="CO573" s="36">
        <v>-12</v>
      </c>
      <c r="CP573" s="43">
        <v>-1</v>
      </c>
      <c r="CQ573" s="43">
        <v>-3</v>
      </c>
      <c r="CR573" s="43">
        <v>-3</v>
      </c>
      <c r="CS573" s="43">
        <f>CT573-CR573-CQ573-CP573</f>
        <v>-2</v>
      </c>
      <c r="CT573" s="36">
        <v>-9</v>
      </c>
      <c r="CU573" s="43"/>
      <c r="CV573" s="43"/>
      <c r="CW573" s="43"/>
      <c r="CX573" s="43"/>
      <c r="CY573" s="36"/>
      <c r="CZ573" s="43"/>
      <c r="DA573" s="43"/>
      <c r="DB573" s="43"/>
      <c r="DC573" s="43"/>
      <c r="DD573" s="36"/>
      <c r="DE573" s="43"/>
      <c r="DF573" s="43"/>
      <c r="DG573" s="43"/>
      <c r="DH573" s="43"/>
      <c r="DI573" s="36"/>
    </row>
    <row r="574" spans="1:113" ht="12" hidden="1" customHeight="1" outlineLevel="1">
      <c r="A574" s="219"/>
      <c r="B574" s="597" t="s">
        <v>348</v>
      </c>
      <c r="C574" s="79"/>
      <c r="D574" s="6"/>
      <c r="E574" s="79"/>
      <c r="F574" s="6"/>
      <c r="G574" s="79"/>
      <c r="H574" s="6"/>
      <c r="I574" s="79"/>
      <c r="J574" s="6"/>
      <c r="K574" s="79"/>
      <c r="L574" s="6"/>
      <c r="M574" s="79"/>
      <c r="N574" s="6"/>
      <c r="O574" s="79"/>
      <c r="P574" s="6"/>
      <c r="Q574" s="79"/>
      <c r="R574" s="6"/>
      <c r="S574" s="6"/>
      <c r="T574" s="6"/>
      <c r="U574" s="6"/>
      <c r="V574" s="79"/>
      <c r="W574" s="6"/>
      <c r="X574" s="6"/>
      <c r="Y574" s="6"/>
      <c r="Z574" s="6"/>
      <c r="AA574" s="79"/>
      <c r="AB574" s="79"/>
      <c r="AC574" s="6"/>
      <c r="AD574" s="6"/>
      <c r="AE574" s="6"/>
      <c r="AF574" s="6"/>
      <c r="AG574" s="79"/>
      <c r="AH574" s="6"/>
      <c r="AI574" s="6"/>
      <c r="AJ574" s="6"/>
      <c r="AK574" s="6"/>
      <c r="AL574" s="79"/>
      <c r="AM574" s="6"/>
      <c r="AN574" s="6"/>
      <c r="AO574" s="6"/>
      <c r="AP574" s="6"/>
      <c r="AQ574" s="79"/>
      <c r="AR574" s="6"/>
      <c r="AS574" s="6"/>
      <c r="AT574" s="6"/>
      <c r="AU574" s="6"/>
      <c r="AV574" s="79"/>
      <c r="AW574" s="6"/>
      <c r="AX574" s="6"/>
      <c r="AY574" s="6"/>
      <c r="AZ574" s="6"/>
      <c r="BA574" s="79"/>
      <c r="BB574" s="6"/>
      <c r="BC574" s="6"/>
      <c r="BD574" s="6"/>
      <c r="BE574" s="6"/>
      <c r="BF574" s="79"/>
      <c r="BG574" s="6"/>
      <c r="BH574" s="6"/>
      <c r="BI574" s="6"/>
      <c r="BJ574" s="6"/>
      <c r="BK574" s="79"/>
      <c r="BL574" s="6"/>
      <c r="BM574" s="6"/>
      <c r="BN574" s="6"/>
      <c r="BO574" s="6"/>
      <c r="BP574" s="79"/>
      <c r="BQ574" s="6"/>
      <c r="BR574" s="6"/>
      <c r="BS574" s="6"/>
      <c r="BT574" s="6"/>
      <c r="BU574" s="79"/>
      <c r="BV574" s="6"/>
      <c r="BW574" s="6"/>
      <c r="BX574" s="6"/>
      <c r="BY574" s="6"/>
      <c r="BZ574" s="79"/>
      <c r="CA574" s="6"/>
      <c r="CB574" s="6"/>
      <c r="CC574" s="6"/>
      <c r="CD574" s="6"/>
      <c r="CE574" s="232" t="s">
        <v>126</v>
      </c>
      <c r="CF574" s="27"/>
      <c r="CG574" s="27"/>
      <c r="CH574" s="27"/>
      <c r="CI574" s="27"/>
      <c r="CJ574" s="112">
        <f>CJ573/CE573-1</f>
        <v>-0.58823529411764708</v>
      </c>
      <c r="CK574" s="213" t="s">
        <v>126</v>
      </c>
      <c r="CL574" s="213" t="s">
        <v>126</v>
      </c>
      <c r="CM574" s="213" t="s">
        <v>126</v>
      </c>
      <c r="CN574" s="213" t="s">
        <v>126</v>
      </c>
      <c r="CO574" s="112">
        <f t="shared" ref="CO574:CT574" si="1685">CO573/CJ573-1</f>
        <v>-0.1428571428571429</v>
      </c>
      <c r="CP574" s="27">
        <f t="shared" si="1685"/>
        <v>-0.66666666666666674</v>
      </c>
      <c r="CQ574" s="27">
        <f t="shared" si="1685"/>
        <v>-0.25</v>
      </c>
      <c r="CR574" s="27">
        <f t="shared" si="1685"/>
        <v>0.5</v>
      </c>
      <c r="CS574" s="27">
        <f t="shared" si="1685"/>
        <v>-0.33333333333333337</v>
      </c>
      <c r="CT574" s="112">
        <f t="shared" si="1685"/>
        <v>-0.25</v>
      </c>
      <c r="CU574" s="27"/>
      <c r="CV574" s="27"/>
      <c r="CW574" s="27"/>
      <c r="CX574" s="27"/>
      <c r="CY574" s="112"/>
      <c r="CZ574" s="27"/>
      <c r="DA574" s="27"/>
      <c r="DB574" s="27"/>
      <c r="DC574" s="27"/>
      <c r="DD574" s="112"/>
      <c r="DE574" s="27"/>
      <c r="DF574" s="27"/>
      <c r="DG574" s="27"/>
      <c r="DH574" s="27"/>
      <c r="DI574" s="112"/>
    </row>
    <row r="575" spans="1:113" ht="12" hidden="1" customHeight="1" outlineLevel="1">
      <c r="A575" s="219"/>
      <c r="B575" s="555" t="s">
        <v>384</v>
      </c>
      <c r="C575" s="79"/>
      <c r="D575" s="6"/>
      <c r="E575" s="79"/>
      <c r="F575" s="6"/>
      <c r="G575" s="79"/>
      <c r="H575" s="6"/>
      <c r="I575" s="79"/>
      <c r="J575" s="6"/>
      <c r="K575" s="79"/>
      <c r="L575" s="6"/>
      <c r="M575" s="79"/>
      <c r="N575" s="6"/>
      <c r="O575" s="79"/>
      <c r="P575" s="6"/>
      <c r="Q575" s="79"/>
      <c r="R575" s="6"/>
      <c r="S575" s="6"/>
      <c r="T575" s="6"/>
      <c r="U575" s="6"/>
      <c r="V575" s="79"/>
      <c r="W575" s="6"/>
      <c r="X575" s="6"/>
      <c r="Y575" s="6"/>
      <c r="Z575" s="6"/>
      <c r="AA575" s="79"/>
      <c r="AB575" s="79"/>
      <c r="AC575" s="6"/>
      <c r="AD575" s="6"/>
      <c r="AE575" s="6"/>
      <c r="AF575" s="6"/>
      <c r="AG575" s="79"/>
      <c r="AH575" s="6"/>
      <c r="AI575" s="6"/>
      <c r="AJ575" s="6"/>
      <c r="AK575" s="6"/>
      <c r="AL575" s="79"/>
      <c r="AM575" s="6"/>
      <c r="AN575" s="6"/>
      <c r="AO575" s="6"/>
      <c r="AP575" s="6"/>
      <c r="AQ575" s="79"/>
      <c r="AR575" s="6"/>
      <c r="AS575" s="6"/>
      <c r="AT575" s="6"/>
      <c r="AU575" s="6"/>
      <c r="AV575" s="79"/>
      <c r="AW575" s="6"/>
      <c r="AX575" s="6"/>
      <c r="AY575" s="6"/>
      <c r="AZ575" s="6"/>
      <c r="BA575" s="79"/>
      <c r="BB575" s="6"/>
      <c r="BC575" s="6"/>
      <c r="BD575" s="6"/>
      <c r="BE575" s="6"/>
      <c r="BF575" s="79"/>
      <c r="BG575" s="6"/>
      <c r="BH575" s="6"/>
      <c r="BI575" s="6"/>
      <c r="BJ575" s="6"/>
      <c r="BK575" s="79"/>
      <c r="BL575" s="6"/>
      <c r="BM575" s="6"/>
      <c r="BN575" s="6"/>
      <c r="BO575" s="6"/>
      <c r="BP575" s="79"/>
      <c r="BQ575" s="6"/>
      <c r="BR575" s="6"/>
      <c r="BS575" s="6"/>
      <c r="BT575" s="6"/>
      <c r="BU575" s="79"/>
      <c r="BV575" s="6"/>
      <c r="BW575" s="6"/>
      <c r="BX575" s="6"/>
      <c r="BY575" s="6"/>
      <c r="BZ575" s="79"/>
      <c r="CA575" s="6"/>
      <c r="CB575" s="6"/>
      <c r="CC575" s="6"/>
      <c r="CD575" s="6"/>
      <c r="CE575" s="36">
        <v>-2429</v>
      </c>
      <c r="CF575" s="43"/>
      <c r="CG575" s="43"/>
      <c r="CH575" s="43"/>
      <c r="CI575" s="43"/>
      <c r="CJ575" s="36">
        <f>-2746+340+(379-340)</f>
        <v>-2367</v>
      </c>
      <c r="CK575" s="43">
        <v>-540</v>
      </c>
      <c r="CL575" s="43">
        <v>-557</v>
      </c>
      <c r="CM575" s="43">
        <v>-505</v>
      </c>
      <c r="CN575" s="43">
        <f>CO575-CM575-CL575-CK575</f>
        <v>-560</v>
      </c>
      <c r="CO575" s="36">
        <v>-2162</v>
      </c>
      <c r="CP575" s="43">
        <v>-520</v>
      </c>
      <c r="CQ575" s="43">
        <v>-496</v>
      </c>
      <c r="CR575" s="43">
        <v>-493</v>
      </c>
      <c r="CS575" s="43">
        <f>CT575-CR575-CQ575-CP575</f>
        <v>-574</v>
      </c>
      <c r="CT575" s="36">
        <v>-2083</v>
      </c>
      <c r="CU575" s="43"/>
      <c r="CV575" s="43"/>
      <c r="CW575" s="43"/>
      <c r="CX575" s="43"/>
      <c r="CY575" s="36"/>
      <c r="CZ575" s="43"/>
      <c r="DA575" s="43"/>
      <c r="DB575" s="43"/>
      <c r="DC575" s="43"/>
      <c r="DD575" s="36"/>
      <c r="DE575" s="43"/>
      <c r="DF575" s="43"/>
      <c r="DG575" s="43"/>
      <c r="DH575" s="43"/>
      <c r="DI575" s="36"/>
    </row>
    <row r="576" spans="1:113" ht="12" hidden="1" customHeight="1" outlineLevel="1">
      <c r="A576" s="219"/>
      <c r="B576" s="597" t="s">
        <v>348</v>
      </c>
      <c r="C576" s="79"/>
      <c r="D576" s="6"/>
      <c r="E576" s="79"/>
      <c r="F576" s="6"/>
      <c r="G576" s="79"/>
      <c r="H576" s="6"/>
      <c r="I576" s="79"/>
      <c r="J576" s="6"/>
      <c r="K576" s="79"/>
      <c r="L576" s="6"/>
      <c r="M576" s="79"/>
      <c r="N576" s="6"/>
      <c r="O576" s="79"/>
      <c r="P576" s="6"/>
      <c r="Q576" s="79"/>
      <c r="R576" s="6"/>
      <c r="S576" s="6"/>
      <c r="T576" s="6"/>
      <c r="U576" s="6"/>
      <c r="V576" s="79"/>
      <c r="W576" s="6"/>
      <c r="X576" s="6"/>
      <c r="Y576" s="6"/>
      <c r="Z576" s="6"/>
      <c r="AA576" s="79"/>
      <c r="AB576" s="79"/>
      <c r="AC576" s="6"/>
      <c r="AD576" s="6"/>
      <c r="AE576" s="6"/>
      <c r="AF576" s="6"/>
      <c r="AG576" s="79"/>
      <c r="AH576" s="6"/>
      <c r="AI576" s="6"/>
      <c r="AJ576" s="6"/>
      <c r="AK576" s="6"/>
      <c r="AL576" s="79"/>
      <c r="AM576" s="6"/>
      <c r="AN576" s="6"/>
      <c r="AO576" s="6"/>
      <c r="AP576" s="6"/>
      <c r="AQ576" s="79"/>
      <c r="AR576" s="6"/>
      <c r="AS576" s="6"/>
      <c r="AT576" s="6"/>
      <c r="AU576" s="6"/>
      <c r="AV576" s="79"/>
      <c r="AW576" s="6"/>
      <c r="AX576" s="6"/>
      <c r="AY576" s="6"/>
      <c r="AZ576" s="6"/>
      <c r="BA576" s="79"/>
      <c r="BB576" s="6"/>
      <c r="BC576" s="6"/>
      <c r="BD576" s="6"/>
      <c r="BE576" s="6"/>
      <c r="BF576" s="79"/>
      <c r="BG576" s="6"/>
      <c r="BH576" s="6"/>
      <c r="BI576" s="6"/>
      <c r="BJ576" s="6"/>
      <c r="BK576" s="79"/>
      <c r="BL576" s="6"/>
      <c r="BM576" s="6"/>
      <c r="BN576" s="6"/>
      <c r="BO576" s="6"/>
      <c r="BP576" s="79"/>
      <c r="BQ576" s="6"/>
      <c r="BR576" s="6"/>
      <c r="BS576" s="6"/>
      <c r="BT576" s="6"/>
      <c r="BU576" s="79"/>
      <c r="BV576" s="6"/>
      <c r="BW576" s="6"/>
      <c r="BX576" s="6"/>
      <c r="BY576" s="6"/>
      <c r="BZ576" s="79"/>
      <c r="CA576" s="6"/>
      <c r="CB576" s="6"/>
      <c r="CC576" s="6"/>
      <c r="CD576" s="6"/>
      <c r="CE576" s="232" t="s">
        <v>126</v>
      </c>
      <c r="CF576" s="27"/>
      <c r="CG576" s="27"/>
      <c r="CH576" s="27"/>
      <c r="CI576" s="27"/>
      <c r="CJ576" s="112">
        <f>CJ575/CE575-1</f>
        <v>-2.5524907369287808E-2</v>
      </c>
      <c r="CK576" s="213" t="s">
        <v>126</v>
      </c>
      <c r="CL576" s="213" t="s">
        <v>126</v>
      </c>
      <c r="CM576" s="213" t="s">
        <v>126</v>
      </c>
      <c r="CN576" s="213" t="s">
        <v>126</v>
      </c>
      <c r="CO576" s="112">
        <f t="shared" ref="CO576:CT576" si="1686">CO575/CJ575-1</f>
        <v>-8.6607520067596089E-2</v>
      </c>
      <c r="CP576" s="27">
        <f t="shared" si="1686"/>
        <v>-3.703703703703709E-2</v>
      </c>
      <c r="CQ576" s="27">
        <f t="shared" si="1686"/>
        <v>-0.10951526032315984</v>
      </c>
      <c r="CR576" s="27">
        <f t="shared" si="1686"/>
        <v>-2.3762376237623783E-2</v>
      </c>
      <c r="CS576" s="27">
        <f t="shared" si="1686"/>
        <v>2.4999999999999911E-2</v>
      </c>
      <c r="CT576" s="112">
        <f t="shared" si="1686"/>
        <v>-3.6540240518038836E-2</v>
      </c>
      <c r="CU576" s="27"/>
      <c r="CV576" s="27"/>
      <c r="CW576" s="27"/>
      <c r="CX576" s="27"/>
      <c r="CY576" s="112"/>
      <c r="CZ576" s="27"/>
      <c r="DA576" s="27"/>
      <c r="DB576" s="27"/>
      <c r="DC576" s="27"/>
      <c r="DD576" s="112"/>
      <c r="DE576" s="27"/>
      <c r="DF576" s="27"/>
      <c r="DG576" s="27"/>
      <c r="DH576" s="27"/>
      <c r="DI576" s="112"/>
    </row>
    <row r="577" spans="1:113" ht="12" hidden="1" customHeight="1" outlineLevel="1">
      <c r="A577" s="219"/>
      <c r="B577" s="17" t="s">
        <v>385</v>
      </c>
      <c r="C577" s="79"/>
      <c r="D577" s="6"/>
      <c r="E577" s="79"/>
      <c r="F577" s="6"/>
      <c r="G577" s="79"/>
      <c r="H577" s="6"/>
      <c r="I577" s="79"/>
      <c r="J577" s="6"/>
      <c r="K577" s="79"/>
      <c r="L577" s="6"/>
      <c r="M577" s="79"/>
      <c r="N577" s="6"/>
      <c r="O577" s="79"/>
      <c r="P577" s="6"/>
      <c r="Q577" s="79"/>
      <c r="R577" s="6"/>
      <c r="S577" s="6"/>
      <c r="T577" s="6"/>
      <c r="U577" s="6"/>
      <c r="V577" s="79"/>
      <c r="W577" s="6"/>
      <c r="X577" s="6"/>
      <c r="Y577" s="6"/>
      <c r="Z577" s="6"/>
      <c r="AA577" s="79"/>
      <c r="AB577" s="79"/>
      <c r="AC577" s="6"/>
      <c r="AD577" s="6"/>
      <c r="AE577" s="6"/>
      <c r="AF577" s="6"/>
      <c r="AG577" s="79"/>
      <c r="AH577" s="6"/>
      <c r="AI577" s="6"/>
      <c r="AJ577" s="6"/>
      <c r="AK577" s="6"/>
      <c r="AL577" s="79"/>
      <c r="AM577" s="6"/>
      <c r="AN577" s="6"/>
      <c r="AO577" s="6"/>
      <c r="AP577" s="6"/>
      <c r="AQ577" s="79"/>
      <c r="AR577" s="6"/>
      <c r="AS577" s="6"/>
      <c r="AT577" s="6"/>
      <c r="AU577" s="6"/>
      <c r="AV577" s="79"/>
      <c r="AW577" s="6"/>
      <c r="AX577" s="6"/>
      <c r="AY577" s="6"/>
      <c r="AZ577" s="6"/>
      <c r="BA577" s="79"/>
      <c r="BB577" s="6"/>
      <c r="BC577" s="6"/>
      <c r="BD577" s="6"/>
      <c r="BE577" s="6"/>
      <c r="BF577" s="79"/>
      <c r="BG577" s="6"/>
      <c r="BH577" s="6"/>
      <c r="BI577" s="6"/>
      <c r="BJ577" s="6"/>
      <c r="BK577" s="79"/>
      <c r="BL577" s="6"/>
      <c r="BM577" s="6"/>
      <c r="BN577" s="6"/>
      <c r="BO577" s="6"/>
      <c r="BP577" s="79"/>
      <c r="BQ577" s="6"/>
      <c r="BR577" s="6"/>
      <c r="BS577" s="6"/>
      <c r="BT577" s="6"/>
      <c r="BU577" s="79"/>
      <c r="BV577" s="6"/>
      <c r="BW577" s="6"/>
      <c r="BX577" s="6"/>
      <c r="BY577" s="6"/>
      <c r="BZ577" s="79"/>
      <c r="CA577" s="6"/>
      <c r="CB577" s="6"/>
      <c r="CC577" s="6"/>
      <c r="CD577" s="6"/>
      <c r="CE577" s="36">
        <f>CE573+CE575</f>
        <v>-2463</v>
      </c>
      <c r="CF577" s="43"/>
      <c r="CG577" s="43"/>
      <c r="CH577" s="43"/>
      <c r="CI577" s="43"/>
      <c r="CJ577" s="36">
        <f t="shared" ref="CJ577:CT577" si="1687">CJ573+CJ575</f>
        <v>-2381</v>
      </c>
      <c r="CK577" s="43">
        <f t="shared" si="1687"/>
        <v>-543</v>
      </c>
      <c r="CL577" s="43">
        <f t="shared" si="1687"/>
        <v>-561</v>
      </c>
      <c r="CM577" s="43">
        <f t="shared" si="1687"/>
        <v>-507</v>
      </c>
      <c r="CN577" s="43">
        <f t="shared" si="1687"/>
        <v>-563</v>
      </c>
      <c r="CO577" s="36">
        <f t="shared" si="1687"/>
        <v>-2174</v>
      </c>
      <c r="CP577" s="43">
        <f t="shared" si="1687"/>
        <v>-521</v>
      </c>
      <c r="CQ577" s="43">
        <f t="shared" si="1687"/>
        <v>-499</v>
      </c>
      <c r="CR577" s="43">
        <f t="shared" si="1687"/>
        <v>-496</v>
      </c>
      <c r="CS577" s="43">
        <f t="shared" si="1687"/>
        <v>-576</v>
      </c>
      <c r="CT577" s="36">
        <f t="shared" si="1687"/>
        <v>-2092</v>
      </c>
      <c r="CU577" s="43"/>
      <c r="CV577" s="43"/>
      <c r="CW577" s="43"/>
      <c r="CX577" s="43"/>
      <c r="CY577" s="36"/>
      <c r="CZ577" s="43"/>
      <c r="DA577" s="43"/>
      <c r="DB577" s="43"/>
      <c r="DC577" s="43"/>
      <c r="DD577" s="36"/>
      <c r="DE577" s="43"/>
      <c r="DF577" s="43"/>
      <c r="DG577" s="43"/>
      <c r="DH577" s="43"/>
      <c r="DI577" s="36"/>
    </row>
    <row r="578" spans="1:113" ht="12" hidden="1" customHeight="1" outlineLevel="1">
      <c r="A578" s="219"/>
      <c r="B578" s="491" t="s">
        <v>348</v>
      </c>
      <c r="C578" s="79"/>
      <c r="D578" s="6"/>
      <c r="E578" s="79"/>
      <c r="F578" s="6"/>
      <c r="G578" s="79"/>
      <c r="H578" s="6"/>
      <c r="I578" s="79"/>
      <c r="J578" s="6"/>
      <c r="K578" s="79"/>
      <c r="L578" s="6"/>
      <c r="M578" s="79"/>
      <c r="N578" s="6"/>
      <c r="O578" s="79"/>
      <c r="P578" s="6"/>
      <c r="Q578" s="79"/>
      <c r="R578" s="6"/>
      <c r="S578" s="6"/>
      <c r="T578" s="6"/>
      <c r="U578" s="6"/>
      <c r="V578" s="79"/>
      <c r="W578" s="6"/>
      <c r="X578" s="6"/>
      <c r="Y578" s="6"/>
      <c r="Z578" s="6"/>
      <c r="AA578" s="79"/>
      <c r="AB578" s="79"/>
      <c r="AC578" s="6"/>
      <c r="AD578" s="6"/>
      <c r="AE578" s="6"/>
      <c r="AF578" s="6"/>
      <c r="AG578" s="79"/>
      <c r="AH578" s="6"/>
      <c r="AI578" s="6"/>
      <c r="AJ578" s="6"/>
      <c r="AK578" s="6"/>
      <c r="AL578" s="79"/>
      <c r="AM578" s="6"/>
      <c r="AN578" s="6"/>
      <c r="AO578" s="6"/>
      <c r="AP578" s="6"/>
      <c r="AQ578" s="79"/>
      <c r="AR578" s="6"/>
      <c r="AS578" s="6"/>
      <c r="AT578" s="6"/>
      <c r="AU578" s="6"/>
      <c r="AV578" s="79"/>
      <c r="AW578" s="6"/>
      <c r="AX578" s="6"/>
      <c r="AY578" s="6"/>
      <c r="AZ578" s="6"/>
      <c r="BA578" s="79"/>
      <c r="BB578" s="6"/>
      <c r="BC578" s="6"/>
      <c r="BD578" s="6"/>
      <c r="BE578" s="6"/>
      <c r="BF578" s="79"/>
      <c r="BG578" s="6"/>
      <c r="BH578" s="6"/>
      <c r="BI578" s="6"/>
      <c r="BJ578" s="6"/>
      <c r="BK578" s="79"/>
      <c r="BL578" s="6"/>
      <c r="BM578" s="6"/>
      <c r="BN578" s="6"/>
      <c r="BO578" s="6"/>
      <c r="BP578" s="79"/>
      <c r="BQ578" s="6"/>
      <c r="BR578" s="6"/>
      <c r="BS578" s="6"/>
      <c r="BT578" s="6"/>
      <c r="BU578" s="79"/>
      <c r="BV578" s="6"/>
      <c r="BW578" s="6"/>
      <c r="BX578" s="6"/>
      <c r="BY578" s="6"/>
      <c r="BZ578" s="79"/>
      <c r="CA578" s="6"/>
      <c r="CB578" s="6"/>
      <c r="CC578" s="6"/>
      <c r="CD578" s="6"/>
      <c r="CE578" s="232" t="s">
        <v>126</v>
      </c>
      <c r="CF578" s="27"/>
      <c r="CG578" s="27"/>
      <c r="CH578" s="27"/>
      <c r="CI578" s="27"/>
      <c r="CJ578" s="112">
        <f>CJ577/CE577-1</f>
        <v>-3.3292732440113659E-2</v>
      </c>
      <c r="CK578" s="213" t="s">
        <v>126</v>
      </c>
      <c r="CL578" s="213" t="s">
        <v>126</v>
      </c>
      <c r="CM578" s="213" t="s">
        <v>126</v>
      </c>
      <c r="CN578" s="213" t="s">
        <v>126</v>
      </c>
      <c r="CO578" s="112">
        <f t="shared" ref="CO578:CT578" si="1688">CO577/CJ577-1</f>
        <v>-8.6938261234775327E-2</v>
      </c>
      <c r="CP578" s="27">
        <f t="shared" si="1688"/>
        <v>-4.0515653775322291E-2</v>
      </c>
      <c r="CQ578" s="27">
        <f t="shared" si="1688"/>
        <v>-0.11051693404634577</v>
      </c>
      <c r="CR578" s="27">
        <f t="shared" si="1688"/>
        <v>-2.1696252465483234E-2</v>
      </c>
      <c r="CS578" s="27">
        <f t="shared" si="1688"/>
        <v>2.3090586145648295E-2</v>
      </c>
      <c r="CT578" s="112">
        <f t="shared" si="1688"/>
        <v>-3.771849126034954E-2</v>
      </c>
      <c r="CU578" s="27"/>
      <c r="CV578" s="27"/>
      <c r="CW578" s="27"/>
      <c r="CX578" s="27"/>
      <c r="CY578" s="112"/>
      <c r="CZ578" s="27"/>
      <c r="DA578" s="27"/>
      <c r="DB578" s="27"/>
      <c r="DC578" s="27"/>
      <c r="DD578" s="112"/>
      <c r="DE578" s="27"/>
      <c r="DF578" s="27"/>
      <c r="DG578" s="27"/>
      <c r="DH578" s="27"/>
      <c r="DI578" s="112"/>
    </row>
    <row r="579" spans="1:113" ht="12" hidden="1" customHeight="1" outlineLevel="1">
      <c r="A579" s="219"/>
      <c r="B579" s="597"/>
      <c r="C579" s="79"/>
      <c r="D579" s="6"/>
      <c r="E579" s="79"/>
      <c r="F579" s="6"/>
      <c r="G579" s="79"/>
      <c r="H579" s="6"/>
      <c r="I579" s="79"/>
      <c r="J579" s="6"/>
      <c r="K579" s="79"/>
      <c r="L579" s="6"/>
      <c r="M579" s="79"/>
      <c r="N579" s="6"/>
      <c r="O579" s="79"/>
      <c r="P579" s="6"/>
      <c r="Q579" s="79"/>
      <c r="R579" s="6"/>
      <c r="S579" s="6"/>
      <c r="T579" s="6"/>
      <c r="U579" s="6"/>
      <c r="V579" s="79"/>
      <c r="W579" s="6"/>
      <c r="X579" s="6"/>
      <c r="Y579" s="6"/>
      <c r="Z579" s="6"/>
      <c r="AA579" s="79"/>
      <c r="AB579" s="79"/>
      <c r="AC579" s="6"/>
      <c r="AD579" s="6"/>
      <c r="AE579" s="6"/>
      <c r="AF579" s="6"/>
      <c r="AG579" s="79"/>
      <c r="AH579" s="6"/>
      <c r="AI579" s="6"/>
      <c r="AJ579" s="6"/>
      <c r="AK579" s="6"/>
      <c r="AL579" s="79"/>
      <c r="AM579" s="6"/>
      <c r="AN579" s="6"/>
      <c r="AO579" s="6"/>
      <c r="AP579" s="6"/>
      <c r="AQ579" s="79"/>
      <c r="AR579" s="6"/>
      <c r="AS579" s="6"/>
      <c r="AT579" s="6"/>
      <c r="AU579" s="6"/>
      <c r="AV579" s="79"/>
      <c r="AW579" s="6"/>
      <c r="AX579" s="6"/>
      <c r="AY579" s="6"/>
      <c r="AZ579" s="6"/>
      <c r="BA579" s="79"/>
      <c r="BB579" s="6"/>
      <c r="BC579" s="6"/>
      <c r="BD579" s="6"/>
      <c r="BE579" s="6"/>
      <c r="BF579" s="79"/>
      <c r="BG579" s="6"/>
      <c r="BH579" s="6"/>
      <c r="BI579" s="6"/>
      <c r="BJ579" s="6"/>
      <c r="BK579" s="79"/>
      <c r="BL579" s="6"/>
      <c r="BM579" s="6"/>
      <c r="BN579" s="6"/>
      <c r="BO579" s="6"/>
      <c r="BP579" s="79"/>
      <c r="BQ579" s="6"/>
      <c r="BR579" s="6"/>
      <c r="BS579" s="6"/>
      <c r="BT579" s="6"/>
      <c r="BU579" s="79"/>
      <c r="BV579" s="6"/>
      <c r="BW579" s="6"/>
      <c r="BX579" s="6"/>
      <c r="BY579" s="6"/>
      <c r="BZ579" s="79"/>
      <c r="CA579" s="6"/>
      <c r="CB579" s="6"/>
      <c r="CC579" s="6"/>
      <c r="CD579" s="6"/>
      <c r="CE579" s="79"/>
      <c r="CF579" s="6"/>
      <c r="CG579" s="6"/>
      <c r="CH579" s="6"/>
      <c r="CI579" s="6"/>
      <c r="CJ579" s="79"/>
      <c r="CK579" s="6"/>
      <c r="CL579" s="6"/>
      <c r="CM579" s="6"/>
      <c r="CN579" s="6"/>
      <c r="CO579" s="79"/>
      <c r="CP579" s="6"/>
      <c r="CQ579" s="6"/>
      <c r="CR579" s="6"/>
      <c r="CS579" s="6"/>
      <c r="CT579" s="79"/>
      <c r="CU579" s="591"/>
      <c r="CV579" s="591"/>
      <c r="CW579" s="591"/>
      <c r="CX579" s="591"/>
      <c r="CY579" s="590"/>
      <c r="CZ579" s="591"/>
      <c r="DA579" s="591"/>
      <c r="DB579" s="6"/>
      <c r="DC579" s="6"/>
      <c r="DD579" s="79"/>
      <c r="DE579" s="591"/>
      <c r="DF579" s="591"/>
      <c r="DG579" s="6"/>
      <c r="DH579" s="6"/>
      <c r="DI579" s="79"/>
    </row>
    <row r="580" spans="1:113" ht="12" hidden="1" customHeight="1" outlineLevel="1">
      <c r="A580" s="219"/>
      <c r="B580" s="17" t="s">
        <v>386</v>
      </c>
      <c r="C580" s="79"/>
      <c r="D580" s="6"/>
      <c r="E580" s="79"/>
      <c r="F580" s="6"/>
      <c r="G580" s="79"/>
      <c r="H580" s="6"/>
      <c r="I580" s="79"/>
      <c r="J580" s="6"/>
      <c r="K580" s="79"/>
      <c r="L580" s="6"/>
      <c r="M580" s="79"/>
      <c r="N580" s="6"/>
      <c r="O580" s="79"/>
      <c r="P580" s="6"/>
      <c r="Q580" s="79"/>
      <c r="R580" s="6"/>
      <c r="S580" s="6"/>
      <c r="T580" s="6"/>
      <c r="U580" s="6"/>
      <c r="V580" s="79"/>
      <c r="W580" s="6"/>
      <c r="X580" s="6"/>
      <c r="Y580" s="6"/>
      <c r="Z580" s="6"/>
      <c r="AA580" s="79"/>
      <c r="AB580" s="79"/>
      <c r="AC580" s="6"/>
      <c r="AD580" s="6"/>
      <c r="AE580" s="6"/>
      <c r="AF580" s="6"/>
      <c r="AG580" s="79"/>
      <c r="AH580" s="6"/>
      <c r="AI580" s="6"/>
      <c r="AJ580" s="6"/>
      <c r="AK580" s="6"/>
      <c r="AL580" s="79"/>
      <c r="AM580" s="6"/>
      <c r="AN580" s="6"/>
      <c r="AO580" s="6"/>
      <c r="AP580" s="6"/>
      <c r="AQ580" s="79"/>
      <c r="AR580" s="6"/>
      <c r="AS580" s="6"/>
      <c r="AT580" s="6"/>
      <c r="AU580" s="6"/>
      <c r="AV580" s="79"/>
      <c r="AW580" s="6"/>
      <c r="AX580" s="6"/>
      <c r="AY580" s="6"/>
      <c r="AZ580" s="6"/>
      <c r="BA580" s="79"/>
      <c r="BB580" s="6"/>
      <c r="BC580" s="6"/>
      <c r="BD580" s="6"/>
      <c r="BE580" s="6"/>
      <c r="BF580" s="79"/>
      <c r="BG580" s="6"/>
      <c r="BH580" s="6"/>
      <c r="BI580" s="6"/>
      <c r="BJ580" s="6"/>
      <c r="BK580" s="79"/>
      <c r="BL580" s="6"/>
      <c r="BM580" s="6"/>
      <c r="BN580" s="6"/>
      <c r="BO580" s="6"/>
      <c r="BP580" s="79"/>
      <c r="BQ580" s="6"/>
      <c r="BR580" s="6"/>
      <c r="BS580" s="6"/>
      <c r="BT580" s="6"/>
      <c r="BU580" s="79"/>
      <c r="BV580" s="6"/>
      <c r="BW580" s="6"/>
      <c r="BX580" s="6"/>
      <c r="BY580" s="6"/>
      <c r="BZ580" s="79"/>
      <c r="CA580" s="6"/>
      <c r="CB580" s="6"/>
      <c r="CC580" s="6"/>
      <c r="CD580" s="6"/>
      <c r="CE580" s="36">
        <v>-158</v>
      </c>
      <c r="CF580" s="43"/>
      <c r="CG580" s="43"/>
      <c r="CH580" s="43"/>
      <c r="CI580" s="43"/>
      <c r="CJ580" s="36">
        <v>-179</v>
      </c>
      <c r="CK580" s="43">
        <v>-11</v>
      </c>
      <c r="CL580" s="43">
        <v>1</v>
      </c>
      <c r="CM580" s="43">
        <v>-48</v>
      </c>
      <c r="CN580" s="43">
        <f>CO580-CM580-CL580-CK580</f>
        <v>55</v>
      </c>
      <c r="CO580" s="36">
        <v>-3</v>
      </c>
      <c r="CP580" s="43">
        <v>27</v>
      </c>
      <c r="CQ580" s="43">
        <v>18</v>
      </c>
      <c r="CR580" s="43">
        <v>-54</v>
      </c>
      <c r="CS580" s="43">
        <f>CT580-CR580-CQ580-CP580</f>
        <v>37</v>
      </c>
      <c r="CT580" s="36">
        <v>28</v>
      </c>
      <c r="CU580" s="43"/>
      <c r="CV580" s="43"/>
      <c r="CW580" s="43"/>
      <c r="CX580" s="43"/>
      <c r="CY580" s="36"/>
      <c r="CZ580" s="43"/>
      <c r="DA580" s="43"/>
      <c r="DB580" s="43"/>
      <c r="DC580" s="43"/>
      <c r="DD580" s="36"/>
      <c r="DE580" s="43"/>
      <c r="DF580" s="43"/>
      <c r="DG580" s="43"/>
      <c r="DH580" s="43"/>
      <c r="DI580" s="36"/>
    </row>
    <row r="581" spans="1:113" ht="12" hidden="1" customHeight="1" outlineLevel="1">
      <c r="A581" s="219"/>
      <c r="B581" s="17"/>
      <c r="C581" s="79"/>
      <c r="D581" s="6"/>
      <c r="E581" s="79"/>
      <c r="F581" s="6"/>
      <c r="G581" s="79"/>
      <c r="H581" s="6"/>
      <c r="I581" s="79"/>
      <c r="J581" s="6"/>
      <c r="K581" s="79"/>
      <c r="L581" s="6"/>
      <c r="M581" s="79"/>
      <c r="N581" s="6"/>
      <c r="O581" s="79"/>
      <c r="P581" s="6"/>
      <c r="Q581" s="79"/>
      <c r="R581" s="6"/>
      <c r="S581" s="6"/>
      <c r="T581" s="6"/>
      <c r="U581" s="6"/>
      <c r="V581" s="79"/>
      <c r="W581" s="6"/>
      <c r="X581" s="6"/>
      <c r="Y581" s="6"/>
      <c r="Z581" s="6"/>
      <c r="AA581" s="79"/>
      <c r="AB581" s="79"/>
      <c r="AC581" s="6"/>
      <c r="AD581" s="6"/>
      <c r="AE581" s="6"/>
      <c r="AF581" s="6"/>
      <c r="AG581" s="79"/>
      <c r="AH581" s="6"/>
      <c r="AI581" s="6"/>
      <c r="AJ581" s="6"/>
      <c r="AK581" s="6"/>
      <c r="AL581" s="79"/>
      <c r="AM581" s="6"/>
      <c r="AN581" s="6"/>
      <c r="AO581" s="6"/>
      <c r="AP581" s="6"/>
      <c r="AQ581" s="79"/>
      <c r="AR581" s="6"/>
      <c r="AS581" s="6"/>
      <c r="AT581" s="6"/>
      <c r="AU581" s="6"/>
      <c r="AV581" s="79"/>
      <c r="AW581" s="6"/>
      <c r="AX581" s="6"/>
      <c r="AY581" s="6"/>
      <c r="AZ581" s="6"/>
      <c r="BA581" s="79"/>
      <c r="BB581" s="6"/>
      <c r="BC581" s="6"/>
      <c r="BD581" s="6"/>
      <c r="BE581" s="6"/>
      <c r="BF581" s="79"/>
      <c r="BG581" s="6"/>
      <c r="BH581" s="6"/>
      <c r="BI581" s="619"/>
      <c r="BJ581" s="6"/>
      <c r="BK581" s="79"/>
      <c r="BL581" s="9"/>
      <c r="BM581" s="6"/>
      <c r="BN581" s="9"/>
      <c r="BO581" s="6"/>
      <c r="BP581" s="79"/>
      <c r="BQ581" s="9"/>
      <c r="BR581" s="6"/>
      <c r="BS581" s="9"/>
      <c r="BT581" s="6"/>
      <c r="BU581" s="79"/>
      <c r="BV581" s="6"/>
      <c r="BW581" s="6"/>
      <c r="BX581" s="6"/>
      <c r="BY581" s="6"/>
      <c r="BZ581" s="79"/>
      <c r="CA581" s="9"/>
      <c r="CB581" s="9"/>
      <c r="CC581" s="6"/>
      <c r="CD581" s="6"/>
      <c r="CE581" s="79"/>
      <c r="CF581" s="6"/>
      <c r="CG581" s="6"/>
      <c r="CH581" s="6"/>
      <c r="CI581" s="6"/>
      <c r="CJ581" s="79"/>
      <c r="CK581" s="6"/>
      <c r="CL581" s="6"/>
      <c r="CM581" s="6"/>
      <c r="CN581" s="6"/>
      <c r="CO581" s="79"/>
      <c r="CP581" s="6"/>
      <c r="CQ581" s="6"/>
      <c r="CR581" s="6"/>
      <c r="CS581" s="6"/>
      <c r="CT581" s="79"/>
      <c r="CU581" s="6"/>
      <c r="CV581" s="6"/>
      <c r="CW581" s="6"/>
      <c r="CX581" s="6"/>
      <c r="CY581" s="79"/>
      <c r="CZ581" s="6"/>
      <c r="DA581" s="6"/>
      <c r="DB581" s="6"/>
      <c r="DC581" s="6"/>
      <c r="DD581" s="79"/>
      <c r="DE581" s="6"/>
      <c r="DF581" s="6"/>
      <c r="DG581" s="6"/>
      <c r="DH581" s="6"/>
      <c r="DI581" s="79"/>
    </row>
    <row r="582" spans="1:113" s="7" customFormat="1" ht="12" customHeight="1" collapsed="1">
      <c r="A582" s="239" t="str">
        <f t="shared" si="1527"/>
        <v xml:space="preserve"> </v>
      </c>
      <c r="B582" s="20" t="s">
        <v>198</v>
      </c>
      <c r="C582" s="36"/>
      <c r="D582" s="43"/>
      <c r="E582" s="36"/>
      <c r="F582" s="43"/>
      <c r="G582" s="36"/>
      <c r="H582" s="43"/>
      <c r="I582" s="36"/>
      <c r="J582" s="43"/>
      <c r="K582" s="36"/>
      <c r="L582" s="43"/>
      <c r="M582" s="36"/>
      <c r="N582" s="43"/>
      <c r="O582" s="36"/>
      <c r="P582" s="43"/>
      <c r="Q582" s="36"/>
      <c r="R582" s="43">
        <v>-221</v>
      </c>
      <c r="S582" s="43">
        <v>-178</v>
      </c>
      <c r="T582" s="43">
        <v>-199</v>
      </c>
      <c r="U582" s="43">
        <v>-207</v>
      </c>
      <c r="V582" s="36">
        <f>SUM(R582:U582)</f>
        <v>-805</v>
      </c>
      <c r="W582" s="43">
        <v>-195</v>
      </c>
      <c r="X582" s="43">
        <v>-208</v>
      </c>
      <c r="Y582" s="43">
        <v>-242</v>
      </c>
      <c r="Z582" s="43">
        <v>-271</v>
      </c>
      <c r="AA582" s="36">
        <f>SUM(W582:Z582)</f>
        <v>-916</v>
      </c>
      <c r="AB582" s="36"/>
      <c r="AC582" s="43">
        <v>-196</v>
      </c>
      <c r="AD582" s="43">
        <v>-214</v>
      </c>
      <c r="AE582" s="43">
        <v>-207</v>
      </c>
      <c r="AF582" s="43">
        <v>-267</v>
      </c>
      <c r="AG582" s="36">
        <f>SUM(AC582:AF582)</f>
        <v>-884</v>
      </c>
      <c r="AH582" s="43">
        <v>-218</v>
      </c>
      <c r="AI582" s="43">
        <v>-220</v>
      </c>
      <c r="AJ582" s="43">
        <v>-282</v>
      </c>
      <c r="AK582" s="43">
        <v>-301</v>
      </c>
      <c r="AL582" s="36">
        <f>SUM(AH582:AK582)</f>
        <v>-1021</v>
      </c>
      <c r="AM582" s="43">
        <v>-242</v>
      </c>
      <c r="AN582" s="43">
        <v>-273</v>
      </c>
      <c r="AO582" s="43">
        <v>-281</v>
      </c>
      <c r="AP582" s="43">
        <v>-301</v>
      </c>
      <c r="AQ582" s="36">
        <f>SUM(AM582:AP582)</f>
        <v>-1097</v>
      </c>
      <c r="AR582" s="43">
        <v>-323</v>
      </c>
      <c r="AS582" s="43">
        <v>-365</v>
      </c>
      <c r="AT582" s="43">
        <v>-264</v>
      </c>
      <c r="AU582" s="43">
        <v>-221</v>
      </c>
      <c r="AV582" s="36">
        <f>SUM(AR582:AU582)</f>
        <v>-1173</v>
      </c>
      <c r="AW582" s="43">
        <v>-163</v>
      </c>
      <c r="AX582" s="43">
        <v>-196</v>
      </c>
      <c r="AY582" s="43">
        <v>-119</v>
      </c>
      <c r="AZ582" s="43">
        <v>-246</v>
      </c>
      <c r="BA582" s="36">
        <f>SUM(AW582:AZ582)</f>
        <v>-724</v>
      </c>
      <c r="BB582" s="43">
        <v>-433</v>
      </c>
      <c r="BC582" s="43">
        <v>-343</v>
      </c>
      <c r="BD582" s="369">
        <v>-299</v>
      </c>
      <c r="BE582" s="369">
        <v>-381</v>
      </c>
      <c r="BF582" s="15">
        <f>SUM(BB582:BE582)</f>
        <v>-1456</v>
      </c>
      <c r="BG582" s="369">
        <v>-402</v>
      </c>
      <c r="BH582" s="369">
        <v>-423</v>
      </c>
      <c r="BI582" s="369">
        <v>-420</v>
      </c>
      <c r="BJ582" s="369">
        <v>-565</v>
      </c>
      <c r="BK582" s="15">
        <f>SUM(BG582:BJ582)</f>
        <v>-1810</v>
      </c>
      <c r="BL582" s="369">
        <v>-424</v>
      </c>
      <c r="BM582" s="369">
        <v>-413</v>
      </c>
      <c r="BN582" s="369">
        <v>-763</v>
      </c>
      <c r="BO582" s="369">
        <v>-367</v>
      </c>
      <c r="BP582" s="15">
        <f>SUM(BL582:BO582)</f>
        <v>-1967</v>
      </c>
      <c r="BQ582" s="369">
        <v>-497</v>
      </c>
      <c r="BR582" s="369">
        <v>-718</v>
      </c>
      <c r="BS582" s="369">
        <v>-482</v>
      </c>
      <c r="BT582" s="369">
        <v>-564</v>
      </c>
      <c r="BU582" s="15">
        <f>SUM(BQ582:BT582)</f>
        <v>-2261</v>
      </c>
      <c r="BV582" s="369">
        <f>'2. Consolidated'!BV76-('3. Segment Analysis'!BV168+'3. Segment Analysis'!BV173)</f>
        <v>-545</v>
      </c>
      <c r="BW582" s="369">
        <f>'2. Consolidated'!BW76-('3. Segment Analysis'!BW168+'3. Segment Analysis'!BW173)</f>
        <v>-503</v>
      </c>
      <c r="BX582" s="369">
        <f>'2. Consolidated'!BX76-('3. Segment Analysis'!BX168+'3. Segment Analysis'!BX173)</f>
        <v>-412</v>
      </c>
      <c r="BY582" s="369">
        <f>'2. Consolidated'!BY76-('3. Segment Analysis'!BY168+'3. Segment Analysis'!BY173)</f>
        <v>-759</v>
      </c>
      <c r="BZ582" s="15">
        <f>SUM(BV582:BY582)</f>
        <v>-2219</v>
      </c>
      <c r="CA582" s="369">
        <f>'2. Consolidated'!CA76-('3. Segment Analysis'!CA168+'3. Segment Analysis'!CA173)</f>
        <v>-574</v>
      </c>
      <c r="CB582" s="369">
        <f>'2. Consolidated'!CB76-('3. Segment Analysis'!CB168+'3. Segment Analysis'!CB173)</f>
        <v>-744</v>
      </c>
      <c r="CC582" s="369">
        <f>'2. Consolidated'!CC76-('3. Segment Analysis'!CC168+'3. Segment Analysis'!CC173)</f>
        <v>-696</v>
      </c>
      <c r="CD582" s="369">
        <f>'2. Consolidated'!CD76-('3. Segment Analysis'!CD168+'3. Segment Analysis'!CD173)</f>
        <v>-826</v>
      </c>
      <c r="CE582" s="15">
        <f>SUM(CA582:CD582)</f>
        <v>-2840</v>
      </c>
      <c r="CF582" s="369">
        <f>'2. Consolidated'!CF76-('3. Segment Analysis'!CF168+'3. Segment Analysis'!CF173)</f>
        <v>-651</v>
      </c>
      <c r="CG582" s="369">
        <f>'2. Consolidated'!CG76-('3. Segment Analysis'!CG168+'3. Segment Analysis'!CG173)</f>
        <v>-535</v>
      </c>
      <c r="CH582" s="369">
        <f>'2. Consolidated'!CH76-('3. Segment Analysis'!CH168+'3. Segment Analysis'!CH173)</f>
        <v>-471</v>
      </c>
      <c r="CI582" s="369">
        <f>'2. Consolidated'!CI76-('3. Segment Analysis'!CI168+'3. Segment Analysis'!CI173)</f>
        <v>-519</v>
      </c>
      <c r="CJ582" s="15">
        <f>SUM(CF582:CI582)</f>
        <v>-2176</v>
      </c>
      <c r="CK582" s="369">
        <f>'2. Consolidated'!CK76-('3. Segment Analysis'!CK168+'3. Segment Analysis'!CK173)</f>
        <v>-542</v>
      </c>
      <c r="CL582" s="369">
        <f>'2. Consolidated'!CL76-('3. Segment Analysis'!CL168+'3. Segment Analysis'!CL173)</f>
        <v>-565</v>
      </c>
      <c r="CM582" s="369">
        <f>'2. Consolidated'!CM76-('3. Segment Analysis'!CM168+'3. Segment Analysis'!CM173)</f>
        <v>-470</v>
      </c>
      <c r="CN582" s="369">
        <f>'2. Consolidated'!CN76-('3. Segment Analysis'!CN168+'3. Segment Analysis'!CN173)</f>
        <v>-625</v>
      </c>
      <c r="CO582" s="15">
        <f>SUM(CK582:CN582)</f>
        <v>-2202</v>
      </c>
      <c r="CP582" s="369">
        <f>'2. Consolidated'!CP76-('3. Segment Analysis'!CP168+'3. Segment Analysis'!CP173)</f>
        <v>-539</v>
      </c>
      <c r="CQ582" s="369">
        <f>'2. Consolidated'!CQ76-('3. Segment Analysis'!CQ168+'3. Segment Analysis'!CQ173)</f>
        <v>-508</v>
      </c>
      <c r="CR582" s="369">
        <f>'2. Consolidated'!CR76-('3. Segment Analysis'!CR168+'3. Segment Analysis'!CR173)</f>
        <v>-411</v>
      </c>
      <c r="CS582" s="369">
        <f>'2. Consolidated'!CS76-('3. Segment Analysis'!CS168+'3. Segment Analysis'!CS173)</f>
        <v>-565</v>
      </c>
      <c r="CT582" s="15">
        <f>SUM(CP582:CS582)</f>
        <v>-2023</v>
      </c>
      <c r="CU582" s="369">
        <f>'2. Consolidated'!CU76-('3. Segment Analysis'!CU168+'3. Segment Analysis'!CU173)</f>
        <v>-312.66173701348339</v>
      </c>
      <c r="CV582" s="369">
        <f>'2. Consolidated'!CV76-('3. Segment Analysis'!CV168+'3. Segment Analysis'!CV173)</f>
        <v>-559.4808269854268</v>
      </c>
      <c r="CW582" s="369">
        <f>'2. Consolidated'!CW76-('3. Segment Analysis'!CW168+'3. Segment Analysis'!CW173)</f>
        <v>-398.36659244889279</v>
      </c>
      <c r="CX582" s="369">
        <f>'2. Consolidated'!CX76-('3. Segment Analysis'!CX168+'3. Segment Analysis'!CX173)</f>
        <v>-1084.6797928610652</v>
      </c>
      <c r="CY582" s="15">
        <f>SUM(CU582:CX582)</f>
        <v>-2355.1889493088684</v>
      </c>
      <c r="CZ582" s="369">
        <f>'2. Consolidated'!CZ76-('3. Segment Analysis'!CZ168+'3. Segment Analysis'!CZ173)</f>
        <v>-325.51924724885339</v>
      </c>
      <c r="DA582" s="369">
        <f>'2. Consolidated'!DA76-('3. Segment Analysis'!DA168+'3. Segment Analysis'!DA173)</f>
        <v>-697.80657727441599</v>
      </c>
      <c r="DB582" s="369">
        <f>'2. Consolidated'!DB76-('3. Segment Analysis'!DB168+'3. Segment Analysis'!DB173)</f>
        <v>-490.28495190350054</v>
      </c>
      <c r="DC582" s="369">
        <f>'2. Consolidated'!DC76-('3. Segment Analysis'!DC168+'3. Segment Analysis'!DC173)</f>
        <v>-1164.5793670544626</v>
      </c>
      <c r="DD582" s="15">
        <f>SUM(CZ582:DC582)</f>
        <v>-2678.1901434812326</v>
      </c>
      <c r="DE582" s="369">
        <f>'2. Consolidated'!DE76-('3. Segment Analysis'!DE168+'3. Segment Analysis'!DE173)</f>
        <v>-362.86296585741911</v>
      </c>
      <c r="DF582" s="369">
        <f>'2. Consolidated'!DF76-('3. Segment Analysis'!DF168+'3. Segment Analysis'!DF173)</f>
        <v>-743.56911057182333</v>
      </c>
      <c r="DG582" s="369">
        <f>'2. Consolidated'!DG76-('3. Segment Analysis'!DG168+'3. Segment Analysis'!DG173)</f>
        <v>-537.01879005176397</v>
      </c>
      <c r="DH582" s="369">
        <f>'2. Consolidated'!DH76-('3. Segment Analysis'!DH168+'3. Segment Analysis'!DH173)</f>
        <v>-1209.4804045372857</v>
      </c>
      <c r="DI582" s="15">
        <f>SUM(DE582:DH582)</f>
        <v>-2852.9312710182921</v>
      </c>
    </row>
    <row r="583" spans="1:113" ht="12" customHeight="1">
      <c r="A583" s="219" t="str">
        <f t="shared" si="1527"/>
        <v xml:space="preserve"> </v>
      </c>
      <c r="B583" s="491" t="s">
        <v>171</v>
      </c>
      <c r="C583" s="492"/>
      <c r="D583" s="522"/>
      <c r="E583" s="492"/>
      <c r="F583" s="522"/>
      <c r="G583" s="492"/>
      <c r="H583" s="522"/>
      <c r="I583" s="492"/>
      <c r="J583" s="522"/>
      <c r="K583" s="492"/>
      <c r="L583" s="522"/>
      <c r="M583" s="492"/>
      <c r="N583" s="522"/>
      <c r="O583" s="492"/>
      <c r="P583" s="522"/>
      <c r="Q583" s="492"/>
      <c r="R583" s="378" t="s">
        <v>126</v>
      </c>
      <c r="S583" s="522" t="s">
        <v>126</v>
      </c>
      <c r="T583" s="522" t="s">
        <v>126</v>
      </c>
      <c r="U583" s="522" t="s">
        <v>126</v>
      </c>
      <c r="V583" s="492" t="s">
        <v>126</v>
      </c>
      <c r="W583" s="52">
        <f>+W582/R582-1</f>
        <v>-0.11764705882352944</v>
      </c>
      <c r="X583" s="52">
        <f>+X582/S582-1</f>
        <v>0.1685393258426966</v>
      </c>
      <c r="Y583" s="52">
        <f>+Y582/T582-1</f>
        <v>0.21608040201005019</v>
      </c>
      <c r="Z583" s="52">
        <f>+Z582/U582-1</f>
        <v>0.3091787439613527</v>
      </c>
      <c r="AA583" s="112">
        <f>+AA582/V582-1</f>
        <v>0.13788819875776404</v>
      </c>
      <c r="AB583" s="112"/>
      <c r="AC583" s="52">
        <f>+AC582/W582-1</f>
        <v>5.12820512820511E-3</v>
      </c>
      <c r="AD583" s="52">
        <f>+AD582/X582-1</f>
        <v>2.8846153846153744E-2</v>
      </c>
      <c r="AE583" s="52">
        <f>+AE582/Y582-1</f>
        <v>-0.14462809917355368</v>
      </c>
      <c r="AF583" s="52">
        <f>+AF582/Z582-1</f>
        <v>-1.4760147601476037E-2</v>
      </c>
      <c r="AG583" s="112">
        <f>+AG582/AA582-1</f>
        <v>-3.4934497816593857E-2</v>
      </c>
      <c r="AH583" s="52">
        <f t="shared" ref="AH583:BP583" si="1689">+AH582/AC582-1</f>
        <v>0.11224489795918369</v>
      </c>
      <c r="AI583" s="52">
        <f t="shared" si="1689"/>
        <v>2.8037383177569986E-2</v>
      </c>
      <c r="AJ583" s="52">
        <f t="shared" si="1689"/>
        <v>0.3623188405797102</v>
      </c>
      <c r="AK583" s="52">
        <f t="shared" si="1689"/>
        <v>0.12734082397003754</v>
      </c>
      <c r="AL583" s="112">
        <f t="shared" si="1689"/>
        <v>0.15497737556561075</v>
      </c>
      <c r="AM583" s="52">
        <f t="shared" si="1689"/>
        <v>0.11009174311926606</v>
      </c>
      <c r="AN583" s="52">
        <f t="shared" si="1689"/>
        <v>0.24090909090909096</v>
      </c>
      <c r="AO583" s="52">
        <f t="shared" si="1689"/>
        <v>-3.5460992907800915E-3</v>
      </c>
      <c r="AP583" s="52">
        <f t="shared" si="1689"/>
        <v>0</v>
      </c>
      <c r="AQ583" s="112">
        <f t="shared" si="1689"/>
        <v>7.4436826640548404E-2</v>
      </c>
      <c r="AR583" s="52">
        <f t="shared" si="1689"/>
        <v>0.334710743801653</v>
      </c>
      <c r="AS583" s="52">
        <f t="shared" si="1689"/>
        <v>0.33699633699633691</v>
      </c>
      <c r="AT583" s="52">
        <f t="shared" si="1689"/>
        <v>-6.0498220640569422E-2</v>
      </c>
      <c r="AU583" s="52">
        <f t="shared" si="1689"/>
        <v>-0.26578073089700993</v>
      </c>
      <c r="AV583" s="112">
        <f t="shared" si="1689"/>
        <v>6.9279854147675568E-2</v>
      </c>
      <c r="AW583" s="52">
        <f t="shared" si="1689"/>
        <v>-0.49535603715170273</v>
      </c>
      <c r="AX583" s="52">
        <f t="shared" si="1689"/>
        <v>-0.46301369863013697</v>
      </c>
      <c r="AY583" s="52">
        <f t="shared" si="1689"/>
        <v>-0.54924242424242431</v>
      </c>
      <c r="AZ583" s="52">
        <f t="shared" si="1689"/>
        <v>0.1131221719457014</v>
      </c>
      <c r="BA583" s="112">
        <f t="shared" si="1689"/>
        <v>-0.38277919863597609</v>
      </c>
      <c r="BB583" s="52">
        <f t="shared" si="1689"/>
        <v>1.6564417177914113</v>
      </c>
      <c r="BC583" s="52">
        <f t="shared" si="1689"/>
        <v>0.75</v>
      </c>
      <c r="BD583" s="52">
        <f t="shared" si="1689"/>
        <v>1.5126050420168067</v>
      </c>
      <c r="BE583" s="52">
        <f t="shared" si="1689"/>
        <v>0.54878048780487809</v>
      </c>
      <c r="BF583" s="112">
        <f t="shared" si="1689"/>
        <v>1.0110497237569063</v>
      </c>
      <c r="BG583" s="52">
        <f t="shared" si="1689"/>
        <v>-7.1593533487297911E-2</v>
      </c>
      <c r="BH583" s="52">
        <f t="shared" si="1689"/>
        <v>0.23323615160349864</v>
      </c>
      <c r="BI583" s="52">
        <f t="shared" si="1689"/>
        <v>0.40468227424749159</v>
      </c>
      <c r="BJ583" s="52">
        <f t="shared" si="1689"/>
        <v>0.48293963254593186</v>
      </c>
      <c r="BK583" s="112">
        <f t="shared" si="1689"/>
        <v>0.24313186813186816</v>
      </c>
      <c r="BL583" s="52">
        <f t="shared" si="1689"/>
        <v>5.4726368159204064E-2</v>
      </c>
      <c r="BM583" s="52">
        <f t="shared" si="1689"/>
        <v>-2.3640661938534313E-2</v>
      </c>
      <c r="BN583" s="52">
        <f t="shared" si="1689"/>
        <v>0.81666666666666665</v>
      </c>
      <c r="BO583" s="52">
        <f t="shared" si="1689"/>
        <v>-0.35044247787610616</v>
      </c>
      <c r="BP583" s="112">
        <f t="shared" si="1689"/>
        <v>8.6740331491712785E-2</v>
      </c>
      <c r="BQ583" s="52">
        <f t="shared" ref="BQ583:BZ583" si="1690">+BQ582/BL582-1</f>
        <v>0.17216981132075482</v>
      </c>
      <c r="BR583" s="52">
        <f t="shared" si="1690"/>
        <v>0.73849878934624691</v>
      </c>
      <c r="BS583" s="52">
        <f t="shared" si="1690"/>
        <v>-0.3682830930537353</v>
      </c>
      <c r="BT583" s="52">
        <f t="shared" si="1690"/>
        <v>0.53678474114441421</v>
      </c>
      <c r="BU583" s="112">
        <f t="shared" si="1690"/>
        <v>0.14946619217081847</v>
      </c>
      <c r="BV583" s="52">
        <f t="shared" si="1690"/>
        <v>9.6579476861166969E-2</v>
      </c>
      <c r="BW583" s="52">
        <f t="shared" si="1690"/>
        <v>-0.29944289693593318</v>
      </c>
      <c r="BX583" s="52">
        <f t="shared" si="1690"/>
        <v>-0.14522821576763489</v>
      </c>
      <c r="BY583" s="52">
        <f t="shared" si="1690"/>
        <v>0.3457446808510638</v>
      </c>
      <c r="BZ583" s="112">
        <f t="shared" si="1690"/>
        <v>-1.8575851393188847E-2</v>
      </c>
      <c r="CA583" s="52">
        <f t="shared" ref="CA583" si="1691">+CA582/BV582-1</f>
        <v>5.3211009174311874E-2</v>
      </c>
      <c r="CB583" s="52">
        <f t="shared" ref="CB583:CC583" si="1692">+CB582/BW582-1</f>
        <v>0.47912524850894633</v>
      </c>
      <c r="CC583" s="52">
        <f t="shared" si="1692"/>
        <v>0.68932038834951448</v>
      </c>
      <c r="CD583" s="52">
        <f t="shared" ref="CD583" si="1693">+CD582/BY582-1</f>
        <v>8.8274044795783935E-2</v>
      </c>
      <c r="CE583" s="112">
        <f t="shared" ref="CE583" si="1694">+CE582/BZ582-1</f>
        <v>0.27985579089680046</v>
      </c>
      <c r="CF583" s="52">
        <f t="shared" ref="CF583" si="1695">+CF582/CA582-1</f>
        <v>0.13414634146341453</v>
      </c>
      <c r="CG583" s="52">
        <f t="shared" ref="CG583:CH583" si="1696">+CG582/CB582-1</f>
        <v>-0.28091397849462363</v>
      </c>
      <c r="CH583" s="52">
        <f t="shared" si="1696"/>
        <v>-0.32327586206896552</v>
      </c>
      <c r="CI583" s="52">
        <f t="shared" ref="CI583" si="1697">+CI582/CD582-1</f>
        <v>-0.37167070217917675</v>
      </c>
      <c r="CJ583" s="112">
        <f t="shared" ref="CJ583:CL583" si="1698">+CJ582/CE582-1</f>
        <v>-0.23380281690140847</v>
      </c>
      <c r="CK583" s="52">
        <f t="shared" si="1698"/>
        <v>-0.16743471582181257</v>
      </c>
      <c r="CL583" s="52">
        <f t="shared" si="1698"/>
        <v>5.6074766355140193E-2</v>
      </c>
      <c r="CM583" s="52">
        <f t="shared" ref="CM583" si="1699">+CM582/CH582-1</f>
        <v>-2.1231422505307851E-3</v>
      </c>
      <c r="CN583" s="52">
        <f>+CN582/CI582-1</f>
        <v>0.20423892100192687</v>
      </c>
      <c r="CO583" s="112">
        <f t="shared" ref="CO583:CP583" si="1700">+CO582/CJ582-1</f>
        <v>1.1948529411764719E-2</v>
      </c>
      <c r="CP583" s="52">
        <f t="shared" si="1700"/>
        <v>-5.5350553505535416E-3</v>
      </c>
      <c r="CQ583" s="52">
        <f t="shared" ref="CQ583" si="1701">+CQ582/CL582-1</f>
        <v>-0.10088495575221235</v>
      </c>
      <c r="CR583" s="52">
        <f t="shared" ref="CR583" si="1702">+CR582/CM582-1</f>
        <v>-0.12553191489361704</v>
      </c>
      <c r="CS583" s="52">
        <f>+CS582/CN582-1</f>
        <v>-9.5999999999999974E-2</v>
      </c>
      <c r="CT583" s="112">
        <f t="shared" ref="CT583" si="1703">+CT582/CO582-1</f>
        <v>-8.1289736603088136E-2</v>
      </c>
      <c r="CU583" s="52">
        <f t="shared" ref="CU583" si="1704">+CU582/CP582-1</f>
        <v>-0.41992256583769316</v>
      </c>
      <c r="CV583" s="52">
        <f t="shared" ref="CV583" si="1705">+CV582/CQ582-1</f>
        <v>0.10134021060123377</v>
      </c>
      <c r="CW583" s="52">
        <f t="shared" ref="CW583" si="1706">+CW582/CR582-1</f>
        <v>-3.0738217885905583E-2</v>
      </c>
      <c r="CX583" s="52">
        <f t="shared" ref="CX583" si="1707">+CX582/CS582-1</f>
        <v>0.91978724400188527</v>
      </c>
      <c r="CY583" s="112">
        <f t="shared" ref="CY583" si="1708">+CY582/CT582-1</f>
        <v>0.16420610445322215</v>
      </c>
      <c r="CZ583" s="52">
        <f t="shared" ref="CZ583" si="1709">+CZ582/CU582-1</f>
        <v>4.1122749327064279E-2</v>
      </c>
      <c r="DA583" s="52">
        <f t="shared" ref="DA583" si="1710">+DA582/CV582-1</f>
        <v>0.24723948277961671</v>
      </c>
      <c r="DB583" s="52">
        <f t="shared" ref="DB583" si="1711">+DB582/CW582-1</f>
        <v>0.23073812211399258</v>
      </c>
      <c r="DC583" s="52">
        <f t="shared" ref="DC583" si="1712">+DC582/CX582-1</f>
        <v>7.3661899778409312E-2</v>
      </c>
      <c r="DD583" s="112">
        <f t="shared" ref="DD583" si="1713">+DD582/CY582-1</f>
        <v>0.13714449291516462</v>
      </c>
      <c r="DE583" s="52">
        <f t="shared" ref="DE583" si="1714">+DE582/CZ582-1</f>
        <v>0.11472046253540613</v>
      </c>
      <c r="DF583" s="52">
        <f t="shared" ref="DF583" si="1715">+DF582/DA582-1</f>
        <v>6.5580541639708612E-2</v>
      </c>
      <c r="DG583" s="52">
        <f t="shared" ref="DG583" si="1716">+DG582/DB582-1</f>
        <v>9.5319748172613128E-2</v>
      </c>
      <c r="DH583" s="52">
        <f t="shared" ref="DH583" si="1717">+DH582/DC582-1</f>
        <v>3.8555583889821055E-2</v>
      </c>
      <c r="DI583" s="112">
        <f t="shared" ref="DI583" si="1718">+DI582/DD582-1</f>
        <v>6.5245975145709068E-2</v>
      </c>
    </row>
    <row r="584" spans="1:113" ht="12" customHeight="1">
      <c r="A584" s="219"/>
      <c r="B584" s="491"/>
      <c r="C584" s="492"/>
      <c r="D584" s="522"/>
      <c r="E584" s="492"/>
      <c r="F584" s="522"/>
      <c r="G584" s="492"/>
      <c r="H584" s="522"/>
      <c r="I584" s="492"/>
      <c r="J584" s="522"/>
      <c r="K584" s="492"/>
      <c r="L584" s="522"/>
      <c r="M584" s="492"/>
      <c r="N584" s="522"/>
      <c r="O584" s="492"/>
      <c r="P584" s="522"/>
      <c r="Q584" s="492"/>
      <c r="R584" s="378"/>
      <c r="S584" s="522"/>
      <c r="T584" s="522"/>
      <c r="U584" s="522"/>
      <c r="V584" s="492"/>
      <c r="W584" s="52"/>
      <c r="X584" s="52"/>
      <c r="Y584" s="52"/>
      <c r="Z584" s="52"/>
      <c r="AA584" s="112"/>
      <c r="AB584" s="112"/>
      <c r="AC584" s="52"/>
      <c r="AD584" s="52"/>
      <c r="AE584" s="52"/>
      <c r="AF584" s="52"/>
      <c r="AG584" s="112"/>
      <c r="AH584" s="52"/>
      <c r="AI584" s="52"/>
      <c r="AJ584" s="52"/>
      <c r="AK584" s="52"/>
      <c r="AL584" s="112"/>
      <c r="AM584" s="52"/>
      <c r="AN584" s="52"/>
      <c r="AO584" s="52"/>
      <c r="AP584" s="52"/>
      <c r="AQ584" s="112"/>
      <c r="AR584" s="52"/>
      <c r="AS584" s="52"/>
      <c r="AT584" s="52"/>
      <c r="AU584" s="52"/>
      <c r="AV584" s="112"/>
      <c r="AW584" s="52"/>
      <c r="AX584" s="52"/>
      <c r="AY584" s="52"/>
      <c r="AZ584" s="52"/>
      <c r="BA584" s="112"/>
      <c r="BB584" s="52"/>
      <c r="BC584" s="52"/>
      <c r="BD584" s="52"/>
      <c r="BE584" s="52"/>
      <c r="BF584" s="112"/>
      <c r="BG584" s="52"/>
      <c r="BH584" s="52"/>
      <c r="BI584" s="52"/>
      <c r="BJ584" s="52"/>
      <c r="BK584" s="112"/>
      <c r="BL584" s="52"/>
      <c r="BM584" s="52"/>
      <c r="BN584" s="52"/>
      <c r="BO584" s="52"/>
      <c r="BP584" s="112"/>
      <c r="BQ584" s="52"/>
      <c r="BR584" s="52"/>
      <c r="BS584" s="52"/>
      <c r="BT584" s="52"/>
      <c r="BU584" s="112"/>
      <c r="BV584" s="52"/>
      <c r="BW584" s="52"/>
      <c r="BX584" s="52"/>
      <c r="BY584" s="52"/>
      <c r="BZ584" s="112"/>
      <c r="CA584" s="52"/>
      <c r="CB584" s="52"/>
      <c r="CC584" s="52"/>
      <c r="CD584" s="52"/>
      <c r="CE584" s="112"/>
      <c r="CF584" s="52"/>
      <c r="CG584" s="52"/>
      <c r="CH584" s="52"/>
      <c r="CI584" s="52"/>
      <c r="CJ584" s="112"/>
      <c r="CK584" s="52"/>
      <c r="CL584" s="52"/>
      <c r="CM584" s="52"/>
      <c r="CN584" s="52"/>
      <c r="CO584" s="112"/>
      <c r="CP584" s="52"/>
      <c r="CQ584" s="52"/>
      <c r="CR584" s="52"/>
      <c r="CS584" s="52"/>
      <c r="CT584" s="112"/>
      <c r="CU584" s="52"/>
      <c r="CV584" s="52"/>
      <c r="CW584" s="52"/>
      <c r="CX584" s="52"/>
      <c r="CY584" s="112"/>
      <c r="CZ584" s="52"/>
      <c r="DA584" s="52"/>
      <c r="DB584" s="52"/>
      <c r="DC584" s="52"/>
      <c r="DD584" s="112"/>
      <c r="DE584" s="52"/>
      <c r="DF584" s="52"/>
      <c r="DG584" s="52"/>
      <c r="DH584" s="52"/>
      <c r="DI584" s="112"/>
    </row>
    <row r="585" spans="1:113" ht="12" customHeight="1">
      <c r="A585" s="219"/>
      <c r="B585" s="17" t="s">
        <v>415</v>
      </c>
      <c r="C585" s="79"/>
      <c r="D585" s="6"/>
      <c r="E585" s="79"/>
      <c r="F585" s="6"/>
      <c r="G585" s="79"/>
      <c r="H585" s="6"/>
      <c r="I585" s="79"/>
      <c r="J585" s="6"/>
      <c r="K585" s="79"/>
      <c r="L585" s="6"/>
      <c r="M585" s="79"/>
      <c r="N585" s="6"/>
      <c r="O585" s="79"/>
      <c r="P585" s="6"/>
      <c r="Q585" s="79"/>
      <c r="R585" s="6"/>
      <c r="S585" s="6"/>
      <c r="T585" s="6"/>
      <c r="U585" s="6"/>
      <c r="V585" s="79"/>
      <c r="W585" s="6"/>
      <c r="X585" s="6"/>
      <c r="Y585" s="6"/>
      <c r="Z585" s="6"/>
      <c r="AA585" s="79"/>
      <c r="AB585" s="79"/>
      <c r="AC585" s="6"/>
      <c r="AD585" s="6"/>
      <c r="AE585" s="6"/>
      <c r="AF585" s="6"/>
      <c r="AG585" s="79"/>
      <c r="AH585" s="6"/>
      <c r="AI585" s="6"/>
      <c r="AJ585" s="6"/>
      <c r="AK585" s="6"/>
      <c r="AL585" s="79"/>
      <c r="AM585" s="6"/>
      <c r="AN585" s="6"/>
      <c r="AO585" s="6"/>
      <c r="AP585" s="6"/>
      <c r="AQ585" s="79"/>
      <c r="AR585" s="6"/>
      <c r="AS585" s="6"/>
      <c r="AT585" s="6"/>
      <c r="AU585" s="6"/>
      <c r="AV585" s="79"/>
      <c r="AW585" s="6"/>
      <c r="AX585" s="6"/>
      <c r="AY585" s="6"/>
      <c r="AZ585" s="6"/>
      <c r="BA585" s="79"/>
      <c r="BB585" s="6"/>
      <c r="BC585" s="6"/>
      <c r="BD585" s="6"/>
      <c r="BE585" s="6"/>
      <c r="BF585" s="79"/>
      <c r="BG585" s="6"/>
      <c r="BH585" s="6"/>
      <c r="BI585" s="6"/>
      <c r="BJ585" s="6"/>
      <c r="BK585" s="79"/>
      <c r="BL585" s="6"/>
      <c r="BM585" s="6"/>
      <c r="BN585" s="6"/>
      <c r="BO585" s="6"/>
      <c r="BP585" s="79"/>
      <c r="BQ585" s="6"/>
      <c r="BR585" s="6"/>
      <c r="BS585" s="6"/>
      <c r="BT585" s="6"/>
      <c r="BU585" s="79"/>
      <c r="BV585" s="6"/>
      <c r="BW585" s="6"/>
      <c r="BX585" s="6"/>
      <c r="BY585" s="6"/>
      <c r="BZ585" s="79"/>
      <c r="CA585" s="6"/>
      <c r="CB585" s="6"/>
      <c r="CC585" s="6"/>
      <c r="CD585" s="6"/>
      <c r="CE585" s="36">
        <v>131</v>
      </c>
      <c r="CF585" s="43"/>
      <c r="CG585" s="43"/>
      <c r="CH585" s="43"/>
      <c r="CI585" s="43"/>
      <c r="CJ585" s="36">
        <v>138</v>
      </c>
      <c r="CK585" s="43">
        <v>32</v>
      </c>
      <c r="CL585" s="43">
        <v>31</v>
      </c>
      <c r="CM585" s="43">
        <v>31</v>
      </c>
      <c r="CN585" s="43">
        <f>CO585-CM585-CL585-CK585</f>
        <v>31</v>
      </c>
      <c r="CO585" s="36">
        <v>125</v>
      </c>
      <c r="CP585" s="43">
        <v>29</v>
      </c>
      <c r="CQ585" s="43">
        <v>29</v>
      </c>
      <c r="CR585" s="43">
        <v>27</v>
      </c>
      <c r="CS585" s="43">
        <f>CT585-CR585-CQ585-CP585</f>
        <v>27</v>
      </c>
      <c r="CT585" s="36">
        <v>112</v>
      </c>
      <c r="CU585" s="43"/>
      <c r="CV585" s="43"/>
      <c r="CW585" s="43"/>
      <c r="CX585" s="43"/>
      <c r="CY585" s="36"/>
      <c r="CZ585" s="43"/>
      <c r="DA585" s="43"/>
      <c r="DB585" s="43"/>
      <c r="DC585" s="43"/>
      <c r="DD585" s="36"/>
      <c r="DE585" s="43"/>
      <c r="DF585" s="43"/>
      <c r="DG585" s="43"/>
      <c r="DH585" s="43"/>
      <c r="DI585" s="36"/>
    </row>
    <row r="586" spans="1:113" ht="12" customHeight="1">
      <c r="A586" s="219"/>
      <c r="B586" s="17" t="s">
        <v>416</v>
      </c>
      <c r="C586" s="79"/>
      <c r="D586" s="6"/>
      <c r="E586" s="79"/>
      <c r="F586" s="6"/>
      <c r="G586" s="79"/>
      <c r="H586" s="6"/>
      <c r="I586" s="79"/>
      <c r="J586" s="6"/>
      <c r="K586" s="79"/>
      <c r="L586" s="6"/>
      <c r="M586" s="79"/>
      <c r="N586" s="6"/>
      <c r="O586" s="79"/>
      <c r="P586" s="6"/>
      <c r="Q586" s="79"/>
      <c r="R586" s="6"/>
      <c r="S586" s="6"/>
      <c r="T586" s="6"/>
      <c r="U586" s="6"/>
      <c r="V586" s="79"/>
      <c r="W586" s="6"/>
      <c r="X586" s="6"/>
      <c r="Y586" s="6"/>
      <c r="Z586" s="6"/>
      <c r="AA586" s="79"/>
      <c r="AB586" s="79"/>
      <c r="AC586" s="6"/>
      <c r="AD586" s="6"/>
      <c r="AE586" s="6"/>
      <c r="AF586" s="6"/>
      <c r="AG586" s="79"/>
      <c r="AH586" s="6"/>
      <c r="AI586" s="6"/>
      <c r="AJ586" s="6"/>
      <c r="AK586" s="6"/>
      <c r="AL586" s="79"/>
      <c r="AM586" s="6"/>
      <c r="AN586" s="6"/>
      <c r="AO586" s="6"/>
      <c r="AP586" s="6"/>
      <c r="AQ586" s="79"/>
      <c r="AR586" s="6"/>
      <c r="AS586" s="6"/>
      <c r="AT586" s="6"/>
      <c r="AU586" s="6"/>
      <c r="AV586" s="79"/>
      <c r="AW586" s="6"/>
      <c r="AX586" s="6"/>
      <c r="AY586" s="6"/>
      <c r="AZ586" s="6"/>
      <c r="BA586" s="79"/>
      <c r="BB586" s="6"/>
      <c r="BC586" s="6"/>
      <c r="BD586" s="6"/>
      <c r="BE586" s="6"/>
      <c r="BF586" s="79"/>
      <c r="BG586" s="6"/>
      <c r="BH586" s="6"/>
      <c r="BI586" s="6"/>
      <c r="BJ586" s="6"/>
      <c r="BK586" s="79"/>
      <c r="BL586" s="6"/>
      <c r="BM586" s="6"/>
      <c r="BN586" s="6"/>
      <c r="BO586" s="6"/>
      <c r="BP586" s="79"/>
      <c r="BQ586" s="6"/>
      <c r="BR586" s="6"/>
      <c r="BS586" s="6"/>
      <c r="BT586" s="6"/>
      <c r="BU586" s="79"/>
      <c r="BV586" s="6"/>
      <c r="BW586" s="6"/>
      <c r="BX586" s="6"/>
      <c r="BY586" s="6"/>
      <c r="BZ586" s="79"/>
      <c r="CA586" s="6"/>
      <c r="CB586" s="6"/>
      <c r="CC586" s="6"/>
      <c r="CD586" s="6"/>
      <c r="CE586" s="36">
        <v>77</v>
      </c>
      <c r="CF586" s="43"/>
      <c r="CG586" s="43"/>
      <c r="CH586" s="43"/>
      <c r="CI586" s="43"/>
      <c r="CJ586" s="36">
        <v>15</v>
      </c>
      <c r="CK586" s="39" t="s">
        <v>126</v>
      </c>
      <c r="CL586" s="39" t="s">
        <v>126</v>
      </c>
      <c r="CM586" s="39" t="s">
        <v>126</v>
      </c>
      <c r="CN586" s="39" t="s">
        <v>126</v>
      </c>
      <c r="CO586" s="36">
        <v>-27</v>
      </c>
      <c r="CP586" s="43">
        <v>-90</v>
      </c>
      <c r="CQ586" s="43">
        <v>-163</v>
      </c>
      <c r="CR586" s="7">
        <v>-248</v>
      </c>
      <c r="CS586" s="43">
        <f>CT586-CR586-CQ586-CP586</f>
        <v>335</v>
      </c>
      <c r="CT586" s="36">
        <v>-166</v>
      </c>
      <c r="CU586" s="43"/>
      <c r="CV586" s="43"/>
      <c r="CW586" s="43"/>
      <c r="CX586" s="43"/>
      <c r="CY586" s="36"/>
      <c r="CZ586" s="43"/>
      <c r="DA586" s="43"/>
      <c r="DB586" s="43"/>
      <c r="DC586" s="43"/>
      <c r="DD586" s="36"/>
      <c r="DE586" s="43"/>
      <c r="DF586" s="43"/>
      <c r="DG586" s="43"/>
      <c r="DH586" s="43"/>
      <c r="DI586" s="36"/>
    </row>
    <row r="587" spans="1:113" ht="12" customHeight="1">
      <c r="A587" s="219"/>
      <c r="B587" s="491" t="s">
        <v>348</v>
      </c>
      <c r="C587" s="79"/>
      <c r="D587" s="6"/>
      <c r="E587" s="79"/>
      <c r="F587" s="6"/>
      <c r="G587" s="79"/>
      <c r="H587" s="6"/>
      <c r="I587" s="79"/>
      <c r="J587" s="6"/>
      <c r="K587" s="79"/>
      <c r="L587" s="6"/>
      <c r="M587" s="79"/>
      <c r="N587" s="6"/>
      <c r="O587" s="79"/>
      <c r="P587" s="6"/>
      <c r="Q587" s="79"/>
      <c r="R587" s="6"/>
      <c r="S587" s="6"/>
      <c r="T587" s="6"/>
      <c r="U587" s="6"/>
      <c r="V587" s="79"/>
      <c r="W587" s="6"/>
      <c r="X587" s="6"/>
      <c r="Y587" s="6"/>
      <c r="Z587" s="6"/>
      <c r="AA587" s="79"/>
      <c r="AB587" s="79"/>
      <c r="AC587" s="6"/>
      <c r="AD587" s="6"/>
      <c r="AE587" s="6"/>
      <c r="AF587" s="6"/>
      <c r="AG587" s="79"/>
      <c r="AH587" s="6"/>
      <c r="AI587" s="6"/>
      <c r="AJ587" s="6"/>
      <c r="AK587" s="6"/>
      <c r="AL587" s="79"/>
      <c r="AM587" s="6"/>
      <c r="AN587" s="6"/>
      <c r="AO587" s="6"/>
      <c r="AP587" s="6"/>
      <c r="AQ587" s="79"/>
      <c r="AR587" s="6"/>
      <c r="AS587" s="6"/>
      <c r="AT587" s="6"/>
      <c r="AU587" s="6"/>
      <c r="AV587" s="79"/>
      <c r="AW587" s="6"/>
      <c r="AX587" s="6"/>
      <c r="AY587" s="6"/>
      <c r="AZ587" s="6"/>
      <c r="BA587" s="79"/>
      <c r="BB587" s="6"/>
      <c r="BC587" s="6"/>
      <c r="BD587" s="6"/>
      <c r="BE587" s="6"/>
      <c r="BF587" s="79"/>
      <c r="BG587" s="6"/>
      <c r="BH587" s="6"/>
      <c r="BI587" s="6"/>
      <c r="BJ587" s="6"/>
      <c r="BK587" s="79"/>
      <c r="BL587" s="6"/>
      <c r="BM587" s="6"/>
      <c r="BN587" s="6"/>
      <c r="BO587" s="6"/>
      <c r="BP587" s="79"/>
      <c r="BQ587" s="6"/>
      <c r="BR587" s="6"/>
      <c r="BS587" s="6"/>
      <c r="BT587" s="6"/>
      <c r="BU587" s="79"/>
      <c r="BV587" s="6"/>
      <c r="BW587" s="6"/>
      <c r="BX587" s="6"/>
      <c r="BY587" s="6"/>
      <c r="BZ587" s="79"/>
      <c r="CA587" s="6"/>
      <c r="CB587" s="6"/>
      <c r="CC587" s="6"/>
      <c r="CD587" s="6"/>
      <c r="CE587" s="232" t="s">
        <v>126</v>
      </c>
      <c r="CF587" s="27"/>
      <c r="CG587" s="27"/>
      <c r="CH587" s="27"/>
      <c r="CI587" s="27"/>
      <c r="CJ587" s="112">
        <f>CJ586/CE586-1</f>
        <v>-0.80519480519480524</v>
      </c>
      <c r="CK587" s="39" t="s">
        <v>126</v>
      </c>
      <c r="CL587" s="39" t="s">
        <v>126</v>
      </c>
      <c r="CM587" s="39" t="s">
        <v>126</v>
      </c>
      <c r="CN587" s="39" t="s">
        <v>126</v>
      </c>
      <c r="CO587" s="112">
        <f>CO586/CJ586-1</f>
        <v>-2.8</v>
      </c>
      <c r="CP587" s="213" t="s">
        <v>126</v>
      </c>
      <c r="CQ587" s="213" t="s">
        <v>126</v>
      </c>
      <c r="CR587" s="213" t="s">
        <v>126</v>
      </c>
      <c r="CS587" s="39" t="s">
        <v>126</v>
      </c>
      <c r="CT587" s="112"/>
      <c r="CU587" s="213"/>
      <c r="CV587" s="27"/>
      <c r="CW587" s="27"/>
      <c r="CX587" s="27"/>
      <c r="CY587" s="112"/>
      <c r="CZ587" s="27"/>
      <c r="DA587" s="27"/>
      <c r="DB587" s="27"/>
      <c r="DC587" s="27"/>
      <c r="DD587" s="112"/>
      <c r="DE587" s="27"/>
      <c r="DF587" s="27"/>
      <c r="DG587" s="27"/>
      <c r="DH587" s="27"/>
      <c r="DI587" s="112"/>
    </row>
    <row r="588" spans="1:113" ht="12" customHeight="1">
      <c r="A588" s="219"/>
      <c r="B588" s="622"/>
      <c r="C588" s="623"/>
      <c r="D588" s="624"/>
      <c r="E588" s="623"/>
      <c r="F588" s="624"/>
      <c r="G588" s="623"/>
      <c r="H588" s="624"/>
      <c r="I588" s="623"/>
      <c r="J588" s="624"/>
      <c r="K588" s="623"/>
      <c r="L588" s="624"/>
      <c r="M588" s="623"/>
      <c r="N588" s="624"/>
      <c r="O588" s="623"/>
      <c r="P588" s="624"/>
      <c r="Q588" s="623"/>
      <c r="R588" s="624"/>
      <c r="S588" s="624"/>
      <c r="T588" s="624"/>
      <c r="U588" s="624"/>
      <c r="V588" s="623"/>
      <c r="W588" s="624"/>
      <c r="X588" s="624"/>
      <c r="Y588" s="624"/>
      <c r="Z588" s="624"/>
      <c r="AA588" s="623"/>
      <c r="AB588" s="623"/>
      <c r="AC588" s="624"/>
      <c r="AD588" s="624"/>
      <c r="AE588" s="624"/>
      <c r="AF588" s="624"/>
      <c r="AG588" s="623"/>
      <c r="AH588" s="624"/>
      <c r="AI588" s="624"/>
      <c r="AJ588" s="624"/>
      <c r="AK588" s="624"/>
      <c r="AL588" s="623"/>
      <c r="AM588" s="624"/>
      <c r="AN588" s="624"/>
      <c r="AO588" s="624"/>
      <c r="AP588" s="624"/>
      <c r="AQ588" s="623"/>
      <c r="AR588" s="624"/>
      <c r="AS588" s="624"/>
      <c r="AT588" s="624"/>
      <c r="AU588" s="624"/>
      <c r="AV588" s="623"/>
      <c r="AW588" s="624"/>
      <c r="AX588" s="624"/>
      <c r="AY588" s="624"/>
      <c r="AZ588" s="624"/>
      <c r="BA588" s="623"/>
      <c r="BB588" s="624"/>
      <c r="BC588" s="624"/>
      <c r="BD588" s="624"/>
      <c r="BE588" s="624"/>
      <c r="BF588" s="623"/>
      <c r="BG588" s="624"/>
      <c r="BH588" s="624"/>
      <c r="BI588" s="624"/>
      <c r="BJ588" s="624"/>
      <c r="BK588" s="623"/>
      <c r="BL588" s="624"/>
      <c r="BM588" s="624"/>
      <c r="BN588" s="624"/>
      <c r="BO588" s="624"/>
      <c r="BP588" s="623"/>
      <c r="BQ588" s="624"/>
      <c r="BR588" s="624"/>
      <c r="BS588" s="624"/>
      <c r="BT588" s="624"/>
      <c r="BU588" s="623"/>
      <c r="BV588" s="624"/>
      <c r="BW588" s="624"/>
      <c r="BX588" s="624"/>
      <c r="BY588" s="624"/>
      <c r="BZ588" s="623"/>
      <c r="CA588" s="624"/>
      <c r="CB588" s="624"/>
      <c r="CC588" s="624"/>
      <c r="CD588" s="624"/>
      <c r="CE588" s="623"/>
      <c r="CF588" s="624"/>
      <c r="CG588" s="624"/>
      <c r="CH588" s="624"/>
      <c r="CI588" s="624"/>
      <c r="CJ588" s="623"/>
      <c r="CK588" s="624"/>
      <c r="CL588" s="624"/>
      <c r="CM588" s="624"/>
      <c r="CN588" s="624"/>
      <c r="CO588" s="623"/>
      <c r="CP588" s="624"/>
      <c r="CQ588" s="624"/>
      <c r="CR588" s="624"/>
      <c r="CS588" s="624"/>
      <c r="CT588" s="623"/>
      <c r="CU588" s="624"/>
      <c r="CV588" s="624"/>
      <c r="CW588" s="624"/>
      <c r="CX588" s="624"/>
      <c r="CY588" s="623"/>
      <c r="CZ588" s="624"/>
      <c r="DA588" s="624"/>
      <c r="DB588" s="624"/>
      <c r="DC588" s="624"/>
      <c r="DD588" s="623"/>
      <c r="DE588" s="624"/>
      <c r="DF588" s="624"/>
      <c r="DG588" s="624"/>
      <c r="DH588" s="624"/>
      <c r="DI588" s="623"/>
    </row>
  </sheetData>
  <printOptions horizontalCentered="1" verticalCentered="1"/>
  <pageMargins left="0.7" right="0.7" top="0.75" bottom="0.75" header="0.3" footer="0.3"/>
  <pageSetup scale="10" orientation="portrait" r:id="rId1"/>
  <customProperties>
    <customPr name="Qube.Worksheet.ID" r:id="rId2"/>
    <customPr name="Qube.Worksheet.Visibility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7"/>
  <dimension ref="B1:CU63"/>
  <sheetViews>
    <sheetView showGridLines="0" zoomScale="85" zoomScaleNormal="85" workbookViewId="0">
      <pane xSplit="2" ySplit="6" topLeftCell="BB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 outlineLevelCol="1"/>
  <cols>
    <col min="1" max="1" width="2.7109375" style="5" customWidth="1"/>
    <col min="2" max="2" width="31.28515625" style="5" customWidth="1"/>
    <col min="3" max="7" width="9.140625" style="5" hidden="1" customWidth="1" outlineLevel="1"/>
    <col min="8" max="8" width="9.140625" style="5" collapsed="1"/>
    <col min="9" max="12" width="9.140625" style="5" hidden="1" customWidth="1" outlineLevel="1"/>
    <col min="13" max="13" width="9.140625" style="5" collapsed="1"/>
    <col min="14" max="18" width="9.140625" style="5" hidden="1" customWidth="1" outlineLevel="1"/>
    <col min="19" max="19" width="9.140625" style="5" collapsed="1"/>
    <col min="20" max="23" width="9.140625" style="5" hidden="1" customWidth="1" outlineLevel="1"/>
    <col min="24" max="24" width="9.140625" style="5" collapsed="1"/>
    <col min="25" max="28" width="9.140625" style="5" hidden="1" customWidth="1" outlineLevel="1"/>
    <col min="29" max="29" width="9.140625" style="5" collapsed="1"/>
    <col min="30" max="33" width="9.140625" style="5" hidden="1" customWidth="1" outlineLevel="1"/>
    <col min="34" max="34" width="9.140625" style="5" collapsed="1"/>
    <col min="35" max="38" width="9.140625" style="5" hidden="1" customWidth="1" outlineLevel="1"/>
    <col min="39" max="39" width="9.140625" style="5" collapsed="1"/>
    <col min="40" max="43" width="9.140625" style="5" hidden="1" customWidth="1" outlineLevel="1"/>
    <col min="44" max="44" width="9.140625" style="5" collapsed="1"/>
    <col min="45" max="48" width="9.140625" style="5" hidden="1" customWidth="1" outlineLevel="1"/>
    <col min="49" max="49" width="9.140625" style="5" collapsed="1"/>
    <col min="50" max="53" width="9.140625" style="5" hidden="1" customWidth="1" outlineLevel="1"/>
    <col min="54" max="54" width="9.140625" style="5" collapsed="1"/>
    <col min="55" max="58" width="9.140625" style="5" hidden="1" customWidth="1" outlineLevel="1"/>
    <col min="59" max="59" width="9.140625" style="5" collapsed="1"/>
    <col min="60" max="63" width="9.140625" style="5" hidden="1" customWidth="1" outlineLevel="1"/>
    <col min="64" max="64" width="9.140625" style="5" collapsed="1"/>
    <col min="65" max="68" width="0" style="5" hidden="1" customWidth="1" outlineLevel="1"/>
    <col min="69" max="69" width="9.140625" style="5" collapsed="1"/>
    <col min="70" max="73" width="0" style="5" hidden="1" customWidth="1" outlineLevel="1"/>
    <col min="74" max="74" width="9.140625" style="5" collapsed="1"/>
    <col min="75" max="78" width="0" style="5" hidden="1" customWidth="1" outlineLevel="1"/>
    <col min="79" max="79" width="9.140625" style="5" collapsed="1"/>
    <col min="80" max="83" width="9.140625" style="5" outlineLevel="1"/>
    <col min="84" max="84" width="9.140625" style="5"/>
    <col min="85" max="88" width="9.140625" style="5" outlineLevel="1"/>
    <col min="89" max="89" width="9.140625" style="5"/>
    <col min="90" max="93" width="9.140625" style="5" outlineLevel="1"/>
    <col min="94" max="94" width="9.140625" style="5"/>
    <col min="95" max="98" width="9.140625" style="5" outlineLevel="1"/>
    <col min="99" max="16384" width="9.140625" style="5"/>
  </cols>
  <sheetData>
    <row r="1" spans="2:99" ht="12.75" customHeight="1">
      <c r="B1" s="66" t="s">
        <v>75</v>
      </c>
      <c r="C1" s="66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  <c r="CF1" s="121"/>
      <c r="CG1" s="121"/>
      <c r="CH1" s="121"/>
      <c r="CI1" s="121"/>
      <c r="CJ1" s="121"/>
      <c r="CK1" s="121"/>
      <c r="CL1" s="121"/>
      <c r="CM1" s="121"/>
      <c r="CN1" s="121"/>
      <c r="CO1" s="121"/>
      <c r="CP1" s="121"/>
      <c r="CQ1" s="121"/>
      <c r="CR1" s="121"/>
      <c r="CS1" s="121"/>
      <c r="CT1" s="121"/>
      <c r="CU1" s="121"/>
    </row>
    <row r="2" spans="2:99">
      <c r="B2" s="67" t="s">
        <v>295</v>
      </c>
      <c r="C2" s="67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  <c r="CA2" s="121"/>
      <c r="CB2" s="121"/>
      <c r="CC2" s="121"/>
      <c r="CD2" s="121"/>
      <c r="CE2" s="121"/>
      <c r="CF2" s="121"/>
      <c r="CG2" s="121"/>
      <c r="CH2" s="121"/>
      <c r="CI2" s="121"/>
      <c r="CJ2" s="121"/>
      <c r="CK2" s="121"/>
      <c r="CL2" s="121"/>
      <c r="CM2" s="121"/>
      <c r="CN2" s="121"/>
      <c r="CO2" s="121"/>
      <c r="CP2" s="121"/>
      <c r="CQ2" s="121"/>
      <c r="CR2" s="121"/>
      <c r="CS2" s="121"/>
      <c r="CT2" s="121"/>
      <c r="CU2" s="121"/>
    </row>
    <row r="3" spans="2:99">
      <c r="B3" s="67" t="s">
        <v>78</v>
      </c>
      <c r="C3" s="67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  <c r="CK3" s="121"/>
      <c r="CL3" s="121"/>
      <c r="CM3" s="121"/>
      <c r="CN3" s="121"/>
      <c r="CO3" s="121"/>
      <c r="CP3" s="121"/>
      <c r="CQ3" s="121"/>
      <c r="CR3" s="121"/>
      <c r="CS3" s="121"/>
      <c r="CT3" s="121"/>
      <c r="CU3" s="121"/>
    </row>
    <row r="5" spans="2:99" ht="15" customHeight="1">
      <c r="B5" s="72" t="s">
        <v>303</v>
      </c>
      <c r="C5" s="174">
        <f>'2. Consolidated'!Q5</f>
        <v>40329</v>
      </c>
      <c r="D5" s="172">
        <f>'2. Consolidated'!R5</f>
        <v>40421</v>
      </c>
      <c r="E5" s="173">
        <f>'2. Consolidated'!S5</f>
        <v>40512</v>
      </c>
      <c r="F5" s="173">
        <f>'2. Consolidated'!T5</f>
        <v>40602</v>
      </c>
      <c r="G5" s="173">
        <f>'2. Consolidated'!U5</f>
        <v>40694</v>
      </c>
      <c r="H5" s="174">
        <f>'2. Consolidated'!V5</f>
        <v>40694</v>
      </c>
      <c r="I5" s="173">
        <f>'2. Consolidated'!W5</f>
        <v>40786</v>
      </c>
      <c r="J5" s="173">
        <f>'2. Consolidated'!X5</f>
        <v>40877</v>
      </c>
      <c r="K5" s="173">
        <f>'2. Consolidated'!Y5</f>
        <v>40968</v>
      </c>
      <c r="L5" s="173">
        <f>'2. Consolidated'!Z5</f>
        <v>41060</v>
      </c>
      <c r="M5" s="174">
        <f>'2. Consolidated'!AA5</f>
        <v>41060</v>
      </c>
      <c r="N5" s="173">
        <f>'2. Consolidated'!AB5</f>
        <v>41060</v>
      </c>
      <c r="O5" s="173">
        <f>'2. Consolidated'!AC5</f>
        <v>41152</v>
      </c>
      <c r="P5" s="173">
        <f>'2. Consolidated'!AD5</f>
        <v>41243</v>
      </c>
      <c r="Q5" s="173">
        <f>'2. Consolidated'!AE5</f>
        <v>41333</v>
      </c>
      <c r="R5" s="173">
        <f>'2. Consolidated'!AF5</f>
        <v>41425</v>
      </c>
      <c r="S5" s="174">
        <f>'2. Consolidated'!AG5</f>
        <v>41425</v>
      </c>
      <c r="T5" s="173">
        <f>'2. Consolidated'!AH5</f>
        <v>41517</v>
      </c>
      <c r="U5" s="173">
        <f>'2. Consolidated'!AI5</f>
        <v>41608</v>
      </c>
      <c r="V5" s="173">
        <f>'2. Consolidated'!AJ5</f>
        <v>41698</v>
      </c>
      <c r="W5" s="173">
        <f>'2. Consolidated'!AK5</f>
        <v>41790</v>
      </c>
      <c r="X5" s="174">
        <f>'2. Consolidated'!AL5</f>
        <v>41790</v>
      </c>
      <c r="Y5" s="173">
        <f>'2. Consolidated'!AM5</f>
        <v>41882</v>
      </c>
      <c r="Z5" s="173">
        <f>'2. Consolidated'!AN5</f>
        <v>41973</v>
      </c>
      <c r="AA5" s="173">
        <f>'2. Consolidated'!AO5</f>
        <v>42063</v>
      </c>
      <c r="AB5" s="173">
        <f>'2. Consolidated'!AP5</f>
        <v>42155</v>
      </c>
      <c r="AC5" s="174">
        <f>'2. Consolidated'!AQ5</f>
        <v>42155</v>
      </c>
      <c r="AD5" s="173">
        <f>'2. Consolidated'!AR5</f>
        <v>42247</v>
      </c>
      <c r="AE5" s="173">
        <f>'2. Consolidated'!AS5</f>
        <v>42338</v>
      </c>
      <c r="AF5" s="173">
        <f>'2. Consolidated'!AT5</f>
        <v>42429</v>
      </c>
      <c r="AG5" s="173">
        <f>'2. Consolidated'!AU5</f>
        <v>42521</v>
      </c>
      <c r="AH5" s="174">
        <f>'2. Consolidated'!AV5</f>
        <v>42521</v>
      </c>
      <c r="AI5" s="173">
        <f>'2. Consolidated'!AW5</f>
        <v>42613</v>
      </c>
      <c r="AJ5" s="173">
        <f>'2. Consolidated'!AX5</f>
        <v>42704</v>
      </c>
      <c r="AK5" s="173">
        <f>'2. Consolidated'!AY5</f>
        <v>42794</v>
      </c>
      <c r="AL5" s="173">
        <f>'2. Consolidated'!AZ5</f>
        <v>42886</v>
      </c>
      <c r="AM5" s="174">
        <f>'2. Consolidated'!BA5</f>
        <v>42886</v>
      </c>
      <c r="AN5" s="173">
        <f>'2. Consolidated'!BB5</f>
        <v>42978</v>
      </c>
      <c r="AO5" s="173">
        <f>'2. Consolidated'!BC5</f>
        <v>43069</v>
      </c>
      <c r="AP5" s="173">
        <f>'2. Consolidated'!BD5</f>
        <v>43159</v>
      </c>
      <c r="AQ5" s="173">
        <f>'2. Consolidated'!BE5</f>
        <v>43251</v>
      </c>
      <c r="AR5" s="174">
        <f>'2. Consolidated'!BF5</f>
        <v>43251</v>
      </c>
      <c r="AS5" s="173">
        <f>'2. Consolidated'!BG5</f>
        <v>43343</v>
      </c>
      <c r="AT5" s="173">
        <f>'2. Consolidated'!BH5</f>
        <v>43434</v>
      </c>
      <c r="AU5" s="173">
        <f>'2. Consolidated'!BI5</f>
        <v>43524</v>
      </c>
      <c r="AV5" s="173">
        <f>'2. Consolidated'!BJ5</f>
        <v>43616</v>
      </c>
      <c r="AW5" s="174">
        <f>'2. Consolidated'!BK5</f>
        <v>43616</v>
      </c>
      <c r="AX5" s="173">
        <f>'2. Consolidated'!BL5</f>
        <v>43708</v>
      </c>
      <c r="AY5" s="173">
        <f>'2. Consolidated'!BM5</f>
        <v>43799</v>
      </c>
      <c r="AZ5" s="173">
        <f>'2. Consolidated'!BN5</f>
        <v>43890</v>
      </c>
      <c r="BA5" s="173">
        <f>'2. Consolidated'!BO5</f>
        <v>43982</v>
      </c>
      <c r="BB5" s="174">
        <f>'2. Consolidated'!BP5</f>
        <v>43982</v>
      </c>
      <c r="BC5" s="173">
        <f>'2. Consolidated'!BQ5</f>
        <v>44074</v>
      </c>
      <c r="BD5" s="173">
        <f>'2. Consolidated'!BR5</f>
        <v>44165</v>
      </c>
      <c r="BE5" s="173">
        <f>'2. Consolidated'!BS5</f>
        <v>44255</v>
      </c>
      <c r="BF5" s="173">
        <f>'2. Consolidated'!BT5</f>
        <v>44347</v>
      </c>
      <c r="BG5" s="174">
        <f>'2. Consolidated'!BU5</f>
        <v>44347</v>
      </c>
      <c r="BH5" s="173">
        <f>'2. Consolidated'!BV5</f>
        <v>44439</v>
      </c>
      <c r="BI5" s="173">
        <f>'2. Consolidated'!BW5</f>
        <v>44530</v>
      </c>
      <c r="BJ5" s="173">
        <f>'2. Consolidated'!BX5</f>
        <v>44620</v>
      </c>
      <c r="BK5" s="173">
        <f>'2. Consolidated'!BY5</f>
        <v>44712</v>
      </c>
      <c r="BL5" s="174">
        <f>'2. Consolidated'!BZ5</f>
        <v>44712</v>
      </c>
      <c r="BM5" s="173">
        <f>'2. Consolidated'!CA5</f>
        <v>44804</v>
      </c>
      <c r="BN5" s="173">
        <f>'2. Consolidated'!CB5</f>
        <v>44895</v>
      </c>
      <c r="BO5" s="173">
        <f>'2. Consolidated'!CC5</f>
        <v>44985</v>
      </c>
      <c r="BP5" s="173">
        <f>'2. Consolidated'!CD5</f>
        <v>45077</v>
      </c>
      <c r="BQ5" s="174">
        <f>'2. Consolidated'!CE5</f>
        <v>45077</v>
      </c>
      <c r="BR5" s="173">
        <f>'2. Consolidated'!CF5</f>
        <v>45169</v>
      </c>
      <c r="BS5" s="173">
        <f>'2. Consolidated'!CG5</f>
        <v>45260</v>
      </c>
      <c r="BT5" s="173">
        <f>'2. Consolidated'!CH5</f>
        <v>45350</v>
      </c>
      <c r="BU5" s="173">
        <f>'2. Consolidated'!CI5</f>
        <v>45443</v>
      </c>
      <c r="BV5" s="174">
        <f>'2. Consolidated'!CJ5</f>
        <v>45443</v>
      </c>
      <c r="BW5" s="173">
        <f>'2. Consolidated'!CK5</f>
        <v>45535</v>
      </c>
      <c r="BX5" s="173">
        <f>'2. Consolidated'!CL5</f>
        <v>45626</v>
      </c>
      <c r="BY5" s="173">
        <f>'2. Consolidated'!CM5</f>
        <v>45716</v>
      </c>
      <c r="BZ5" s="173">
        <f>'2. Consolidated'!CN5</f>
        <v>45808</v>
      </c>
      <c r="CA5" s="174">
        <f>'2. Consolidated'!CO5</f>
        <v>45808</v>
      </c>
      <c r="CB5" s="173">
        <f>'2. Consolidated'!CP5</f>
        <v>45900</v>
      </c>
      <c r="CC5" s="173">
        <f>'2. Consolidated'!CQ5</f>
        <v>45991</v>
      </c>
      <c r="CD5" s="173">
        <f>'2. Consolidated'!CR5</f>
        <v>46081</v>
      </c>
      <c r="CE5" s="173">
        <f>'2. Consolidated'!CS5</f>
        <v>46173</v>
      </c>
      <c r="CF5" s="174">
        <f>'2. Consolidated'!CT5</f>
        <v>46173</v>
      </c>
      <c r="CG5" s="173">
        <f>'2. Consolidated'!CU5</f>
        <v>46265</v>
      </c>
      <c r="CH5" s="173">
        <f>'2. Consolidated'!CV5</f>
        <v>46356</v>
      </c>
      <c r="CI5" s="173">
        <f>'2. Consolidated'!CW5</f>
        <v>46446</v>
      </c>
      <c r="CJ5" s="173">
        <f>'2. Consolidated'!CX5</f>
        <v>46538</v>
      </c>
      <c r="CK5" s="174">
        <f>'2. Consolidated'!CY5</f>
        <v>46538</v>
      </c>
      <c r="CL5" s="173">
        <f>'2. Consolidated'!CZ5</f>
        <v>46630</v>
      </c>
      <c r="CM5" s="173">
        <f>'2. Consolidated'!DA5</f>
        <v>46721</v>
      </c>
      <c r="CN5" s="173">
        <f>'2. Consolidated'!DB5</f>
        <v>46811</v>
      </c>
      <c r="CO5" s="173">
        <f>'2. Consolidated'!DC5</f>
        <v>46904</v>
      </c>
      <c r="CP5" s="174">
        <f>'2. Consolidated'!DD5</f>
        <v>46904</v>
      </c>
      <c r="CQ5" s="173">
        <f>'2. Consolidated'!DE5</f>
        <v>46995</v>
      </c>
      <c r="CR5" s="173">
        <f>'2. Consolidated'!DF5</f>
        <v>47086</v>
      </c>
      <c r="CS5" s="173">
        <f>'2. Consolidated'!DG5</f>
        <v>47177</v>
      </c>
      <c r="CT5" s="173">
        <f>'2. Consolidated'!DH5</f>
        <v>47268</v>
      </c>
      <c r="CU5" s="174">
        <f>'2. Consolidated'!DI5</f>
        <v>46904</v>
      </c>
    </row>
    <row r="6" spans="2:99" ht="15" customHeight="1">
      <c r="B6" s="149" t="s">
        <v>101</v>
      </c>
      <c r="C6" s="152">
        <f>'2. Consolidated'!Q6</f>
        <v>2010</v>
      </c>
      <c r="D6" s="150" t="str">
        <f>'2. Consolidated'!R6</f>
        <v>1Q</v>
      </c>
      <c r="E6" s="151" t="str">
        <f>'2. Consolidated'!S6</f>
        <v>2Q</v>
      </c>
      <c r="F6" s="151" t="str">
        <f>'2. Consolidated'!T6</f>
        <v>3Q</v>
      </c>
      <c r="G6" s="151" t="str">
        <f>'2. Consolidated'!U6</f>
        <v>4Q</v>
      </c>
      <c r="H6" s="152">
        <f>'2. Consolidated'!V6</f>
        <v>2011</v>
      </c>
      <c r="I6" s="151" t="str">
        <f>'2. Consolidated'!W6</f>
        <v>1Q</v>
      </c>
      <c r="J6" s="151" t="str">
        <f>'2. Consolidated'!X6</f>
        <v>2Q</v>
      </c>
      <c r="K6" s="151" t="str">
        <f>'2. Consolidated'!Y6</f>
        <v>3Q</v>
      </c>
      <c r="L6" s="151" t="str">
        <f>'2. Consolidated'!Z6</f>
        <v>4Q</v>
      </c>
      <c r="M6" s="152">
        <f>'2. Consolidated'!AA6</f>
        <v>2012</v>
      </c>
      <c r="N6" s="151" t="str">
        <f>'2. Consolidated'!AB6</f>
        <v>2012R</v>
      </c>
      <c r="O6" s="151" t="str">
        <f>'2. Consolidated'!AC6</f>
        <v>1Q</v>
      </c>
      <c r="P6" s="151" t="str">
        <f>'2. Consolidated'!AD6</f>
        <v>2Q</v>
      </c>
      <c r="Q6" s="151" t="str">
        <f>'2. Consolidated'!AE6</f>
        <v>3Q</v>
      </c>
      <c r="R6" s="151" t="str">
        <f>'2. Consolidated'!AF6</f>
        <v>4Q</v>
      </c>
      <c r="S6" s="152">
        <f>'2. Consolidated'!AG6</f>
        <v>2013</v>
      </c>
      <c r="T6" s="151" t="str">
        <f>'2. Consolidated'!AH6</f>
        <v>1Q</v>
      </c>
      <c r="U6" s="151" t="str">
        <f>'2. Consolidated'!AI6</f>
        <v>2Q</v>
      </c>
      <c r="V6" s="151" t="str">
        <f>'2. Consolidated'!AJ6</f>
        <v>3Q</v>
      </c>
      <c r="W6" s="151" t="str">
        <f>'2. Consolidated'!AK6</f>
        <v>4Q</v>
      </c>
      <c r="X6" s="152">
        <f>'2. Consolidated'!AL6</f>
        <v>2014</v>
      </c>
      <c r="Y6" s="151" t="str">
        <f>'2. Consolidated'!AM6</f>
        <v>1Q</v>
      </c>
      <c r="Z6" s="151" t="str">
        <f>'2. Consolidated'!AN6</f>
        <v>2Q</v>
      </c>
      <c r="AA6" s="151" t="str">
        <f>'2. Consolidated'!AO6</f>
        <v>3Q</v>
      </c>
      <c r="AB6" s="151" t="str">
        <f>'2. Consolidated'!AP6</f>
        <v>4Q</v>
      </c>
      <c r="AC6" s="152">
        <f>'2. Consolidated'!AQ6</f>
        <v>2015</v>
      </c>
      <c r="AD6" s="151" t="str">
        <f>'2. Consolidated'!AR6</f>
        <v>1Q</v>
      </c>
      <c r="AE6" s="151" t="str">
        <f>'2. Consolidated'!AS6</f>
        <v>2Q</v>
      </c>
      <c r="AF6" s="151" t="str">
        <f>'2. Consolidated'!AT6</f>
        <v>3Q</v>
      </c>
      <c r="AG6" s="151" t="str">
        <f>'2. Consolidated'!AU6</f>
        <v>4Q</v>
      </c>
      <c r="AH6" s="152">
        <f>'2. Consolidated'!AV6</f>
        <v>2016</v>
      </c>
      <c r="AI6" s="151" t="str">
        <f>'2. Consolidated'!AW6</f>
        <v>1Q</v>
      </c>
      <c r="AJ6" s="151" t="str">
        <f>'2. Consolidated'!AX6</f>
        <v>2Q</v>
      </c>
      <c r="AK6" s="151" t="str">
        <f>'2. Consolidated'!AY6</f>
        <v>3Q</v>
      </c>
      <c r="AL6" s="151" t="str">
        <f>'2. Consolidated'!AZ6</f>
        <v>4Q</v>
      </c>
      <c r="AM6" s="152">
        <f>'2. Consolidated'!BA6</f>
        <v>2017</v>
      </c>
      <c r="AN6" s="151" t="str">
        <f>'2. Consolidated'!BB6</f>
        <v>1Q</v>
      </c>
      <c r="AO6" s="151" t="str">
        <f>'2. Consolidated'!BC6</f>
        <v>2Q</v>
      </c>
      <c r="AP6" s="151" t="str">
        <f>'2. Consolidated'!BD6</f>
        <v>3Q</v>
      </c>
      <c r="AQ6" s="151" t="str">
        <f>'2. Consolidated'!BE6</f>
        <v>4Q</v>
      </c>
      <c r="AR6" s="152">
        <f>'2. Consolidated'!BF6</f>
        <v>2018</v>
      </c>
      <c r="AS6" s="151" t="str">
        <f>'2. Consolidated'!BG6</f>
        <v>1Q</v>
      </c>
      <c r="AT6" s="151" t="str">
        <f>'2. Consolidated'!BH6</f>
        <v>2Q</v>
      </c>
      <c r="AU6" s="151" t="str">
        <f>'2. Consolidated'!BI6</f>
        <v>3Q</v>
      </c>
      <c r="AV6" s="151" t="str">
        <f>'2. Consolidated'!BJ6</f>
        <v>4Q</v>
      </c>
      <c r="AW6" s="152">
        <f>'2. Consolidated'!BK6</f>
        <v>2019</v>
      </c>
      <c r="AX6" s="151" t="str">
        <f>'2. Consolidated'!BL6</f>
        <v>1Q</v>
      </c>
      <c r="AY6" s="151" t="str">
        <f>'2. Consolidated'!BM6</f>
        <v>2Q</v>
      </c>
      <c r="AZ6" s="151" t="str">
        <f>'2. Consolidated'!BN6</f>
        <v>3Q</v>
      </c>
      <c r="BA6" s="151" t="str">
        <f>'2. Consolidated'!BO6</f>
        <v>4Q</v>
      </c>
      <c r="BB6" s="152">
        <f>'2. Consolidated'!BP6</f>
        <v>2020</v>
      </c>
      <c r="BC6" s="151" t="str">
        <f>'2. Consolidated'!BQ6</f>
        <v>1Q</v>
      </c>
      <c r="BD6" s="151" t="str">
        <f>'2. Consolidated'!BR6</f>
        <v>2Q</v>
      </c>
      <c r="BE6" s="151" t="str">
        <f>'2. Consolidated'!BS6</f>
        <v>3Q</v>
      </c>
      <c r="BF6" s="151" t="str">
        <f>'2. Consolidated'!BT6</f>
        <v>4Q</v>
      </c>
      <c r="BG6" s="152">
        <f>'2. Consolidated'!BU6</f>
        <v>2021</v>
      </c>
      <c r="BH6" s="151" t="str">
        <f>'2. Consolidated'!BV6</f>
        <v>1Q</v>
      </c>
      <c r="BI6" s="151" t="str">
        <f>'2. Consolidated'!BW6</f>
        <v>2Q</v>
      </c>
      <c r="BJ6" s="151" t="str">
        <f>'2. Consolidated'!BX6</f>
        <v>3Q</v>
      </c>
      <c r="BK6" s="151" t="str">
        <f>'2. Consolidated'!BY6</f>
        <v>4Q</v>
      </c>
      <c r="BL6" s="152">
        <f>'2. Consolidated'!BZ6</f>
        <v>2022</v>
      </c>
      <c r="BM6" s="151" t="str">
        <f>'2. Consolidated'!CA6</f>
        <v>1Q</v>
      </c>
      <c r="BN6" s="151" t="str">
        <f>'2. Consolidated'!CB6</f>
        <v>2Q</v>
      </c>
      <c r="BO6" s="151" t="str">
        <f>'2. Consolidated'!CC6</f>
        <v>3Q</v>
      </c>
      <c r="BP6" s="151" t="str">
        <f>'2. Consolidated'!CD6</f>
        <v>4Q</v>
      </c>
      <c r="BQ6" s="152">
        <f>'2. Consolidated'!CE6</f>
        <v>2023</v>
      </c>
      <c r="BR6" s="151" t="str">
        <f>'2. Consolidated'!CF6</f>
        <v>1Q</v>
      </c>
      <c r="BS6" s="151" t="str">
        <f>'2. Consolidated'!CG6</f>
        <v>2Q</v>
      </c>
      <c r="BT6" s="151" t="str">
        <f>'2. Consolidated'!CH6</f>
        <v>3Q</v>
      </c>
      <c r="BU6" s="151" t="str">
        <f>'2. Consolidated'!CI6</f>
        <v>4Q</v>
      </c>
      <c r="BV6" s="152">
        <f>'2. Consolidated'!CJ6</f>
        <v>2024</v>
      </c>
      <c r="BW6" s="151" t="str">
        <f>'2. Consolidated'!CK6</f>
        <v>1Q</v>
      </c>
      <c r="BX6" s="151" t="str">
        <f>'2. Consolidated'!CL6</f>
        <v>2Q</v>
      </c>
      <c r="BY6" s="151" t="str">
        <f>'2. Consolidated'!CM6</f>
        <v>3Q</v>
      </c>
      <c r="BZ6" s="151" t="str">
        <f>'2. Consolidated'!CN6</f>
        <v>4Q</v>
      </c>
      <c r="CA6" s="152">
        <f>'2. Consolidated'!CO6</f>
        <v>2025</v>
      </c>
      <c r="CB6" s="151" t="str">
        <f>'2. Consolidated'!CP6</f>
        <v>1Q</v>
      </c>
      <c r="CC6" s="151" t="str">
        <f>'2. Consolidated'!CQ6</f>
        <v>2Q</v>
      </c>
      <c r="CD6" s="151" t="str">
        <f>'2. Consolidated'!CR6</f>
        <v>3Q</v>
      </c>
      <c r="CE6" s="151" t="str">
        <f>'2. Consolidated'!CS6</f>
        <v>4Q</v>
      </c>
      <c r="CF6" s="152">
        <f>'2. Consolidated'!CT6</f>
        <v>2026</v>
      </c>
      <c r="CG6" s="151" t="str">
        <f>'2. Consolidated'!CU6</f>
        <v>1Q</v>
      </c>
      <c r="CH6" s="151" t="str">
        <f>'2. Consolidated'!CV6</f>
        <v>2QE</v>
      </c>
      <c r="CI6" s="151" t="str">
        <f>'2. Consolidated'!CW6</f>
        <v>3QE</v>
      </c>
      <c r="CJ6" s="151" t="str">
        <f>'2. Consolidated'!CX6</f>
        <v>4QE</v>
      </c>
      <c r="CK6" s="152" t="str">
        <f>'2. Consolidated'!CY6</f>
        <v>2027E</v>
      </c>
      <c r="CL6" s="151" t="str">
        <f>'2. Consolidated'!CZ6</f>
        <v>1QE</v>
      </c>
      <c r="CM6" s="151" t="str">
        <f>'2. Consolidated'!DA6</f>
        <v>2QE</v>
      </c>
      <c r="CN6" s="151" t="str">
        <f>'2. Consolidated'!DB6</f>
        <v>3QE</v>
      </c>
      <c r="CO6" s="151" t="str">
        <f>'2. Consolidated'!DC6</f>
        <v>4QE</v>
      </c>
      <c r="CP6" s="152" t="str">
        <f>'2. Consolidated'!DD6</f>
        <v>2028E</v>
      </c>
      <c r="CQ6" s="151" t="str">
        <f>'2. Consolidated'!DE6</f>
        <v>1QE</v>
      </c>
      <c r="CR6" s="151" t="str">
        <f>'2. Consolidated'!DF6</f>
        <v>2QE</v>
      </c>
      <c r="CS6" s="151" t="str">
        <f>'2. Consolidated'!DG6</f>
        <v>3QE</v>
      </c>
      <c r="CT6" s="151" t="str">
        <f>'2. Consolidated'!DH6</f>
        <v>4QE</v>
      </c>
      <c r="CU6" s="152" t="str">
        <f>'2. Consolidated'!DI6</f>
        <v>2029E</v>
      </c>
    </row>
    <row r="7" spans="2:99" ht="15" customHeight="1">
      <c r="B7" s="165" t="s">
        <v>87</v>
      </c>
      <c r="C7" s="165"/>
      <c r="D7" s="123">
        <f>'2. Consolidated'!R9</f>
        <v>1903</v>
      </c>
      <c r="E7" s="124">
        <f>'2. Consolidated'!S9</f>
        <v>1701</v>
      </c>
      <c r="F7" s="124">
        <f>'2. Consolidated'!T9</f>
        <v>1836</v>
      </c>
      <c r="G7" s="124">
        <f>'2. Consolidated'!U9</f>
        <v>2139</v>
      </c>
      <c r="H7" s="125">
        <f>'2. Consolidated'!V9</f>
        <v>7579</v>
      </c>
      <c r="I7" s="124">
        <f>'2. Consolidated'!W9</f>
        <v>2200</v>
      </c>
      <c r="J7" s="124">
        <f>'2. Consolidated'!X9</f>
        <v>2066</v>
      </c>
      <c r="K7" s="124">
        <f>'2. Consolidated'!Y9</f>
        <v>2149</v>
      </c>
      <c r="L7" s="124">
        <f>'2. Consolidated'!Z9</f>
        <v>2424</v>
      </c>
      <c r="M7" s="125">
        <f>'2. Consolidated'!AA9</f>
        <v>8839</v>
      </c>
      <c r="N7" s="125">
        <f>'2. Consolidated'!AB9</f>
        <v>8839</v>
      </c>
      <c r="O7" s="124">
        <f>'2. Consolidated'!AC9</f>
        <v>2866</v>
      </c>
      <c r="P7" s="124">
        <f>'2. Consolidated'!AD9</f>
        <v>2564</v>
      </c>
      <c r="Q7" s="124">
        <f>'2. Consolidated'!AE9</f>
        <v>2737</v>
      </c>
      <c r="R7" s="124">
        <f>'2. Consolidated'!AF9</f>
        <v>2991</v>
      </c>
      <c r="S7" s="125">
        <f>'2. Consolidated'!AG9</f>
        <v>11158</v>
      </c>
      <c r="T7" s="124">
        <f>'2. Consolidated'!AH9</f>
        <v>3135</v>
      </c>
      <c r="U7" s="124">
        <f>'2. Consolidated'!AI9</f>
        <v>2801</v>
      </c>
      <c r="V7" s="124">
        <f>'2. Consolidated'!AJ9</f>
        <v>3069</v>
      </c>
      <c r="W7" s="124">
        <f>'2. Consolidated'!AK9</f>
        <v>3294</v>
      </c>
      <c r="X7" s="125">
        <f>'2. Consolidated'!AL9</f>
        <v>12299</v>
      </c>
      <c r="Y7" s="124">
        <f>'2. Consolidated'!AM9</f>
        <v>3513</v>
      </c>
      <c r="Z7" s="124">
        <f>'2. Consolidated'!AN9</f>
        <v>3241</v>
      </c>
      <c r="AA7" s="124">
        <f>'2. Consolidated'!AO9</f>
        <v>3254</v>
      </c>
      <c r="AB7" s="124">
        <f>'2. Consolidated'!AP9</f>
        <v>3732</v>
      </c>
      <c r="AC7" s="125">
        <f>'2. Consolidated'!AQ9</f>
        <v>13740</v>
      </c>
      <c r="AD7" s="124">
        <f>'2. Consolidated'!AR9</f>
        <v>3799</v>
      </c>
      <c r="AE7" s="124">
        <f>'2. Consolidated'!AS9</f>
        <v>3547</v>
      </c>
      <c r="AF7" s="124">
        <f>'2. Consolidated'!AT9</f>
        <v>3683</v>
      </c>
      <c r="AG7" s="124">
        <f>'2. Consolidated'!AU9</f>
        <v>3735</v>
      </c>
      <c r="AH7" s="125">
        <f>'2. Consolidated'!AV9</f>
        <v>14764</v>
      </c>
      <c r="AI7" s="124">
        <f>'2. Consolidated'!AW9</f>
        <v>4031</v>
      </c>
      <c r="AJ7" s="124">
        <f>'2. Consolidated'!AX9</f>
        <v>3650</v>
      </c>
      <c r="AK7" s="124">
        <f>'2. Consolidated'!AY9</f>
        <v>3782</v>
      </c>
      <c r="AL7" s="124">
        <f>'2. Consolidated'!AZ9</f>
        <v>3753</v>
      </c>
      <c r="AM7" s="125">
        <f>'2. Consolidated'!BA9</f>
        <v>15216</v>
      </c>
      <c r="AN7" s="124">
        <f>'2. Consolidated'!BB9</f>
        <v>3924</v>
      </c>
      <c r="AO7" s="124">
        <f>'2. Consolidated'!BC9</f>
        <v>3485</v>
      </c>
      <c r="AP7" s="124">
        <f>'2. Consolidated'!BD9</f>
        <v>3571</v>
      </c>
      <c r="AQ7" s="124">
        <f>'2. Consolidated'!BE9</f>
        <v>3875</v>
      </c>
      <c r="AR7" s="125">
        <f>'2. Consolidated'!BF9</f>
        <v>14855</v>
      </c>
      <c r="AS7" s="124">
        <f>'2. Consolidated'!BG9</f>
        <v>4145</v>
      </c>
      <c r="AT7" s="124">
        <f>'2. Consolidated'!BH9</f>
        <v>3782</v>
      </c>
      <c r="AU7" s="124">
        <f>'2. Consolidated'!BI9</f>
        <v>3810</v>
      </c>
      <c r="AV7" s="124">
        <f>'2. Consolidated'!BJ9</f>
        <v>4165</v>
      </c>
      <c r="AW7" s="125">
        <f>'2. Consolidated'!BK9</f>
        <v>15902</v>
      </c>
      <c r="AX7" s="124">
        <f>'2. Consolidated'!BL9</f>
        <v>4293</v>
      </c>
      <c r="AY7" s="124">
        <f>'2. Consolidated'!BM9</f>
        <v>3982</v>
      </c>
      <c r="AZ7" s="124">
        <f>'2. Consolidated'!BN9</f>
        <v>3979</v>
      </c>
      <c r="BA7" s="124">
        <f>'2. Consolidated'!BO9</f>
        <v>2230</v>
      </c>
      <c r="BB7" s="125">
        <f>'2. Consolidated'!BP9</f>
        <v>14484</v>
      </c>
      <c r="BC7" s="124">
        <f>'2. Consolidated'!BQ9</f>
        <v>4225</v>
      </c>
      <c r="BD7" s="124">
        <f>'2. Consolidated'!BR9</f>
        <v>4006</v>
      </c>
      <c r="BE7" s="124">
        <f>'2. Consolidated'!BS9</f>
        <v>3564</v>
      </c>
      <c r="BF7" s="124">
        <f>'2. Consolidated'!BT9</f>
        <v>5384</v>
      </c>
      <c r="BG7" s="125">
        <f>'2. Consolidated'!BU9</f>
        <v>17179</v>
      </c>
      <c r="BH7" s="124">
        <f>'2. Consolidated'!BV9</f>
        <v>4879</v>
      </c>
      <c r="BI7" s="124">
        <f>'2. Consolidated'!BW9</f>
        <v>4477</v>
      </c>
      <c r="BJ7" s="124">
        <f>'2. Consolidated'!BX9</f>
        <v>3882</v>
      </c>
      <c r="BK7" s="124">
        <f>'2. Consolidated'!BY9</f>
        <v>5115</v>
      </c>
      <c r="BL7" s="125">
        <f>'2. Consolidated'!BZ9</f>
        <v>18353</v>
      </c>
      <c r="BM7" s="124">
        <f>'2. Consolidated'!CA9</f>
        <v>5510</v>
      </c>
      <c r="BN7" s="124">
        <f>'2. Consolidated'!CB9</f>
        <v>5830</v>
      </c>
      <c r="BO7" s="124">
        <f>'2. Consolidated'!CC9</f>
        <v>4913</v>
      </c>
      <c r="BP7" s="124">
        <f>'2. Consolidated'!CD9</f>
        <v>5355</v>
      </c>
      <c r="BQ7" s="125">
        <f>'2. Consolidated'!CE9</f>
        <v>21608</v>
      </c>
      <c r="BR7" s="124">
        <f>'2. Consolidated'!CF9</f>
        <v>5423</v>
      </c>
      <c r="BS7" s="124">
        <f>'2. Consolidated'!CG9</f>
        <v>5625</v>
      </c>
      <c r="BT7" s="124">
        <f>'2. Consolidated'!CH9</f>
        <v>5070</v>
      </c>
      <c r="BU7" s="124">
        <f>'2. Consolidated'!CI9</f>
        <v>5278</v>
      </c>
      <c r="BV7" s="125">
        <f>'2. Consolidated'!CJ9</f>
        <v>21396</v>
      </c>
      <c r="BW7" s="124">
        <f>'2. Consolidated'!CK9</f>
        <v>4826</v>
      </c>
      <c r="BX7" s="124">
        <f>'2. Consolidated'!CL9</f>
        <v>5179</v>
      </c>
      <c r="BY7" s="124">
        <f>'2. Consolidated'!CM9</f>
        <v>4864</v>
      </c>
      <c r="BZ7" s="124">
        <f>'2. Consolidated'!CN9</f>
        <v>4703</v>
      </c>
      <c r="CA7" s="125">
        <f>'2. Consolidated'!CO9</f>
        <v>19572</v>
      </c>
      <c r="CB7" s="124">
        <f>'2. Consolidated'!CP9</f>
        <v>5020</v>
      </c>
      <c r="CC7" s="124">
        <f>'2. Consolidated'!CQ9</f>
        <v>5633</v>
      </c>
      <c r="CD7" s="124">
        <f>'2. Consolidated'!CR9</f>
        <v>5026</v>
      </c>
      <c r="CE7" s="124">
        <f>'2. Consolidated'!CS9</f>
        <v>4832</v>
      </c>
      <c r="CF7" s="125">
        <f>'2. Consolidated'!CT9</f>
        <v>20511</v>
      </c>
      <c r="CG7" s="124">
        <f>'2. Consolidated'!CU9</f>
        <v>5127</v>
      </c>
      <c r="CH7" s="124">
        <f>'2. Consolidated'!CV9</f>
        <v>5050.9340099999999</v>
      </c>
      <c r="CI7" s="124">
        <f>'2. Consolidated'!CW9</f>
        <v>4799.0825999999988</v>
      </c>
      <c r="CJ7" s="124">
        <f>'2. Consolidated'!CX9</f>
        <v>4509.502919999999</v>
      </c>
      <c r="CK7" s="125">
        <f>'2. Consolidated'!CY9</f>
        <v>19486.519529999998</v>
      </c>
      <c r="CL7" s="124">
        <f>'2. Consolidated'!CZ9</f>
        <v>4775.4098099999992</v>
      </c>
      <c r="CM7" s="124">
        <f>'2. Consolidated'!DA9</f>
        <v>4837.1291288999982</v>
      </c>
      <c r="CN7" s="124">
        <f>'2. Consolidated'!DB9</f>
        <v>4671.5671419999981</v>
      </c>
      <c r="CO7" s="124">
        <f>'2. Consolidated'!DC9</f>
        <v>4389.3339395999983</v>
      </c>
      <c r="CP7" s="125">
        <f>'2. Consolidated'!DD9</f>
        <v>18673.440020499995</v>
      </c>
      <c r="CQ7" s="124">
        <f>'2. Consolidated'!DE9</f>
        <v>4775.4098099999992</v>
      </c>
      <c r="CR7" s="124">
        <f>'2. Consolidated'!DF9</f>
        <v>4837.1291288999982</v>
      </c>
      <c r="CS7" s="124">
        <f>'2. Consolidated'!DG9</f>
        <v>4671.5671419999981</v>
      </c>
      <c r="CT7" s="124">
        <f>'2. Consolidated'!DH9</f>
        <v>4389.3339395999983</v>
      </c>
      <c r="CU7" s="125">
        <f>'2. Consolidated'!DI9</f>
        <v>18673.440020499995</v>
      </c>
    </row>
    <row r="8" spans="2:99" s="22" customFormat="1" ht="15" customHeight="1">
      <c r="B8" s="164" t="s">
        <v>305</v>
      </c>
      <c r="C8" s="164"/>
      <c r="D8" s="161">
        <f>'3. Segment Analysis'!R184</f>
        <v>0.08</v>
      </c>
      <c r="E8" s="162">
        <f>'3. Segment Analysis'!S184</f>
        <v>0.13</v>
      </c>
      <c r="F8" s="162">
        <f>'3. Segment Analysis'!T184</f>
        <v>0.09</v>
      </c>
      <c r="G8" s="162">
        <f>'3. Segment Analysis'!U184</f>
        <v>0.21</v>
      </c>
      <c r="H8" s="163" t="str">
        <f>'3. Segment Analysis'!V184</f>
        <v>--</v>
      </c>
      <c r="I8" s="162">
        <f>'3. Segment Analysis'!W184</f>
        <v>0.15</v>
      </c>
      <c r="J8" s="162">
        <f>'3. Segment Analysis'!X184</f>
        <v>0.21</v>
      </c>
      <c r="K8" s="162">
        <f>'3. Segment Analysis'!Y184</f>
        <v>0.17</v>
      </c>
      <c r="L8" s="162">
        <f>'3. Segment Analysis'!Z184</f>
        <v>0.13</v>
      </c>
      <c r="M8" s="163">
        <f>'3. Segment Analysis'!AA184</f>
        <v>0.16266657870431453</v>
      </c>
      <c r="N8" s="163">
        <f>'3. Segment Analysis'!AB184</f>
        <v>0</v>
      </c>
      <c r="O8" s="162">
        <f>'3. Segment Analysis'!AC184</f>
        <v>0.23</v>
      </c>
      <c r="P8" s="162">
        <f>'3. Segment Analysis'!AD184</f>
        <v>0.17</v>
      </c>
      <c r="Q8" s="162">
        <f>'3. Segment Analysis'!AE184</f>
        <v>0.18</v>
      </c>
      <c r="R8" s="162">
        <f>'3. Segment Analysis'!AF184</f>
        <v>0.14000000000000001</v>
      </c>
      <c r="S8" s="163">
        <f>'3. Segment Analysis'!AG184</f>
        <v>0.17</v>
      </c>
      <c r="T8" s="162">
        <f>'3. Segment Analysis'!AH184</f>
        <v>0.09</v>
      </c>
      <c r="U8" s="162">
        <f>'3. Segment Analysis'!AI184</f>
        <v>0.09</v>
      </c>
      <c r="V8" s="162">
        <f>'3. Segment Analysis'!AJ184</f>
        <v>0.12</v>
      </c>
      <c r="W8" s="162">
        <f>'3. Segment Analysis'!AK184</f>
        <v>0.1</v>
      </c>
      <c r="X8" s="163">
        <f>'3. Segment Analysis'!AL184</f>
        <v>0.1</v>
      </c>
      <c r="Y8" s="162">
        <f>'3. Segment Analysis'!AM184</f>
        <v>0.12</v>
      </c>
      <c r="Z8" s="162">
        <f>'3. Segment Analysis'!AN184</f>
        <v>0.16</v>
      </c>
      <c r="AA8" s="162">
        <f>'3. Segment Analysis'!AO184</f>
        <v>0.06</v>
      </c>
      <c r="AB8" s="162">
        <f>'3. Segment Analysis'!AP184</f>
        <v>0.14000000000000001</v>
      </c>
      <c r="AC8" s="163">
        <f>'3. Segment Analysis'!AQ184</f>
        <v>0.12</v>
      </c>
      <c r="AD8" s="162">
        <f>'3. Segment Analysis'!AR184</f>
        <v>0.09</v>
      </c>
      <c r="AE8" s="162">
        <f>'3. Segment Analysis'!AS184</f>
        <v>0.1</v>
      </c>
      <c r="AF8" s="162">
        <f>'3. Segment Analysis'!AT184</f>
        <v>0.14000000000000001</v>
      </c>
      <c r="AG8" s="162">
        <f>'3. Segment Analysis'!AU184</f>
        <v>0</v>
      </c>
      <c r="AH8" s="163">
        <f>'3. Segment Analysis'!AV184</f>
        <v>0.08</v>
      </c>
      <c r="AI8" s="162">
        <f>'3. Segment Analysis'!AW184</f>
        <v>0.06</v>
      </c>
      <c r="AJ8" s="162">
        <f>'3. Segment Analysis'!AX184</f>
        <v>0.03</v>
      </c>
      <c r="AK8" s="162">
        <f>'3. Segment Analysis'!AY184</f>
        <v>0.03</v>
      </c>
      <c r="AL8" s="162">
        <f>'3. Segment Analysis'!AZ184</f>
        <v>0.01</v>
      </c>
      <c r="AM8" s="163">
        <f>'3. Segment Analysis'!BA184</f>
        <v>0.03</v>
      </c>
      <c r="AN8" s="162">
        <f>'3. Segment Analysis'!BB184</f>
        <v>-0.03</v>
      </c>
      <c r="AO8" s="162">
        <f>'3. Segment Analysis'!BC184</f>
        <v>-0.05</v>
      </c>
      <c r="AP8" s="162">
        <f>'3. Segment Analysis'!BD184</f>
        <v>-0.06</v>
      </c>
      <c r="AQ8" s="162">
        <f>'3. Segment Analysis'!BE184</f>
        <v>0.03</v>
      </c>
      <c r="AR8" s="163">
        <f>'3. Segment Analysis'!BF184</f>
        <v>-2.7455310199789699E-2</v>
      </c>
      <c r="AS8" s="162">
        <f>'3. Segment Analysis'!BG184</f>
        <v>0.06</v>
      </c>
      <c r="AT8" s="162">
        <f>'3. Segment Analysis'!BH184</f>
        <v>0.09</v>
      </c>
      <c r="AU8" s="162">
        <f>'3. Segment Analysis'!BI184</f>
        <v>7.0000000000000007E-2</v>
      </c>
      <c r="AV8" s="162">
        <f>'3. Segment Analysis'!BJ184</f>
        <v>0.08</v>
      </c>
      <c r="AW8" s="163">
        <f>'3. Segment Analysis'!BK184</f>
        <v>7.4659037361157851E-2</v>
      </c>
      <c r="AX8" s="162">
        <f>'3. Segment Analysis'!BL184</f>
        <v>0.04</v>
      </c>
      <c r="AY8" s="162">
        <f>'3. Segment Analysis'!BM184</f>
        <v>0.05</v>
      </c>
      <c r="AZ8" s="162">
        <f>'3. Segment Analysis'!BN184</f>
        <v>0.04</v>
      </c>
      <c r="BA8" s="162">
        <f>'3. Segment Analysis'!BO184</f>
        <v>-0.46</v>
      </c>
      <c r="BB8" s="163">
        <f>'3. Segment Analysis'!BP184</f>
        <v>-8.8580052823544198E-2</v>
      </c>
      <c r="BC8" s="162">
        <f>'3. Segment Analysis'!BQ184</f>
        <v>-0.01</v>
      </c>
      <c r="BD8" s="162">
        <f>'3. Segment Analysis'!BR184</f>
        <v>0.01</v>
      </c>
      <c r="BE8" s="162">
        <f>'3. Segment Analysis'!BS184</f>
        <v>-0.11</v>
      </c>
      <c r="BF8" s="162">
        <f>'3. Segment Analysis'!BT184</f>
        <v>1.41</v>
      </c>
      <c r="BG8" s="163">
        <f>'3. Segment Analysis'!BU184</f>
        <v>0.18665423916045287</v>
      </c>
      <c r="BH8" s="162">
        <f>'3. Segment Analysis'!BV184</f>
        <v>0.15</v>
      </c>
      <c r="BI8" s="162">
        <f>'3. Segment Analysis'!BW184</f>
        <v>0.12</v>
      </c>
      <c r="BJ8" s="162">
        <f>'3. Segment Analysis'!BX184</f>
        <v>0.09</v>
      </c>
      <c r="BK8" s="162">
        <f>'3. Segment Analysis'!BY184</f>
        <v>-0.05</v>
      </c>
      <c r="BL8" s="163">
        <f>'3. Segment Analysis'!BZ184</f>
        <v>6.7875312882007099E-2</v>
      </c>
      <c r="BM8" s="162">
        <f>'3. Segment Analysis'!CA184</f>
        <v>0.13</v>
      </c>
      <c r="BN8" s="162">
        <f>'3. Segment Analysis'!CB184</f>
        <v>0.31</v>
      </c>
      <c r="BO8" s="162">
        <f>'3. Segment Analysis'!CC184</f>
        <v>0.27</v>
      </c>
      <c r="BP8" s="162">
        <f>'3. Segment Analysis'!CD184</f>
        <v>0.05</v>
      </c>
      <c r="BQ8" s="163">
        <f>'3. Segment Analysis'!CE184</f>
        <v>0.18122541273906173</v>
      </c>
      <c r="BR8" s="162">
        <f>'3. Segment Analysis'!CF184</f>
        <v>-0.01</v>
      </c>
      <c r="BS8" s="162">
        <f>'3. Segment Analysis'!CG184</f>
        <v>-0.03</v>
      </c>
      <c r="BT8" s="162">
        <f>'3. Segment Analysis'!CH184</f>
        <v>0.03</v>
      </c>
      <c r="BU8" s="162">
        <f>'3. Segment Analysis'!CI184</f>
        <v>-0.01</v>
      </c>
      <c r="BV8" s="163">
        <f>'3. Segment Analysis'!CJ184</f>
        <v>-6.3013698630136998E-3</v>
      </c>
      <c r="BW8" s="162">
        <f>'3. Segment Analysis'!CK184</f>
        <v>-0.11</v>
      </c>
      <c r="BX8" s="162">
        <f>'3. Segment Analysis'!CL184</f>
        <v>-0.08</v>
      </c>
      <c r="BY8" s="162">
        <f>'3. Segment Analysis'!CM184</f>
        <v>-0.04</v>
      </c>
      <c r="BZ8" s="162">
        <f>'3. Segment Analysis'!CN184</f>
        <v>-0.11</v>
      </c>
      <c r="CA8" s="163">
        <f>'3. Segment Analysis'!CO184</f>
        <v>-8.5525799214806505E-2</v>
      </c>
      <c r="CB8" s="162">
        <f>'3. Segment Analysis'!CP184</f>
        <v>0.04</v>
      </c>
      <c r="CC8" s="162">
        <f>'3. Segment Analysis'!CQ184</f>
        <v>0.09</v>
      </c>
      <c r="CD8" s="162">
        <f>'3. Segment Analysis'!CR184</f>
        <v>0.03</v>
      </c>
      <c r="CE8" s="162">
        <f>'3. Segment Analysis'!CS184</f>
        <v>0.03</v>
      </c>
      <c r="CF8" s="163">
        <f>'3. Segment Analysis'!CT184</f>
        <v>4.8342530145105249E-2</v>
      </c>
      <c r="CG8" s="162">
        <f>'3. Segment Analysis'!CU184</f>
        <v>0.02</v>
      </c>
      <c r="CH8" s="162">
        <f>'3. Segment Analysis'!CV184</f>
        <v>-0.10243387182673536</v>
      </c>
      <c r="CI8" s="162">
        <f>'3. Segment Analysis'!CW184</f>
        <v>-4.3235177079188447E-2</v>
      </c>
      <c r="CJ8" s="162">
        <f>'3. Segment Analysis'!CX184</f>
        <v>-6.4871688741722E-2</v>
      </c>
      <c r="CK8" s="163">
        <f>'3. Segment Analysis'!CY184</f>
        <v>-4.9113646336112433E-2</v>
      </c>
      <c r="CL8" s="162">
        <f>'3. Segment Analysis'!CZ184</f>
        <v>-6.7643846303881539E-2</v>
      </c>
      <c r="CM8" s="162">
        <f>'3. Segment Analysis'!DA184</f>
        <v>-4.2329771221857992E-2</v>
      </c>
      <c r="CN8" s="162">
        <f>'3. Segment Analysis'!DB184</f>
        <v>-2.6570798760579994E-2</v>
      </c>
      <c r="CO8" s="162">
        <f>'3. Segment Analysis'!DC184</f>
        <v>-2.6647943804857466E-2</v>
      </c>
      <c r="CP8" s="163">
        <f>'3. Segment Analysis'!DD184</f>
        <v>-4.1479922479517518E-2</v>
      </c>
      <c r="CQ8" s="162">
        <f>'3. Segment Analysis'!DE184</f>
        <v>0</v>
      </c>
      <c r="CR8" s="162">
        <f>'3. Segment Analysis'!DF184</f>
        <v>0</v>
      </c>
      <c r="CS8" s="162">
        <f>'3. Segment Analysis'!DG184</f>
        <v>0</v>
      </c>
      <c r="CT8" s="162">
        <f>'3. Segment Analysis'!DH184</f>
        <v>0</v>
      </c>
      <c r="CU8" s="163">
        <f>'3. Segment Analysis'!DI184</f>
        <v>0</v>
      </c>
    </row>
    <row r="9" spans="2:99" ht="15" customHeight="1">
      <c r="B9" s="165" t="s">
        <v>156</v>
      </c>
      <c r="C9" s="165"/>
      <c r="D9" s="123">
        <f>'2. Consolidated'!R10</f>
        <v>1335</v>
      </c>
      <c r="E9" s="124">
        <f>'2. Consolidated'!S10</f>
        <v>1077</v>
      </c>
      <c r="F9" s="124">
        <f>'2. Consolidated'!T10</f>
        <v>1175</v>
      </c>
      <c r="G9" s="124">
        <f>'2. Consolidated'!U10</f>
        <v>1311</v>
      </c>
      <c r="H9" s="125">
        <f>'2. Consolidated'!V10</f>
        <v>4898</v>
      </c>
      <c r="I9" s="124">
        <f>'2. Consolidated'!W10</f>
        <v>1562</v>
      </c>
      <c r="J9" s="124">
        <f>'2. Consolidated'!X10</f>
        <v>1176</v>
      </c>
      <c r="K9" s="124">
        <f>'2. Consolidated'!Y10</f>
        <v>1237</v>
      </c>
      <c r="L9" s="124">
        <f>'2. Consolidated'!Z10</f>
        <v>1369</v>
      </c>
      <c r="M9" s="125">
        <f>'2. Consolidated'!AA10</f>
        <v>5344</v>
      </c>
      <c r="N9" s="125">
        <f>'2. Consolidated'!AB10</f>
        <v>5344</v>
      </c>
      <c r="O9" s="124">
        <f>'2. Consolidated'!AC10</f>
        <v>1503</v>
      </c>
      <c r="P9" s="124">
        <f>'2. Consolidated'!AD10</f>
        <v>1160</v>
      </c>
      <c r="Q9" s="124">
        <f>'2. Consolidated'!AE10</f>
        <v>1360</v>
      </c>
      <c r="R9" s="124">
        <f>'2. Consolidated'!AF10</f>
        <v>1399</v>
      </c>
      <c r="S9" s="125">
        <f>'2. Consolidated'!AG10</f>
        <v>5422</v>
      </c>
      <c r="T9" s="124">
        <f>'2. Consolidated'!AH10</f>
        <v>1667</v>
      </c>
      <c r="U9" s="124">
        <f>'2. Consolidated'!AI10</f>
        <v>1369</v>
      </c>
      <c r="V9" s="124">
        <f>'2. Consolidated'!AJ10</f>
        <v>1648</v>
      </c>
      <c r="W9" s="124">
        <f>'2. Consolidated'!AK10</f>
        <v>1682</v>
      </c>
      <c r="X9" s="125">
        <f>'2. Consolidated'!AL10</f>
        <v>6366</v>
      </c>
      <c r="Y9" s="124">
        <f>'2. Consolidated'!AM10</f>
        <v>2106</v>
      </c>
      <c r="Z9" s="124">
        <f>'2. Consolidated'!AN10</f>
        <v>1658</v>
      </c>
      <c r="AA9" s="124">
        <f>'2. Consolidated'!AO10</f>
        <v>1735</v>
      </c>
      <c r="AB9" s="124">
        <f>'2. Consolidated'!AP10</f>
        <v>1627</v>
      </c>
      <c r="AC9" s="125">
        <f>'2. Consolidated'!AQ10</f>
        <v>7126</v>
      </c>
      <c r="AD9" s="124">
        <f>'2. Consolidated'!AR10</f>
        <v>2104</v>
      </c>
      <c r="AE9" s="124">
        <f>'2. Consolidated'!AS10</f>
        <v>1707</v>
      </c>
      <c r="AF9" s="124">
        <f>'2. Consolidated'!AT10</f>
        <v>1853</v>
      </c>
      <c r="AG9" s="124">
        <f>'2. Consolidated'!AU10</f>
        <v>1904</v>
      </c>
      <c r="AH9" s="125">
        <f>'2. Consolidated'!AV10</f>
        <v>7568</v>
      </c>
      <c r="AI9" s="124">
        <f>'2. Consolidated'!AW10</f>
        <v>2262</v>
      </c>
      <c r="AJ9" s="124">
        <f>'2. Consolidated'!AX10</f>
        <v>1792</v>
      </c>
      <c r="AK9" s="124">
        <f>'2. Consolidated'!AY10</f>
        <v>1925</v>
      </c>
      <c r="AL9" s="124">
        <f>'2. Consolidated'!AZ10</f>
        <v>1991</v>
      </c>
      <c r="AM9" s="125">
        <f>'2. Consolidated'!BA10</f>
        <v>7970</v>
      </c>
      <c r="AN9" s="124">
        <f>'2. Consolidated'!BB10</f>
        <v>2344</v>
      </c>
      <c r="AO9" s="124">
        <f>'2. Consolidated'!BC10</f>
        <v>2133</v>
      </c>
      <c r="AP9" s="124">
        <f>'2. Consolidated'!BD10</f>
        <v>2299</v>
      </c>
      <c r="AQ9" s="124">
        <f>'2. Consolidated'!BE10</f>
        <v>2466</v>
      </c>
      <c r="AR9" s="125">
        <f>'2. Consolidated'!BF10</f>
        <v>9242</v>
      </c>
      <c r="AS9" s="124">
        <f>'2. Consolidated'!BG10</f>
        <v>2607</v>
      </c>
      <c r="AT9" s="124">
        <f>'2. Consolidated'!BH10</f>
        <v>2313</v>
      </c>
      <c r="AU9" s="124">
        <f>'2. Consolidated'!BI10</f>
        <v>2435</v>
      </c>
      <c r="AV9" s="124">
        <f>'2. Consolidated'!BJ10</f>
        <v>2457</v>
      </c>
      <c r="AW9" s="125">
        <f>'2. Consolidated'!BK10</f>
        <v>9812</v>
      </c>
      <c r="AX9" s="124">
        <f>'2. Consolidated'!BL10</f>
        <v>2773</v>
      </c>
      <c r="AY9" s="124">
        <f>'2. Consolidated'!BM10</f>
        <v>2537</v>
      </c>
      <c r="AZ9" s="124">
        <f>'2. Consolidated'!BN10</f>
        <v>2709</v>
      </c>
      <c r="BA9" s="124">
        <f>'2. Consolidated'!BO10</f>
        <v>1328</v>
      </c>
      <c r="BB9" s="125">
        <f>'2. Consolidated'!BP10</f>
        <v>9347</v>
      </c>
      <c r="BC9" s="124">
        <f>'2. Consolidated'!BQ10</f>
        <v>2910</v>
      </c>
      <c r="BD9" s="124">
        <f>'2. Consolidated'!BR10</f>
        <v>2958</v>
      </c>
      <c r="BE9" s="124">
        <f>'2. Consolidated'!BS10</f>
        <v>2609</v>
      </c>
      <c r="BF9" s="124">
        <f>'2. Consolidated'!BT10</f>
        <v>2979</v>
      </c>
      <c r="BG9" s="125">
        <f>'2. Consolidated'!BU10</f>
        <v>11456</v>
      </c>
      <c r="BH9" s="124">
        <f>'2. Consolidated'!BV10</f>
        <v>3307</v>
      </c>
      <c r="BI9" s="124">
        <f>'2. Consolidated'!BW10</f>
        <v>3142</v>
      </c>
      <c r="BJ9" s="124">
        <f>'2. Consolidated'!BX10</f>
        <v>2779</v>
      </c>
      <c r="BK9" s="124">
        <f>'2. Consolidated'!BY10</f>
        <v>3251</v>
      </c>
      <c r="BL9" s="125">
        <f>'2. Consolidated'!BZ10</f>
        <v>12479</v>
      </c>
      <c r="BM9" s="124">
        <f>'2. Consolidated'!CA10</f>
        <v>3333</v>
      </c>
      <c r="BN9" s="124">
        <f>'2. Consolidated'!CB10</f>
        <v>3489</v>
      </c>
      <c r="BO9" s="124">
        <f>'2. Consolidated'!CC10</f>
        <v>3246</v>
      </c>
      <c r="BP9" s="124">
        <f>'2. Consolidated'!CD10</f>
        <v>3350</v>
      </c>
      <c r="BQ9" s="125">
        <f>'2. Consolidated'!CE10</f>
        <v>13418</v>
      </c>
      <c r="BR9" s="124">
        <f>'2. Consolidated'!CF10</f>
        <v>3610</v>
      </c>
      <c r="BS9" s="124">
        <f>'2. Consolidated'!CG10</f>
        <v>3567</v>
      </c>
      <c r="BT9" s="124">
        <f>'2. Consolidated'!CH10</f>
        <v>3138</v>
      </c>
      <c r="BU9" s="124">
        <f>'2. Consolidated'!CI10</f>
        <v>3292</v>
      </c>
      <c r="BV9" s="125">
        <f>'2. Consolidated'!CJ10</f>
        <v>13607</v>
      </c>
      <c r="BW9" s="124">
        <f>'2. Consolidated'!CK10</f>
        <v>3143</v>
      </c>
      <c r="BX9" s="124">
        <f>'2. Consolidated'!CL10</f>
        <v>3303</v>
      </c>
      <c r="BY9" s="124">
        <f>'2. Consolidated'!CM10</f>
        <v>2811</v>
      </c>
      <c r="BZ9" s="124">
        <f>'2. Consolidated'!CN10</f>
        <v>3000</v>
      </c>
      <c r="CA9" s="125">
        <f>'2. Consolidated'!CO10</f>
        <v>12257</v>
      </c>
      <c r="CB9" s="124">
        <f>'2. Consolidated'!CP10</f>
        <v>3331</v>
      </c>
      <c r="CC9" s="124">
        <f>'2. Consolidated'!CQ10</f>
        <v>3392</v>
      </c>
      <c r="CD9" s="124">
        <f>'2. Consolidated'!CR10</f>
        <v>2874</v>
      </c>
      <c r="CE9" s="124">
        <f>'2. Consolidated'!CS10</f>
        <v>2975</v>
      </c>
      <c r="CF9" s="125">
        <f>'2. Consolidated'!CT10</f>
        <v>12572</v>
      </c>
      <c r="CG9" s="124">
        <f>'2. Consolidated'!CU10</f>
        <v>3176</v>
      </c>
      <c r="CH9" s="124">
        <f>'2. Consolidated'!CV10</f>
        <v>2888.6763600000004</v>
      </c>
      <c r="CI9" s="124">
        <f>'2. Consolidated'!CW10</f>
        <v>2687.4199200000003</v>
      </c>
      <c r="CJ9" s="124">
        <f>'2. Consolidated'!CX10</f>
        <v>2732.7585599999998</v>
      </c>
      <c r="CK9" s="125">
        <f>'2. Consolidated'!CY10</f>
        <v>11484.854840000002</v>
      </c>
      <c r="CL9" s="124">
        <f>'2. Consolidated'!CZ10</f>
        <v>2958.4672</v>
      </c>
      <c r="CM9" s="124">
        <f>'2. Consolidated'!DA10</f>
        <v>2795.5104216000004</v>
      </c>
      <c r="CN9" s="124">
        <f>'2. Consolidated'!DB10</f>
        <v>2616.9429404000007</v>
      </c>
      <c r="CO9" s="124">
        <f>'2. Consolidated'!DC10</f>
        <v>2661.4652759999994</v>
      </c>
      <c r="CP9" s="125">
        <f>'2. Consolidated'!DD10</f>
        <v>11032.385838</v>
      </c>
      <c r="CQ9" s="124">
        <f>'2. Consolidated'!DE10</f>
        <v>2958.4672</v>
      </c>
      <c r="CR9" s="124">
        <f>'2. Consolidated'!DF10</f>
        <v>2795.5104216000004</v>
      </c>
      <c r="CS9" s="124">
        <f>'2. Consolidated'!DG10</f>
        <v>2643.1123698040005</v>
      </c>
      <c r="CT9" s="124">
        <f>'2. Consolidated'!DH10</f>
        <v>2688.0799287600003</v>
      </c>
      <c r="CU9" s="125">
        <f>'2. Consolidated'!DI10</f>
        <v>11085.169920164002</v>
      </c>
    </row>
    <row r="10" spans="2:99" s="23" customFormat="1" ht="15" customHeight="1">
      <c r="B10" s="160" t="s">
        <v>305</v>
      </c>
      <c r="C10" s="160"/>
      <c r="D10" s="161" t="str">
        <f>'3. Segment Analysis'!R253</f>
        <v>--</v>
      </c>
      <c r="E10" s="162" t="str">
        <f>'3. Segment Analysis'!S253</f>
        <v>--</v>
      </c>
      <c r="F10" s="162" t="str">
        <f>'3. Segment Analysis'!T253</f>
        <v>--</v>
      </c>
      <c r="G10" s="162" t="str">
        <f>'3. Segment Analysis'!U253</f>
        <v>--</v>
      </c>
      <c r="H10" s="163" t="str">
        <f>'3. Segment Analysis'!V253</f>
        <v>--</v>
      </c>
      <c r="I10" s="162" t="str">
        <f>'3. Segment Analysis'!W253</f>
        <v>--</v>
      </c>
      <c r="J10" s="162" t="str">
        <f>'3. Segment Analysis'!X253</f>
        <v>--</v>
      </c>
      <c r="K10" s="162" t="str">
        <f>'3. Segment Analysis'!Y253</f>
        <v>--</v>
      </c>
      <c r="L10" s="162" t="str">
        <f>'3. Segment Analysis'!Z253</f>
        <v>--</v>
      </c>
      <c r="M10" s="163" t="str">
        <f>'3. Segment Analysis'!AA253</f>
        <v>--</v>
      </c>
      <c r="N10" s="163">
        <f>'3. Segment Analysis'!AB253</f>
        <v>0</v>
      </c>
      <c r="O10" s="162" t="str">
        <f>'3. Segment Analysis'!AC253</f>
        <v>--</v>
      </c>
      <c r="P10" s="162" t="str">
        <f>'3. Segment Analysis'!AD253</f>
        <v>--</v>
      </c>
      <c r="Q10" s="162" t="str">
        <f>'3. Segment Analysis'!AE253</f>
        <v>--</v>
      </c>
      <c r="R10" s="162" t="str">
        <f>'3. Segment Analysis'!AF253</f>
        <v>--</v>
      </c>
      <c r="S10" s="163" t="str">
        <f>'3. Segment Analysis'!AG253</f>
        <v>--</v>
      </c>
      <c r="T10" s="162" t="str">
        <f>'3. Segment Analysis'!AH253</f>
        <v>--</v>
      </c>
      <c r="U10" s="162" t="str">
        <f>'3. Segment Analysis'!AI253</f>
        <v>--</v>
      </c>
      <c r="V10" s="162" t="str">
        <f>'3. Segment Analysis'!AJ253</f>
        <v>--</v>
      </c>
      <c r="W10" s="162" t="str">
        <f>'3. Segment Analysis'!AK253</f>
        <v>--</v>
      </c>
      <c r="X10" s="163" t="str">
        <f>'3. Segment Analysis'!AL253</f>
        <v>--</v>
      </c>
      <c r="Y10" s="162" t="str">
        <f>'3. Segment Analysis'!AM253</f>
        <v>--</v>
      </c>
      <c r="Z10" s="162" t="str">
        <f>'3. Segment Analysis'!AN253</f>
        <v>--</v>
      </c>
      <c r="AA10" s="162" t="str">
        <f>'3. Segment Analysis'!AO253</f>
        <v>--</v>
      </c>
      <c r="AB10" s="162" t="str">
        <f>'3. Segment Analysis'!AP253</f>
        <v>--</v>
      </c>
      <c r="AC10" s="163" t="str">
        <f>'3. Segment Analysis'!AQ253</f>
        <v>--</v>
      </c>
      <c r="AD10" s="162" t="str">
        <f>'3. Segment Analysis'!AR253</f>
        <v>--</v>
      </c>
      <c r="AE10" s="162" t="str">
        <f>'3. Segment Analysis'!AS253</f>
        <v>--</v>
      </c>
      <c r="AF10" s="162" t="str">
        <f>'3. Segment Analysis'!AT253</f>
        <v>--</v>
      </c>
      <c r="AG10" s="162" t="str">
        <f>'3. Segment Analysis'!AU253</f>
        <v>--</v>
      </c>
      <c r="AH10" s="163" t="str">
        <f>'3. Segment Analysis'!AV253</f>
        <v>--</v>
      </c>
      <c r="AI10" s="162">
        <f>'3. Segment Analysis'!AW253</f>
        <v>0.11</v>
      </c>
      <c r="AJ10" s="162">
        <f>'3. Segment Analysis'!AX253</f>
        <v>0.1</v>
      </c>
      <c r="AK10" s="162">
        <f>'3. Segment Analysis'!AY253</f>
        <v>0.09</v>
      </c>
      <c r="AL10" s="162">
        <f>'3. Segment Analysis'!AZ253</f>
        <v>0.11</v>
      </c>
      <c r="AM10" s="163">
        <f>'3. Segment Analysis'!BA253</f>
        <v>0.1</v>
      </c>
      <c r="AN10" s="162">
        <f>'3. Segment Analysis'!BB253</f>
        <v>0.05</v>
      </c>
      <c r="AO10" s="162">
        <f>'3. Segment Analysis'!BC253</f>
        <v>0.14000000000000001</v>
      </c>
      <c r="AP10" s="162">
        <f>'3. Segment Analysis'!BD253</f>
        <v>0.09</v>
      </c>
      <c r="AQ10" s="162">
        <f>'3. Segment Analysis'!BE253</f>
        <v>0.1</v>
      </c>
      <c r="AR10" s="163">
        <f>'3. Segment Analysis'!BF253</f>
        <v>9.2387703889585948E-2</v>
      </c>
      <c r="AS10" s="162">
        <f>'3. Segment Analysis'!BG253</f>
        <v>0.09</v>
      </c>
      <c r="AT10" s="162">
        <f>'3. Segment Analysis'!BH253</f>
        <v>0.14000000000000001</v>
      </c>
      <c r="AU10" s="162">
        <f>'3. Segment Analysis'!BI253</f>
        <v>0.12</v>
      </c>
      <c r="AV10" s="162">
        <f>'3. Segment Analysis'!BJ253</f>
        <v>0.09</v>
      </c>
      <c r="AW10" s="163">
        <f>'3. Segment Analysis'!BK253</f>
        <v>0.10900238043713482</v>
      </c>
      <c r="AX10" s="162">
        <f>'3. Segment Analysis'!BL253</f>
        <v>0.12</v>
      </c>
      <c r="AY10" s="162">
        <f>'3. Segment Analysis'!BM253</f>
        <v>0.14000000000000001</v>
      </c>
      <c r="AZ10" s="162">
        <f>'3. Segment Analysis'!BN253</f>
        <v>0.13</v>
      </c>
      <c r="BA10" s="162">
        <f>'3. Segment Analysis'!BO253</f>
        <v>-0.44</v>
      </c>
      <c r="BB10" s="163">
        <f>'3. Segment Analysis'!BP253</f>
        <v>-1.3032001630656329E-2</v>
      </c>
      <c r="BC10" s="162">
        <f>'3. Segment Analysis'!BQ253</f>
        <v>0.05</v>
      </c>
      <c r="BD10" s="162">
        <f>'3. Segment Analysis'!BR253</f>
        <v>0.12</v>
      </c>
      <c r="BE10" s="162">
        <f>'3. Segment Analysis'!BS253</f>
        <v>-0.09</v>
      </c>
      <c r="BF10" s="162">
        <f>'3. Segment Analysis'!BT253</f>
        <v>1.07</v>
      </c>
      <c r="BG10" s="163">
        <f>'3. Segment Analysis'!BU253</f>
        <v>0.17334331871188616</v>
      </c>
      <c r="BH10" s="162">
        <f>'3. Segment Analysis'!BV253</f>
        <v>0.08</v>
      </c>
      <c r="BI10" s="162">
        <f>'3. Segment Analysis'!BW253</f>
        <v>0.06</v>
      </c>
      <c r="BJ10" s="162">
        <f>'3. Segment Analysis'!BX253</f>
        <v>0.13</v>
      </c>
      <c r="BK10" s="162">
        <f>'3. Segment Analysis'!BY253</f>
        <v>0.2</v>
      </c>
      <c r="BL10" s="163">
        <f>'3. Segment Analysis'!BZ253</f>
        <v>0.11742754888268156</v>
      </c>
      <c r="BM10" s="162">
        <f>'3. Segment Analysis'!CA253</f>
        <v>0.17</v>
      </c>
      <c r="BN10" s="162">
        <f>'3. Segment Analysis'!CB253</f>
        <v>0.33</v>
      </c>
      <c r="BO10" s="162">
        <f>'3. Segment Analysis'!CC253</f>
        <v>0.26</v>
      </c>
      <c r="BP10" s="162">
        <f>'3. Segment Analysis'!CD253</f>
        <v>7.0000000000000007E-2</v>
      </c>
      <c r="BQ10" s="163">
        <f>'3. Segment Analysis'!CE253</f>
        <v>0.2042759836525363</v>
      </c>
      <c r="BR10" s="162">
        <f>'3. Segment Analysis'!CF253</f>
        <v>0.06</v>
      </c>
      <c r="BS10" s="162">
        <f>'3. Segment Analysis'!CG253</f>
        <v>-0.03</v>
      </c>
      <c r="BT10" s="162">
        <f>'3. Segment Analysis'!CH253</f>
        <v>-0.04</v>
      </c>
      <c r="BU10" s="162">
        <f>'3. Segment Analysis'!CI253</f>
        <v>0.01</v>
      </c>
      <c r="BV10" s="163">
        <f>'3. Segment Analysis'!CJ253</f>
        <v>-7.6762557758236347E-5</v>
      </c>
      <c r="BW10" s="162">
        <f>'3. Segment Analysis'!CK253</f>
        <v>-0.12</v>
      </c>
      <c r="BX10" s="162">
        <f>'3. Segment Analysis'!CL253</f>
        <v>-0.1</v>
      </c>
      <c r="BY10" s="162">
        <f>'3. Segment Analysis'!CM253</f>
        <v>-0.06</v>
      </c>
      <c r="BZ10" s="162">
        <f>'3. Segment Analysis'!CN253</f>
        <v>-0.1</v>
      </c>
      <c r="CA10" s="163">
        <f>'3. Segment Analysis'!CO253</f>
        <v>-9.6081428676416558E-2</v>
      </c>
      <c r="CB10" s="162">
        <f>'3. Segment Analysis'!CP253</f>
        <v>0.01</v>
      </c>
      <c r="CC10" s="162">
        <f>'3. Segment Analysis'!CQ253</f>
        <v>-0.01</v>
      </c>
      <c r="CD10" s="162">
        <f>'3. Segment Analysis'!CR253</f>
        <v>-7.0000000000000007E-2</v>
      </c>
      <c r="CE10" s="162">
        <f>'3. Segment Analysis'!CS253</f>
        <v>-0.06</v>
      </c>
      <c r="CF10" s="163">
        <f>'3. Segment Analysis'!CT253</f>
        <v>-3.0869707106143427E-2</v>
      </c>
      <c r="CG10" s="162">
        <f>'3. Segment Analysis'!CU253</f>
        <v>-0.05</v>
      </c>
      <c r="CH10" s="162">
        <f>'3. Segment Analysis'!CV253</f>
        <v>-0.12833726415094326</v>
      </c>
      <c r="CI10" s="162">
        <f>'3. Segment Analysis'!CW253</f>
        <v>-2.9999999999999916E-2</v>
      </c>
      <c r="CJ10" s="162">
        <f>'3. Segment Analysis'!CX253</f>
        <v>-5.4964705882352916E-2</v>
      </c>
      <c r="CK10" s="163">
        <f>'3. Segment Analysis'!CY253</f>
        <v>-6.7738625517021894E-2</v>
      </c>
      <c r="CL10" s="162">
        <f>'3. Segment Analysis'!CZ253</f>
        <v>-5.4307304785894184E-2</v>
      </c>
      <c r="CM10" s="162">
        <f>'3. Segment Analysis'!DA253</f>
        <v>-3.2252120621778513E-2</v>
      </c>
      <c r="CN10" s="162">
        <f>'3. Segment Analysis'!DB253</f>
        <v>-2.6224773834377046E-2</v>
      </c>
      <c r="CO10" s="162">
        <f>'3. Segment Analysis'!DC253</f>
        <v>-2.6088394724486874E-2</v>
      </c>
      <c r="CP10" s="163">
        <f>'3. Segment Analysis'!DD253</f>
        <v>-3.5474214317540297E-2</v>
      </c>
      <c r="CQ10" s="162">
        <f>'3. Segment Analysis'!DE253</f>
        <v>0</v>
      </c>
      <c r="CR10" s="162">
        <f>'3. Segment Analysis'!DF253</f>
        <v>0</v>
      </c>
      <c r="CS10" s="162">
        <f>'3. Segment Analysis'!DG253</f>
        <v>1.0000000000000009E-2</v>
      </c>
      <c r="CT10" s="162">
        <f>'3. Segment Analysis'!DH253</f>
        <v>1.0000000000000231E-2</v>
      </c>
      <c r="CU10" s="163">
        <f>'3. Segment Analysis'!DI253</f>
        <v>4.7844666547276569E-3</v>
      </c>
    </row>
    <row r="11" spans="2:99" ht="15" customHeight="1">
      <c r="B11" s="165" t="s">
        <v>99</v>
      </c>
      <c r="C11" s="165"/>
      <c r="D11" s="123">
        <f>'2. Consolidated'!R11</f>
        <v>460</v>
      </c>
      <c r="E11" s="124">
        <f>'2. Consolidated'!S11</f>
        <v>482</v>
      </c>
      <c r="F11" s="124">
        <f>'2. Consolidated'!T11</f>
        <v>554</v>
      </c>
      <c r="G11" s="124">
        <f>'2. Consolidated'!U11</f>
        <v>564</v>
      </c>
      <c r="H11" s="125">
        <f>'2. Consolidated'!V11</f>
        <v>2060</v>
      </c>
      <c r="I11" s="124">
        <f>'2. Consolidated'!W11</f>
        <v>528</v>
      </c>
      <c r="J11" s="124">
        <f>'2. Consolidated'!X11</f>
        <v>650</v>
      </c>
      <c r="K11" s="124">
        <f>'2. Consolidated'!Y11</f>
        <v>694</v>
      </c>
      <c r="L11" s="124">
        <f>'2. Consolidated'!Z11</f>
        <v>667</v>
      </c>
      <c r="M11" s="125">
        <f>'2. Consolidated'!AA11</f>
        <v>2539</v>
      </c>
      <c r="N11" s="125">
        <f>'2. Consolidated'!AB11</f>
        <v>2539</v>
      </c>
      <c r="O11" s="124">
        <f>'2. Consolidated'!AC11</f>
        <v>577</v>
      </c>
      <c r="P11" s="124">
        <f>'2. Consolidated'!AD11</f>
        <v>582</v>
      </c>
      <c r="Q11" s="124">
        <f>'2. Consolidated'!AE11</f>
        <v>641</v>
      </c>
      <c r="R11" s="124">
        <f>'2. Consolidated'!AF11</f>
        <v>678</v>
      </c>
      <c r="S11" s="125">
        <f>'2. Consolidated'!AG11</f>
        <v>2478</v>
      </c>
      <c r="T11" s="124">
        <f>'2. Consolidated'!AH11</f>
        <v>574</v>
      </c>
      <c r="U11" s="124">
        <f>'2. Consolidated'!AI11</f>
        <v>629</v>
      </c>
      <c r="V11" s="124">
        <f>'2. Consolidated'!AJ11</f>
        <v>697</v>
      </c>
      <c r="W11" s="124">
        <f>'2. Consolidated'!AK11</f>
        <v>702</v>
      </c>
      <c r="X11" s="125">
        <f>'2. Consolidated'!AL11</f>
        <v>2602</v>
      </c>
      <c r="Y11" s="124">
        <f>'2. Consolidated'!AM11</f>
        <v>679</v>
      </c>
      <c r="Z11" s="124">
        <f>'2. Consolidated'!AN11</f>
        <v>758</v>
      </c>
      <c r="AA11" s="124">
        <f>'2. Consolidated'!AO11</f>
        <v>801</v>
      </c>
      <c r="AB11" s="124">
        <f>'2. Consolidated'!AP11</f>
        <v>829</v>
      </c>
      <c r="AC11" s="125">
        <f>'2. Consolidated'!AQ11</f>
        <v>3067</v>
      </c>
      <c r="AD11" s="124">
        <f>'2. Consolidated'!AR11</f>
        <v>886</v>
      </c>
      <c r="AE11" s="124">
        <f>'2. Consolidated'!AS11</f>
        <v>938</v>
      </c>
      <c r="AF11" s="124">
        <f>'2. Consolidated'!AT11</f>
        <v>982</v>
      </c>
      <c r="AG11" s="124">
        <f>'2. Consolidated'!AU11</f>
        <v>979</v>
      </c>
      <c r="AH11" s="125">
        <f>'2. Consolidated'!AV11</f>
        <v>3785</v>
      </c>
      <c r="AI11" s="124">
        <f>'2. Consolidated'!AW11</f>
        <v>1020</v>
      </c>
      <c r="AJ11" s="124">
        <f>'2. Consolidated'!AX11</f>
        <v>1055</v>
      </c>
      <c r="AK11" s="124">
        <f>'2. Consolidated'!AY11</f>
        <v>1075</v>
      </c>
      <c r="AL11" s="124">
        <f>'2. Consolidated'!AZ11</f>
        <v>1087</v>
      </c>
      <c r="AM11" s="125">
        <f>'2. Consolidated'!BA11</f>
        <v>4237</v>
      </c>
      <c r="AN11" s="124">
        <f>'2. Consolidated'!BB11</f>
        <v>1108</v>
      </c>
      <c r="AO11" s="124">
        <f>'2. Consolidated'!BC11</f>
        <v>1222</v>
      </c>
      <c r="AP11" s="124">
        <f>'2. Consolidated'!BD11</f>
        <v>1336</v>
      </c>
      <c r="AQ11" s="124">
        <f>'2. Consolidated'!BE11</f>
        <v>1468</v>
      </c>
      <c r="AR11" s="125">
        <f>'2. Consolidated'!BF11</f>
        <v>5134</v>
      </c>
      <c r="AS11" s="124">
        <f>'2. Consolidated'!BG11</f>
        <v>1379</v>
      </c>
      <c r="AT11" s="124">
        <f>'2. Consolidated'!BH11</f>
        <v>1544</v>
      </c>
      <c r="AU11" s="124">
        <f>'2. Consolidated'!BI11</f>
        <v>1588</v>
      </c>
      <c r="AV11" s="124">
        <f>'2. Consolidated'!BJ11</f>
        <v>1697</v>
      </c>
      <c r="AW11" s="125">
        <f>'2. Consolidated'!BK11</f>
        <v>6208</v>
      </c>
      <c r="AX11" s="124">
        <f>'2. Consolidated'!BL11</f>
        <v>1679</v>
      </c>
      <c r="AY11" s="124">
        <f>'2. Consolidated'!BM11</f>
        <v>1847</v>
      </c>
      <c r="AZ11" s="124">
        <f>'2. Consolidated'!BN11</f>
        <v>1506</v>
      </c>
      <c r="BA11" s="124">
        <f>'2. Consolidated'!BO11</f>
        <v>1647</v>
      </c>
      <c r="BB11" s="125">
        <f>'2. Consolidated'!BP11</f>
        <v>6679</v>
      </c>
      <c r="BC11" s="124">
        <f>'2. Consolidated'!BQ11</f>
        <v>1780</v>
      </c>
      <c r="BD11" s="124">
        <f>'2. Consolidated'!BR11</f>
        <v>2298</v>
      </c>
      <c r="BE11" s="124">
        <f>'2. Consolidated'!BS11</f>
        <v>2279</v>
      </c>
      <c r="BF11" s="124">
        <f>'2. Consolidated'!BT11</f>
        <v>1933</v>
      </c>
      <c r="BG11" s="125">
        <f>'2. Consolidated'!BU11</f>
        <v>8290</v>
      </c>
      <c r="BH11" s="124">
        <f>'2. Consolidated'!BV11</f>
        <v>1982</v>
      </c>
      <c r="BI11" s="124">
        <f>'2. Consolidated'!BW11</f>
        <v>1844</v>
      </c>
      <c r="BJ11" s="124">
        <f>'2. Consolidated'!BX11</f>
        <v>2160</v>
      </c>
      <c r="BK11" s="124">
        <f>'2. Consolidated'!BY11</f>
        <v>1561</v>
      </c>
      <c r="BL11" s="125">
        <f>'2. Consolidated'!BZ11</f>
        <v>7547</v>
      </c>
      <c r="BM11" s="124">
        <f>'2. Consolidated'!CA11</f>
        <v>1656</v>
      </c>
      <c r="BN11" s="124">
        <f>'2. Consolidated'!CB11</f>
        <v>1788</v>
      </c>
      <c r="BO11" s="124">
        <f>'2. Consolidated'!CC11</f>
        <v>1994</v>
      </c>
      <c r="BP11" s="124">
        <f>'2. Consolidated'!CD11</f>
        <v>1810</v>
      </c>
      <c r="BQ11" s="125">
        <f>'2. Consolidated'!CE11</f>
        <v>7248</v>
      </c>
      <c r="BR11" s="124">
        <f>'2. Consolidated'!CF11</f>
        <v>1735</v>
      </c>
      <c r="BS11" s="124">
        <f>'2. Consolidated'!CG11</f>
        <v>1863</v>
      </c>
      <c r="BT11" s="124">
        <f>'2. Consolidated'!CH11</f>
        <v>2084</v>
      </c>
      <c r="BU11" s="124">
        <f>'2. Consolidated'!CI11</f>
        <v>1863</v>
      </c>
      <c r="BV11" s="125">
        <f>'2. Consolidated'!CJ11</f>
        <v>7545</v>
      </c>
      <c r="BW11" s="124">
        <f>'2. Consolidated'!CK11</f>
        <v>1666</v>
      </c>
      <c r="BX11" s="124">
        <f>'2. Consolidated'!CL11</f>
        <v>1711</v>
      </c>
      <c r="BY11" s="124">
        <f>'2. Consolidated'!CM11</f>
        <v>1733</v>
      </c>
      <c r="BZ11" s="124">
        <f>'2. Consolidated'!CN11</f>
        <v>1476</v>
      </c>
      <c r="CA11" s="125">
        <f>'2. Consolidated'!CO11</f>
        <v>6586</v>
      </c>
      <c r="CB11" s="124">
        <f>'2. Consolidated'!CP11</f>
        <v>1512</v>
      </c>
      <c r="CC11" s="124">
        <f>'2. Consolidated'!CQ11</f>
        <v>1423</v>
      </c>
      <c r="CD11" s="124">
        <f>'2. Consolidated'!CR11</f>
        <v>1615</v>
      </c>
      <c r="CE11" s="124">
        <f>'2. Consolidated'!CS11</f>
        <v>1297</v>
      </c>
      <c r="CF11" s="125">
        <f>'2. Consolidated'!CT11</f>
        <v>5847</v>
      </c>
      <c r="CG11" s="124">
        <f>'2. Consolidated'!CU11</f>
        <v>1180</v>
      </c>
      <c r="CH11" s="124">
        <f>'2. Consolidated'!CV11</f>
        <v>1077.7956300000001</v>
      </c>
      <c r="CI11" s="124">
        <f>'2. Consolidated'!CW11</f>
        <v>1150.7080000000001</v>
      </c>
      <c r="CJ11" s="124">
        <f>'2. Consolidated'!CX11</f>
        <v>907.55668999999978</v>
      </c>
      <c r="CK11" s="125">
        <f>'2. Consolidated'!CY11</f>
        <v>4316.0603199999996</v>
      </c>
      <c r="CL11" s="124">
        <f>'2. Consolidated'!CZ11</f>
        <v>892.96499999999992</v>
      </c>
      <c r="CM11" s="124">
        <f>'2. Consolidated'!DA11</f>
        <v>862.23650400000008</v>
      </c>
      <c r="CN11" s="124">
        <f>'2. Consolidated'!DB11</f>
        <v>1058.6513600000003</v>
      </c>
      <c r="CO11" s="124">
        <f>'2. Consolidated'!DC11</f>
        <v>834.95215479999979</v>
      </c>
      <c r="CP11" s="125">
        <f>'2. Consolidated'!DD11</f>
        <v>3648.8050188000002</v>
      </c>
      <c r="CQ11" s="124">
        <f>'2. Consolidated'!DE11</f>
        <v>866.70577499999979</v>
      </c>
      <c r="CR11" s="124">
        <f>'2. Consolidated'!DF11</f>
        <v>845.16365592</v>
      </c>
      <c r="CS11" s="124">
        <f>'2. Consolidated'!DG11</f>
        <v>1069.0332140800003</v>
      </c>
      <c r="CT11" s="124">
        <f>'2. Consolidated'!DH11</f>
        <v>843.13964364799961</v>
      </c>
      <c r="CU11" s="125">
        <f>'2. Consolidated'!DI11</f>
        <v>3624.0422886479996</v>
      </c>
    </row>
    <row r="12" spans="2:99" s="23" customFormat="1" ht="15" customHeight="1">
      <c r="B12" s="160" t="s">
        <v>305</v>
      </c>
      <c r="C12" s="160"/>
      <c r="D12" s="161">
        <f>'3. Segment Analysis'!R322</f>
        <v>0.1</v>
      </c>
      <c r="E12" s="162">
        <f>'3. Segment Analysis'!S322</f>
        <v>0.17864818024263432</v>
      </c>
      <c r="F12" s="162">
        <f>'3. Segment Analysis'!T322</f>
        <v>0.17850436681222709</v>
      </c>
      <c r="G12" s="162">
        <f>'3. Segment Analysis'!U322</f>
        <v>0.16156431803490626</v>
      </c>
      <c r="H12" s="163">
        <f>'3. Segment Analysis'!V322</f>
        <v>0.16</v>
      </c>
      <c r="I12" s="162">
        <f>'3. Segment Analysis'!W322</f>
        <v>8.6217391304347815E-2</v>
      </c>
      <c r="J12" s="162">
        <f>'3. Segment Analysis'!X322</f>
        <v>0.28485477178423241</v>
      </c>
      <c r="K12" s="162">
        <f>'3. Segment Analysis'!Y322</f>
        <v>0.21</v>
      </c>
      <c r="L12" s="162">
        <f>'3. Segment Analysis'!Z322</f>
        <v>0.14000000000000001</v>
      </c>
      <c r="M12" s="163">
        <f>'3. Segment Analysis'!AA322</f>
        <v>0.18</v>
      </c>
      <c r="N12" s="163">
        <f>'3. Segment Analysis'!AB322</f>
        <v>0</v>
      </c>
      <c r="O12" s="162">
        <f>'3. Segment Analysis'!AC322</f>
        <v>0.06</v>
      </c>
      <c r="P12" s="162">
        <f>'3. Segment Analysis'!AD322</f>
        <v>-0.12</v>
      </c>
      <c r="Q12" s="162">
        <f>'3. Segment Analysis'!AE322</f>
        <v>-0.1</v>
      </c>
      <c r="R12" s="162">
        <f>'3. Segment Analysis'!AF322</f>
        <v>0</v>
      </c>
      <c r="S12" s="163">
        <f>'3. Segment Analysis'!AG322</f>
        <v>-0.05</v>
      </c>
      <c r="T12" s="162">
        <f>'3. Segment Analysis'!AH322</f>
        <v>-0.03</v>
      </c>
      <c r="U12" s="162">
        <f>'3. Segment Analysis'!AI322</f>
        <v>0.05</v>
      </c>
      <c r="V12" s="162">
        <f>'3. Segment Analysis'!AJ322</f>
        <v>7.0000000000000007E-2</v>
      </c>
      <c r="W12" s="162">
        <f>'3. Segment Analysis'!AK322</f>
        <v>2.6076696165191739E-2</v>
      </c>
      <c r="X12" s="163">
        <f>'3. Segment Analysis'!AL322</f>
        <v>0.03</v>
      </c>
      <c r="Y12" s="162">
        <f>'3. Segment Analysis'!AM322</f>
        <v>0.2</v>
      </c>
      <c r="Z12" s="162">
        <f>'3. Segment Analysis'!AN322</f>
        <v>0.21</v>
      </c>
      <c r="AA12" s="162">
        <f>'3. Segment Analysis'!AO322</f>
        <v>0.17</v>
      </c>
      <c r="AB12" s="162">
        <f>'3. Segment Analysis'!AP322</f>
        <v>0.2</v>
      </c>
      <c r="AC12" s="163">
        <f>'3. Segment Analysis'!AQ322</f>
        <v>0.19</v>
      </c>
      <c r="AD12" s="162">
        <f>'3. Segment Analysis'!AR322</f>
        <v>0.3</v>
      </c>
      <c r="AE12" s="162">
        <f>'3. Segment Analysis'!AS322</f>
        <v>0.28000000000000003</v>
      </c>
      <c r="AF12" s="162">
        <f>'3. Segment Analysis'!AT322</f>
        <v>0.27</v>
      </c>
      <c r="AG12" s="162">
        <f>'3. Segment Analysis'!AU322</f>
        <v>0.23</v>
      </c>
      <c r="AH12" s="163">
        <f>'3. Segment Analysis'!AV322</f>
        <v>0.27</v>
      </c>
      <c r="AI12" s="162">
        <f>'3. Segment Analysis'!AW322</f>
        <v>0.21</v>
      </c>
      <c r="AJ12" s="162">
        <f>'3. Segment Analysis'!AX322</f>
        <v>0.17</v>
      </c>
      <c r="AK12" s="162">
        <f>'3. Segment Analysis'!AY322</f>
        <v>0.15</v>
      </c>
      <c r="AL12" s="162">
        <f>'3. Segment Analysis'!AZ322</f>
        <v>0.16</v>
      </c>
      <c r="AM12" s="163">
        <f>'3. Segment Analysis'!BA322</f>
        <v>0.17</v>
      </c>
      <c r="AN12" s="162">
        <f>'3. Segment Analysis'!BB322</f>
        <v>0.12</v>
      </c>
      <c r="AO12" s="162">
        <f>'3. Segment Analysis'!BC322</f>
        <v>0.15</v>
      </c>
      <c r="AP12" s="162">
        <f>'3. Segment Analysis'!BD322</f>
        <v>0.19</v>
      </c>
      <c r="AQ12" s="162">
        <f>'3. Segment Analysis'!BE322</f>
        <v>0.25</v>
      </c>
      <c r="AR12" s="163">
        <f>'3. Segment Analysis'!BF322</f>
        <v>0.17858154354496106</v>
      </c>
      <c r="AS12" s="162">
        <f>'3. Segment Analysis'!BG322</f>
        <v>0.2</v>
      </c>
      <c r="AT12" s="162">
        <f>'3. Segment Analysis'!BH322</f>
        <v>0.31</v>
      </c>
      <c r="AU12" s="162">
        <f>'3. Segment Analysis'!BI322</f>
        <v>0.24</v>
      </c>
      <c r="AV12" s="162">
        <f>'3. Segment Analysis'!BJ322</f>
        <v>0.22</v>
      </c>
      <c r="AW12" s="163">
        <f>'3. Segment Analysis'!BK322</f>
        <v>0.24231008959875341</v>
      </c>
      <c r="AX12" s="162">
        <f>'3. Segment Analysis'!BL322</f>
        <v>0.27</v>
      </c>
      <c r="AY12" s="162">
        <f>'3. Segment Analysis'!BM322</f>
        <v>0.23</v>
      </c>
      <c r="AZ12" s="162">
        <f>'3. Segment Analysis'!BN322</f>
        <v>-0.04</v>
      </c>
      <c r="BA12" s="162">
        <f>'3. Segment Analysis'!BO322</f>
        <v>0.01</v>
      </c>
      <c r="BB12" s="163">
        <f>'3. Segment Analysis'!BP322</f>
        <v>0.10968105670103094</v>
      </c>
      <c r="BC12" s="162">
        <f>'3. Segment Analysis'!BQ322</f>
        <v>0.08</v>
      </c>
      <c r="BD12" s="162">
        <f>'3. Segment Analysis'!BR322</f>
        <v>0.19</v>
      </c>
      <c r="BE12" s="162">
        <f>'3. Segment Analysis'!BS322</f>
        <v>0.42</v>
      </c>
      <c r="BF12" s="162">
        <f>'3. Segment Analysis'!BT322</f>
        <v>0.09</v>
      </c>
      <c r="BG12" s="163">
        <f>'3. Segment Analysis'!BU322</f>
        <v>0.18954933373259469</v>
      </c>
      <c r="BH12" s="162">
        <f>'3. Segment Analysis'!BV322</f>
        <v>0.01</v>
      </c>
      <c r="BI12" s="162">
        <f>'3. Segment Analysis'!BW322</f>
        <v>-0.24</v>
      </c>
      <c r="BJ12" s="162">
        <f>'3. Segment Analysis'!BX322</f>
        <v>-0.08</v>
      </c>
      <c r="BK12" s="162">
        <f>'3. Segment Analysis'!BY322</f>
        <v>-0.2</v>
      </c>
      <c r="BL12" s="163">
        <f>'3. Segment Analysis'!BZ322</f>
        <v>-0.13300844390832325</v>
      </c>
      <c r="BM12" s="162">
        <f>'3. Segment Analysis'!CA322</f>
        <v>-0.13</v>
      </c>
      <c r="BN12" s="162">
        <f>'3. Segment Analysis'!CB322</f>
        <v>0.06</v>
      </c>
      <c r="BO12" s="162">
        <f>'3. Segment Analysis'!CC322</f>
        <v>0.01</v>
      </c>
      <c r="BP12" s="162">
        <f>'3. Segment Analysis'!CD322</f>
        <v>0.25</v>
      </c>
      <c r="BQ12" s="163">
        <f>'3. Segment Analysis'!CE322</f>
        <v>3.5090764542202189E-2</v>
      </c>
      <c r="BR12" s="162">
        <f>'3. Segment Analysis'!CF322</f>
        <v>0.12</v>
      </c>
      <c r="BS12" s="162">
        <f>'3. Segment Analysis'!CG322</f>
        <v>0.08</v>
      </c>
      <c r="BT12" s="162">
        <f>'3. Segment Analysis'!CH322</f>
        <v>0.06</v>
      </c>
      <c r="BU12" s="162">
        <f>'3. Segment Analysis'!CI322</f>
        <v>7.0000000000000007E-2</v>
      </c>
      <c r="BV12" s="163">
        <f>'3. Segment Analysis'!CJ322</f>
        <v>8.1139624724061818E-2</v>
      </c>
      <c r="BW12" s="162">
        <f>'3. Segment Analysis'!CK322</f>
        <v>-0.03</v>
      </c>
      <c r="BX12" s="162">
        <f>'3. Segment Analysis'!CL322</f>
        <v>-0.11</v>
      </c>
      <c r="BY12" s="162">
        <f>'3. Segment Analysis'!CM322</f>
        <v>-0.15</v>
      </c>
      <c r="BZ12" s="162">
        <f>'3. Segment Analysis'!CN322</f>
        <v>-0.2</v>
      </c>
      <c r="CA12" s="163">
        <f>'3. Segment Analysis'!CO322</f>
        <v>-0.12487475149105368</v>
      </c>
      <c r="CB12" s="162">
        <f>'3. Segment Analysis'!CP322</f>
        <v>-0.1</v>
      </c>
      <c r="CC12" s="162">
        <f>'3. Segment Analysis'!CQ322</f>
        <v>-0.16</v>
      </c>
      <c r="CD12" s="162">
        <f>'3. Segment Analysis'!CR322</f>
        <v>-0.1</v>
      </c>
      <c r="CE12" s="162">
        <f>'3. Segment Analysis'!CS322</f>
        <v>-0.17</v>
      </c>
      <c r="CF12" s="163">
        <f>'3. Segment Analysis'!CT322</f>
        <v>-0.13127543273610692</v>
      </c>
      <c r="CG12" s="162">
        <f>'3. Segment Analysis'!CU322</f>
        <v>-0.26</v>
      </c>
      <c r="CH12" s="162">
        <f>'3. Segment Analysis'!CV322</f>
        <v>-0.28613492621222769</v>
      </c>
      <c r="CI12" s="162">
        <f>'3. Segment Analysis'!CW322</f>
        <v>-0.31489164086687305</v>
      </c>
      <c r="CJ12" s="162">
        <f>'3. Segment Analysis'!CX322</f>
        <v>-0.31465690053970707</v>
      </c>
      <c r="CK12" s="163">
        <f>'3. Segment Analysis'!CY322</f>
        <v>-0.29364631434923893</v>
      </c>
      <c r="CL12" s="162">
        <f>'3. Segment Analysis'!CZ322</f>
        <v>-0.25</v>
      </c>
      <c r="CM12" s="162">
        <f>'3. Segment Analysis'!DA322</f>
        <v>-0.19999999999999996</v>
      </c>
      <c r="CN12" s="162">
        <f>'3. Segment Analysis'!DB322</f>
        <v>-7.9999999999999849E-2</v>
      </c>
      <c r="CO12" s="162">
        <f>'3. Segment Analysis'!DC322</f>
        <v>-7.999999999999996E-2</v>
      </c>
      <c r="CP12" s="163">
        <f>'3. Segment Analysis'!DD322</f>
        <v>-0.15644366647776597</v>
      </c>
      <c r="CQ12" s="162">
        <f>'3. Segment Analysis'!DE322</f>
        <v>-2.9406779661017124E-2</v>
      </c>
      <c r="CR12" s="162">
        <f>'3. Segment Analysis'!DF322</f>
        <v>-1.9800655621511565E-2</v>
      </c>
      <c r="CS12" s="162">
        <f>'3. Segment Analysis'!DG322</f>
        <v>9.8066790184825336E-3</v>
      </c>
      <c r="CT12" s="162">
        <f>'3. Segment Analysis'!DH322</f>
        <v>9.8059377425776528E-3</v>
      </c>
      <c r="CU12" s="163">
        <f>'3. Segment Analysis'!DI322</f>
        <v>-6.7865314875455336E-3</v>
      </c>
    </row>
    <row r="13" spans="2:99" ht="15" customHeight="1">
      <c r="B13" s="165" t="s">
        <v>160</v>
      </c>
      <c r="C13" s="165"/>
      <c r="D13" s="123">
        <f>'2. Consolidated'!R12</f>
        <v>754</v>
      </c>
      <c r="E13" s="124">
        <f>'2. Consolidated'!S12</f>
        <v>947</v>
      </c>
      <c r="F13" s="124">
        <f>'2. Consolidated'!T12</f>
        <v>838</v>
      </c>
      <c r="G13" s="124">
        <f>'2. Consolidated'!U12</f>
        <v>963</v>
      </c>
      <c r="H13" s="125">
        <f>'2. Consolidated'!V12</f>
        <v>3502</v>
      </c>
      <c r="I13" s="124">
        <f>'2. Consolidated'!W12</f>
        <v>990</v>
      </c>
      <c r="J13" s="124">
        <f>'2. Consolidated'!X12</f>
        <v>1145</v>
      </c>
      <c r="K13" s="124">
        <f>'2. Consolidated'!Y12</f>
        <v>994</v>
      </c>
      <c r="L13" s="124">
        <f>'2. Consolidated'!Z12</f>
        <v>1110</v>
      </c>
      <c r="M13" s="125">
        <f>'2. Consolidated'!AA12</f>
        <v>4239</v>
      </c>
      <c r="N13" s="125">
        <f>'2. Consolidated'!AB12</f>
        <v>4239</v>
      </c>
      <c r="O13" s="124">
        <f>'2. Consolidated'!AC12</f>
        <v>1094</v>
      </c>
      <c r="P13" s="124">
        <f>'2. Consolidated'!AD12</f>
        <v>1314</v>
      </c>
      <c r="Q13" s="124">
        <f>'2. Consolidated'!AE12</f>
        <v>1062</v>
      </c>
      <c r="R13" s="124">
        <f>'2. Consolidated'!AF12</f>
        <v>1238</v>
      </c>
      <c r="S13" s="125">
        <f>'2. Consolidated'!AG12</f>
        <v>4708</v>
      </c>
      <c r="T13" s="124">
        <f>'2. Consolidated'!AH12</f>
        <v>1060</v>
      </c>
      <c r="U13" s="124">
        <f>'2. Consolidated'!AI12</f>
        <v>1240</v>
      </c>
      <c r="V13" s="124">
        <f>'2. Consolidated'!AJ12</f>
        <v>1114</v>
      </c>
      <c r="W13" s="124">
        <f>'2. Consolidated'!AK12</f>
        <v>1306</v>
      </c>
      <c r="X13" s="125">
        <f>'2. Consolidated'!AL12</f>
        <v>4720</v>
      </c>
      <c r="Y13" s="124">
        <f>'2. Consolidated'!AM12</f>
        <v>1094</v>
      </c>
      <c r="Z13" s="124">
        <f>'2. Consolidated'!AN12</f>
        <v>1274</v>
      </c>
      <c r="AA13" s="124">
        <f>'2. Consolidated'!AO12</f>
        <v>1121</v>
      </c>
      <c r="AB13" s="124">
        <f>'2. Consolidated'!AP12</f>
        <v>1164</v>
      </c>
      <c r="AC13" s="125">
        <f>'2. Consolidated'!AQ12</f>
        <v>4653</v>
      </c>
      <c r="AD13" s="124">
        <f>'2. Consolidated'!AR12</f>
        <v>1083</v>
      </c>
      <c r="AE13" s="124">
        <f>'2. Consolidated'!AS12</f>
        <v>1107</v>
      </c>
      <c r="AF13" s="124">
        <f>'2. Consolidated'!AT12</f>
        <v>1032</v>
      </c>
      <c r="AG13" s="124">
        <f>'2. Consolidated'!AU12</f>
        <v>1095</v>
      </c>
      <c r="AH13" s="125">
        <f>'2. Consolidated'!AV12</f>
        <v>4317</v>
      </c>
      <c r="AI13" s="124">
        <f>'2. Consolidated'!AW12</f>
        <v>1131</v>
      </c>
      <c r="AJ13" s="124">
        <f>'2. Consolidated'!AX12</f>
        <v>1206</v>
      </c>
      <c r="AK13" s="124">
        <f>'2. Consolidated'!AY12</f>
        <v>1122</v>
      </c>
      <c r="AL13" s="124">
        <f>'2. Consolidated'!AZ12</f>
        <v>1278</v>
      </c>
      <c r="AM13" s="125">
        <f>'2. Consolidated'!BA12</f>
        <v>4737</v>
      </c>
      <c r="AN13" s="124">
        <f>'2. Consolidated'!BB12</f>
        <v>1189</v>
      </c>
      <c r="AO13" s="124">
        <f>'2. Consolidated'!BC12</f>
        <v>1273</v>
      </c>
      <c r="AP13" s="124">
        <f>'2. Consolidated'!BD12</f>
        <v>1268</v>
      </c>
      <c r="AQ13" s="124">
        <f>'2. Consolidated'!BE12</f>
        <v>1436</v>
      </c>
      <c r="AR13" s="125">
        <f>'2. Consolidated'!BF12</f>
        <v>5166</v>
      </c>
      <c r="AS13" s="124">
        <f>'2. Consolidated'!BG12</f>
        <v>1270</v>
      </c>
      <c r="AT13" s="124">
        <f>'2. Consolidated'!BH12</f>
        <v>1298</v>
      </c>
      <c r="AU13" s="124">
        <f>'2. Consolidated'!BI12</f>
        <v>1307</v>
      </c>
      <c r="AV13" s="124">
        <f>'2. Consolidated'!BJ12</f>
        <v>1379</v>
      </c>
      <c r="AW13" s="125">
        <f>'2. Consolidated'!BK12</f>
        <v>5254</v>
      </c>
      <c r="AX13" s="124">
        <f>'2. Consolidated'!BL12</f>
        <v>1345</v>
      </c>
      <c r="AY13" s="124">
        <f>'2. Consolidated'!BM12</f>
        <v>1468</v>
      </c>
      <c r="AZ13" s="124">
        <f>'2. Consolidated'!BN12</f>
        <v>1414</v>
      </c>
      <c r="BA13" s="124">
        <f>'2. Consolidated'!BO12</f>
        <v>801</v>
      </c>
      <c r="BB13" s="125">
        <f>'2. Consolidated'!BP12</f>
        <v>5028</v>
      </c>
      <c r="BC13" s="124">
        <f>'2. Consolidated'!BQ12</f>
        <v>1099</v>
      </c>
      <c r="BD13" s="124">
        <f>'2. Consolidated'!BR12</f>
        <v>1471</v>
      </c>
      <c r="BE13" s="124">
        <f>'2. Consolidated'!BS12</f>
        <v>1315</v>
      </c>
      <c r="BF13" s="124">
        <f>'2. Consolidated'!BT12</f>
        <v>1458</v>
      </c>
      <c r="BG13" s="125">
        <f>'2. Consolidated'!BU12</f>
        <v>5343</v>
      </c>
      <c r="BH13" s="124">
        <f>'2. Consolidated'!BV12</f>
        <v>1465</v>
      </c>
      <c r="BI13" s="124">
        <f>'2. Consolidated'!BW12</f>
        <v>1347</v>
      </c>
      <c r="BJ13" s="124">
        <f>'2. Consolidated'!BX12</f>
        <v>1461</v>
      </c>
      <c r="BK13" s="124">
        <f>'2. Consolidated'!BY12</f>
        <v>1682</v>
      </c>
      <c r="BL13" s="125">
        <f>'2. Consolidated'!BZ12</f>
        <v>5955</v>
      </c>
      <c r="BM13" s="124">
        <f>'2. Consolidated'!CA12</f>
        <v>1535</v>
      </c>
      <c r="BN13" s="124">
        <f>'2. Consolidated'!CB12</f>
        <v>1599</v>
      </c>
      <c r="BO13" s="124">
        <f>'2. Consolidated'!CC12</f>
        <v>1601</v>
      </c>
      <c r="BP13" s="124">
        <f>'2. Consolidated'!CD12</f>
        <v>1696</v>
      </c>
      <c r="BQ13" s="125">
        <f>'2. Consolidated'!CE12</f>
        <v>6431</v>
      </c>
      <c r="BR13" s="124">
        <f>'2. Consolidated'!CF12</f>
        <v>1572</v>
      </c>
      <c r="BS13" s="124">
        <f>'2. Consolidated'!CG12</f>
        <v>1805</v>
      </c>
      <c r="BT13" s="124">
        <f>'2. Consolidated'!CH12</f>
        <v>1647</v>
      </c>
      <c r="BU13" s="124">
        <f>'2. Consolidated'!CI12</f>
        <v>1705</v>
      </c>
      <c r="BV13" s="125">
        <f>'2. Consolidated'!CJ12</f>
        <v>6729</v>
      </c>
      <c r="BW13" s="124">
        <f>'2. Consolidated'!CK12</f>
        <v>1462</v>
      </c>
      <c r="BX13" s="124">
        <f>'2. Consolidated'!CL12</f>
        <v>1744</v>
      </c>
      <c r="BY13" s="124">
        <f>'2. Consolidated'!CM12</f>
        <v>1470</v>
      </c>
      <c r="BZ13" s="124">
        <f>'2. Consolidated'!CN12</f>
        <v>1575</v>
      </c>
      <c r="CA13" s="125">
        <f>'2. Consolidated'!CO12</f>
        <v>6251</v>
      </c>
      <c r="CB13" s="124">
        <f>'2. Consolidated'!CP12</f>
        <v>1490</v>
      </c>
      <c r="CC13" s="124">
        <f>'2. Consolidated'!CQ12</f>
        <v>1667</v>
      </c>
      <c r="CD13" s="124">
        <f>'2. Consolidated'!CR12</f>
        <v>1490</v>
      </c>
      <c r="CE13" s="124">
        <f>'2. Consolidated'!CS12</f>
        <v>1596</v>
      </c>
      <c r="CF13" s="125">
        <f>'2. Consolidated'!CT12</f>
        <v>6243</v>
      </c>
      <c r="CG13" s="124">
        <f>'2. Consolidated'!CU12</f>
        <v>1463</v>
      </c>
      <c r="CH13" s="124">
        <f>'2. Consolidated'!CV12</f>
        <v>1626.6919399999999</v>
      </c>
      <c r="CI13" s="124">
        <f>'2. Consolidated'!CW12</f>
        <v>1450.5726899999997</v>
      </c>
      <c r="CJ13" s="124">
        <f>'2. Consolidated'!CX12</f>
        <v>1512.3252</v>
      </c>
      <c r="CK13" s="125">
        <f>'2. Consolidated'!CY12</f>
        <v>6052.5898299999999</v>
      </c>
      <c r="CL13" s="124">
        <f>'2. Consolidated'!CZ12</f>
        <v>1445.5408000000002</v>
      </c>
      <c r="CM13" s="124">
        <f>'2. Consolidated'!DA12</f>
        <v>1642.3831255999999</v>
      </c>
      <c r="CN13" s="124">
        <f>'2. Consolidated'!DB12</f>
        <v>1464.5096282999998</v>
      </c>
      <c r="CO13" s="124">
        <f>'2. Consolidated'!DC12</f>
        <v>1526.8446463999996</v>
      </c>
      <c r="CP13" s="125">
        <f>'2. Consolidated'!DD12</f>
        <v>6079.2782003000002</v>
      </c>
      <c r="CQ13" s="124">
        <f>'2. Consolidated'!DE12</f>
        <v>1477.6216048000003</v>
      </c>
      <c r="CR13" s="124">
        <f>'2. Consolidated'!DF12</f>
        <v>1679.1591466859995</v>
      </c>
      <c r="CS13" s="124">
        <f>'2. Consolidated'!DG12</f>
        <v>1497.0047484929999</v>
      </c>
      <c r="CT13" s="124">
        <f>'2. Consolidated'!DH12</f>
        <v>1560.8237533279998</v>
      </c>
      <c r="CU13" s="125">
        <f>'2. Consolidated'!DI12</f>
        <v>6214.6092533069996</v>
      </c>
    </row>
    <row r="14" spans="2:99" s="23" customFormat="1" ht="15" customHeight="1">
      <c r="B14" s="160" t="s">
        <v>305</v>
      </c>
      <c r="C14" s="160"/>
      <c r="D14" s="161" t="str">
        <f>'3. Segment Analysis'!R391</f>
        <v>--</v>
      </c>
      <c r="E14" s="162" t="str">
        <f>'3. Segment Analysis'!S391</f>
        <v>--</v>
      </c>
      <c r="F14" s="162" t="str">
        <f>'3. Segment Analysis'!T391</f>
        <v>--</v>
      </c>
      <c r="G14" s="162" t="str">
        <f>'3. Segment Analysis'!U391</f>
        <v>--</v>
      </c>
      <c r="H14" s="163" t="str">
        <f>'3. Segment Analysis'!V391</f>
        <v>--</v>
      </c>
      <c r="I14" s="162" t="str">
        <f>'3. Segment Analysis'!W391</f>
        <v>--</v>
      </c>
      <c r="J14" s="162" t="str">
        <f>'3. Segment Analysis'!X391</f>
        <v>--</v>
      </c>
      <c r="K14" s="162" t="str">
        <f>'3. Segment Analysis'!Y391</f>
        <v>--</v>
      </c>
      <c r="L14" s="162" t="str">
        <f>'3. Segment Analysis'!Z391</f>
        <v>--</v>
      </c>
      <c r="M14" s="163" t="str">
        <f>'3. Segment Analysis'!AA391</f>
        <v>--</v>
      </c>
      <c r="N14" s="163">
        <f>'3. Segment Analysis'!AB391</f>
        <v>0</v>
      </c>
      <c r="O14" s="162" t="str">
        <f>'3. Segment Analysis'!AC391</f>
        <v>--</v>
      </c>
      <c r="P14" s="162" t="str">
        <f>'3. Segment Analysis'!AD391</f>
        <v>--</v>
      </c>
      <c r="Q14" s="162" t="str">
        <f>'3. Segment Analysis'!AE391</f>
        <v>--</v>
      </c>
      <c r="R14" s="162" t="str">
        <f>'3. Segment Analysis'!AF391</f>
        <v>--</v>
      </c>
      <c r="S14" s="163" t="str">
        <f>'3. Segment Analysis'!AG391</f>
        <v>--</v>
      </c>
      <c r="T14" s="162" t="str">
        <f>'3. Segment Analysis'!AH391</f>
        <v>--</v>
      </c>
      <c r="U14" s="162" t="str">
        <f>'3. Segment Analysis'!AI391</f>
        <v>--</v>
      </c>
      <c r="V14" s="162" t="str">
        <f>'3. Segment Analysis'!AJ391</f>
        <v>--</v>
      </c>
      <c r="W14" s="162" t="str">
        <f>'3. Segment Analysis'!AK391</f>
        <v>--</v>
      </c>
      <c r="X14" s="163" t="str">
        <f>'3. Segment Analysis'!AL391</f>
        <v>--</v>
      </c>
      <c r="Y14" s="162" t="str">
        <f>'3. Segment Analysis'!AM391</f>
        <v>--</v>
      </c>
      <c r="Z14" s="162" t="str">
        <f>'3. Segment Analysis'!AN391</f>
        <v>--</v>
      </c>
      <c r="AA14" s="162" t="str">
        <f>'3. Segment Analysis'!AO391</f>
        <v>--</v>
      </c>
      <c r="AB14" s="162" t="str">
        <f>'3. Segment Analysis'!AP391</f>
        <v>--</v>
      </c>
      <c r="AC14" s="163" t="str">
        <f>'3. Segment Analysis'!AQ391</f>
        <v>--</v>
      </c>
      <c r="AD14" s="162" t="str">
        <f>'3. Segment Analysis'!AR391</f>
        <v>--</v>
      </c>
      <c r="AE14" s="162" t="str">
        <f>'3. Segment Analysis'!AS391</f>
        <v>--</v>
      </c>
      <c r="AF14" s="162" t="str">
        <f>'3. Segment Analysis'!AT391</f>
        <v>--</v>
      </c>
      <c r="AG14" s="162" t="str">
        <f>'3. Segment Analysis'!AU391</f>
        <v>--</v>
      </c>
      <c r="AH14" s="163" t="str">
        <f>'3. Segment Analysis'!AV391</f>
        <v>--</v>
      </c>
      <c r="AI14" s="162">
        <f>'3. Segment Analysis'!AW391</f>
        <v>0.12</v>
      </c>
      <c r="AJ14" s="162">
        <f>'3. Segment Analysis'!AX391</f>
        <v>0.11</v>
      </c>
      <c r="AK14" s="162">
        <f>'3. Segment Analysis'!AY391</f>
        <v>0.11</v>
      </c>
      <c r="AL14" s="162">
        <f>'3. Segment Analysis'!AZ391</f>
        <v>0.15</v>
      </c>
      <c r="AM14" s="163">
        <f>'3. Segment Analysis'!BA391</f>
        <v>0.13</v>
      </c>
      <c r="AN14" s="162">
        <f>'3. Segment Analysis'!BB391</f>
        <v>0.06</v>
      </c>
      <c r="AO14" s="162">
        <f>'3. Segment Analysis'!BC391</f>
        <v>0.08</v>
      </c>
      <c r="AP14" s="162">
        <f>'3. Segment Analysis'!BD391</f>
        <v>0.11</v>
      </c>
      <c r="AQ14" s="162">
        <f>'3. Segment Analysis'!BE391</f>
        <v>0.13</v>
      </c>
      <c r="AR14" s="163">
        <f>'3. Segment Analysis'!BF391</f>
        <v>9.5820139328689033E-2</v>
      </c>
      <c r="AS14" s="162">
        <f>'3. Segment Analysis'!BG391</f>
        <v>0.14000000000000001</v>
      </c>
      <c r="AT14" s="162">
        <f>'3. Segment Analysis'!BH391</f>
        <v>0.15</v>
      </c>
      <c r="AU14" s="162">
        <f>'3. Segment Analysis'!BI391</f>
        <v>0.14000000000000001</v>
      </c>
      <c r="AV14" s="162">
        <f>'3. Segment Analysis'!BJ391</f>
        <v>0.09</v>
      </c>
      <c r="AW14" s="163">
        <f>'3. Segment Analysis'!BK391</f>
        <v>0.1285656213704994</v>
      </c>
      <c r="AX14" s="162">
        <f>'3. Segment Analysis'!BL391</f>
        <v>0.13</v>
      </c>
      <c r="AY14" s="162">
        <f>'3. Segment Analysis'!BM391</f>
        <v>0.18</v>
      </c>
      <c r="AZ14" s="162">
        <f>'3. Segment Analysis'!BN391</f>
        <v>0.13</v>
      </c>
      <c r="BA14" s="162">
        <f>'3. Segment Analysis'!BO391</f>
        <v>-0.39</v>
      </c>
      <c r="BB14" s="163">
        <f>'3. Segment Analysis'!BP391</f>
        <v>5.8698134754472629E-3</v>
      </c>
      <c r="BC14" s="162">
        <f>'3. Segment Analysis'!BQ391</f>
        <v>-0.12</v>
      </c>
      <c r="BD14" s="162">
        <f>'3. Segment Analysis'!BR391</f>
        <v>0.05</v>
      </c>
      <c r="BE14" s="162">
        <f>'3. Segment Analysis'!BS391</f>
        <v>-0.08</v>
      </c>
      <c r="BF14" s="162">
        <f>'3. Segment Analysis'!BT391</f>
        <v>0.76</v>
      </c>
      <c r="BG14" s="163">
        <f>'3. Segment Analysis'!BU391</f>
        <v>8.1073985680190933E-2</v>
      </c>
      <c r="BH14" s="162">
        <f>'3. Segment Analysis'!BV391</f>
        <v>0.31</v>
      </c>
      <c r="BI14" s="162">
        <f>'3. Segment Analysis'!BW391</f>
        <v>-0.06</v>
      </c>
      <c r="BJ14" s="162">
        <f>'3. Segment Analysis'!BX391</f>
        <v>0.19</v>
      </c>
      <c r="BK14" s="162">
        <f>'3. Segment Analysis'!BY391</f>
        <v>0.24</v>
      </c>
      <c r="BL14" s="163">
        <f>'3. Segment Analysis'!BZ391</f>
        <v>0.15949840913344562</v>
      </c>
      <c r="BM14" s="162">
        <f>'3. Segment Analysis'!CA391</f>
        <v>0.16</v>
      </c>
      <c r="BN14" s="162">
        <f>'3. Segment Analysis'!CB391</f>
        <v>0.34</v>
      </c>
      <c r="BO14" s="162">
        <f>'3. Segment Analysis'!CC391</f>
        <v>0.15</v>
      </c>
      <c r="BP14" s="162">
        <f>'3. Segment Analysis'!CD391</f>
        <v>0.06</v>
      </c>
      <c r="BQ14" s="163">
        <f>'3. Segment Analysis'!CE391</f>
        <v>0.17001679261125105</v>
      </c>
      <c r="BR14" s="162">
        <f>'3. Segment Analysis'!CF391</f>
        <v>0.03</v>
      </c>
      <c r="BS14" s="162">
        <f>'3. Segment Analysis'!CG391</f>
        <v>0.1</v>
      </c>
      <c r="BT14" s="162">
        <f>'3. Segment Analysis'!CH391</f>
        <v>0.04</v>
      </c>
      <c r="BU14" s="162">
        <f>'3. Segment Analysis'!CI391</f>
        <v>0.04</v>
      </c>
      <c r="BV14" s="163">
        <f>'3. Segment Analysis'!CJ391</f>
        <v>5.2531488104493866E-2</v>
      </c>
      <c r="BW14" s="162">
        <f>'3. Segment Analysis'!CK391</f>
        <v>-0.02</v>
      </c>
      <c r="BX14" s="162">
        <f>'3. Segment Analysis'!CL391</f>
        <v>-0.02</v>
      </c>
      <c r="BY14" s="162">
        <f>'3. Segment Analysis'!CM391</f>
        <v>-0.04</v>
      </c>
      <c r="BZ14" s="162">
        <f>'3. Segment Analysis'!CN391</f>
        <v>-0.03</v>
      </c>
      <c r="CA14" s="163">
        <f>'3. Segment Analysis'!CO391</f>
        <v>-2.7429038490117404E-2</v>
      </c>
      <c r="CB14" s="162">
        <f>'3. Segment Analysis'!CP391</f>
        <v>0.01</v>
      </c>
      <c r="CC14" s="162">
        <f>'3. Segment Analysis'!CQ391</f>
        <v>-0.04</v>
      </c>
      <c r="CD14" s="162">
        <f>'3. Segment Analysis'!CR391</f>
        <v>-0.02</v>
      </c>
      <c r="CE14" s="162">
        <f>'3. Segment Analysis'!CS391</f>
        <v>-0.01</v>
      </c>
      <c r="CF14" s="163">
        <f>'3. Segment Analysis'!CT391</f>
        <v>-1.6043832986722125E-2</v>
      </c>
      <c r="CG14" s="162">
        <f>'3. Segment Analysis'!CU391</f>
        <v>0</v>
      </c>
      <c r="CH14" s="162">
        <f>'3. Segment Analysis'!CV391</f>
        <v>-3.0000000000000027E-2</v>
      </c>
      <c r="CI14" s="162">
        <f>'3. Segment Analysis'!CW391</f>
        <v>-3.7053691275167777E-2</v>
      </c>
      <c r="CJ14" s="162">
        <f>'3. Segment Analysis'!CX391</f>
        <v>-5.6203007518797032E-2</v>
      </c>
      <c r="CK14" s="163">
        <f>'3. Segment Analysis'!CY391</f>
        <v>-3.1222168829088591E-2</v>
      </c>
      <c r="CL14" s="162">
        <f>'3. Segment Analysis'!CZ391</f>
        <v>-2.3650034176349921E-2</v>
      </c>
      <c r="CM14" s="162">
        <f>'3. Segment Analysis'!DA391</f>
        <v>9.6460707858427863E-3</v>
      </c>
      <c r="CN14" s="162">
        <f>'3. Segment Analysis'!DB391</f>
        <v>9.6078868684617014E-3</v>
      </c>
      <c r="CO14" s="162">
        <f>'3. Segment Analysis'!DC391</f>
        <v>9.6007435437825972E-3</v>
      </c>
      <c r="CP14" s="163">
        <f>'3. Segment Analysis'!DD391</f>
        <v>1.577435538862523E-3</v>
      </c>
      <c r="CQ14" s="162">
        <f>'3. Segment Analysis'!DE391</f>
        <v>2.2192943153178435E-2</v>
      </c>
      <c r="CR14" s="162">
        <f>'3. Segment Analysis'!DF391</f>
        <v>2.2391864914323545E-2</v>
      </c>
      <c r="CS14" s="162">
        <f>'3. Segment Analysis'!DG391</f>
        <v>2.218839641957171E-2</v>
      </c>
      <c r="CT14" s="162">
        <f>'3. Segment Analysis'!DH391</f>
        <v>2.2254462500894467E-2</v>
      </c>
      <c r="CU14" s="163">
        <f>'3. Segment Analysis'!DI391</f>
        <v>2.226103964123927E-2</v>
      </c>
    </row>
    <row r="15" spans="2:99" ht="15" customHeight="1">
      <c r="B15" s="165" t="s">
        <v>159</v>
      </c>
      <c r="C15" s="165"/>
      <c r="D15" s="123">
        <f>'2. Consolidated'!R13</f>
        <v>31</v>
      </c>
      <c r="E15" s="124">
        <f>'2. Consolidated'!S13</f>
        <v>24</v>
      </c>
      <c r="F15" s="124">
        <f>'2. Consolidated'!T13</f>
        <v>22</v>
      </c>
      <c r="G15" s="124">
        <f>'2. Consolidated'!U13</f>
        <v>29</v>
      </c>
      <c r="H15" s="125">
        <f>'2. Consolidated'!V13</f>
        <v>106</v>
      </c>
      <c r="I15" s="124">
        <f>'2. Consolidated'!W13</f>
        <v>33</v>
      </c>
      <c r="J15" s="124">
        <f>'2. Consolidated'!X13</f>
        <v>25</v>
      </c>
      <c r="K15" s="124">
        <f>'2. Consolidated'!Y13</f>
        <v>27</v>
      </c>
      <c r="L15" s="124">
        <f>'2. Consolidated'!Z13</f>
        <v>26</v>
      </c>
      <c r="M15" s="125">
        <f>'2. Consolidated'!AA13</f>
        <v>111</v>
      </c>
      <c r="N15" s="125">
        <f>'2. Consolidated'!AB13</f>
        <v>111</v>
      </c>
      <c r="O15" s="124">
        <f>'2. Consolidated'!AC13</f>
        <v>27</v>
      </c>
      <c r="P15" s="124">
        <f>'2. Consolidated'!AD13</f>
        <v>28</v>
      </c>
      <c r="Q15" s="124">
        <f>'2. Consolidated'!AE13</f>
        <v>29</v>
      </c>
      <c r="R15" s="124">
        <f>'2. Consolidated'!AF13</f>
        <v>31</v>
      </c>
      <c r="S15" s="125">
        <f>'2. Consolidated'!AG13</f>
        <v>115</v>
      </c>
      <c r="T15" s="124">
        <f>'2. Consolidated'!AH13</f>
        <v>32</v>
      </c>
      <c r="U15" s="124">
        <f>'2. Consolidated'!AI13</f>
        <v>31</v>
      </c>
      <c r="V15" s="124">
        <f>'2. Consolidated'!AJ13</f>
        <v>26</v>
      </c>
      <c r="W15" s="124">
        <f>'2. Consolidated'!AK13</f>
        <v>36</v>
      </c>
      <c r="X15" s="125">
        <f>'2. Consolidated'!AL13</f>
        <v>125</v>
      </c>
      <c r="Y15" s="124">
        <f>'2. Consolidated'!AM13</f>
        <v>29</v>
      </c>
      <c r="Z15" s="124">
        <f>'2. Consolidated'!AN13</f>
        <v>28</v>
      </c>
      <c r="AA15" s="124">
        <f>'2. Consolidated'!AO13</f>
        <v>28</v>
      </c>
      <c r="AB15" s="124">
        <f>'2. Consolidated'!AP13</f>
        <v>30</v>
      </c>
      <c r="AC15" s="125">
        <f>'2. Consolidated'!AQ13</f>
        <v>115</v>
      </c>
      <c r="AD15" s="124">
        <f>'2. Consolidated'!AR13</f>
        <v>26</v>
      </c>
      <c r="AE15" s="124">
        <f>'2. Consolidated'!AS13</f>
        <v>18</v>
      </c>
      <c r="AF15" s="124">
        <f>'2. Consolidated'!AT13</f>
        <v>17</v>
      </c>
      <c r="AG15" s="124">
        <f>'2. Consolidated'!AU13</f>
        <v>12</v>
      </c>
      <c r="AH15" s="125">
        <f>'2. Consolidated'!AV13</f>
        <v>73</v>
      </c>
      <c r="AI15" s="124">
        <f>'2. Consolidated'!AW13</f>
        <v>15</v>
      </c>
      <c r="AJ15" s="124">
        <f>'2. Consolidated'!AX13</f>
        <v>21</v>
      </c>
      <c r="AK15" s="124">
        <f>'2. Consolidated'!AY13</f>
        <v>19</v>
      </c>
      <c r="AL15" s="124">
        <f>'2. Consolidated'!AZ13</f>
        <v>18</v>
      </c>
      <c r="AM15" s="125">
        <f>'2. Consolidated'!BA13</f>
        <v>73</v>
      </c>
      <c r="AN15" s="124">
        <f>'2. Consolidated'!BB13</f>
        <v>20</v>
      </c>
      <c r="AO15" s="124">
        <f>'2. Consolidated'!BC13</f>
        <v>23</v>
      </c>
      <c r="AP15" s="124">
        <f>'2. Consolidated'!BD13</f>
        <v>21</v>
      </c>
      <c r="AQ15" s="124">
        <f>'2. Consolidated'!BE13</f>
        <v>24</v>
      </c>
      <c r="AR15" s="125">
        <f>'2. Consolidated'!BF13</f>
        <v>88</v>
      </c>
      <c r="AS15" s="124">
        <f>'2. Consolidated'!BG13</f>
        <v>16</v>
      </c>
      <c r="AT15" s="124">
        <f>'2. Consolidated'!BH13</f>
        <v>9</v>
      </c>
      <c r="AU15" s="124">
        <f>'2. Consolidated'!BI13</f>
        <v>8</v>
      </c>
      <c r="AV15" s="124">
        <f>'2. Consolidated'!BJ13</f>
        <v>9</v>
      </c>
      <c r="AW15" s="125">
        <f>'2. Consolidated'!BK13</f>
        <v>42</v>
      </c>
      <c r="AX15" s="124">
        <f>'2. Consolidated'!BL13</f>
        <v>6</v>
      </c>
      <c r="AY15" s="124">
        <f>'2. Consolidated'!BM13</f>
        <v>10</v>
      </c>
      <c r="AZ15" s="124">
        <f>'2. Consolidated'!BN13</f>
        <v>8</v>
      </c>
      <c r="BA15" s="124">
        <f>'2. Consolidated'!BO13</f>
        <v>6</v>
      </c>
      <c r="BB15" s="125">
        <f>'2. Consolidated'!BP13</f>
        <v>30</v>
      </c>
      <c r="BC15" s="124">
        <f>'2. Consolidated'!BQ13</f>
        <v>4</v>
      </c>
      <c r="BD15" s="124">
        <f>'2. Consolidated'!BR13</f>
        <v>8</v>
      </c>
      <c r="BE15" s="124">
        <f>'2. Consolidated'!BS13</f>
        <v>6</v>
      </c>
      <c r="BF15" s="124">
        <f>'2. Consolidated'!BT13</f>
        <v>7</v>
      </c>
      <c r="BG15" s="125">
        <f>'2. Consolidated'!BU13</f>
        <v>25</v>
      </c>
      <c r="BH15" s="124">
        <f>'2. Consolidated'!BV13</f>
        <v>7</v>
      </c>
      <c r="BI15" s="124">
        <f>'2. Consolidated'!BW13</f>
        <v>6</v>
      </c>
      <c r="BJ15" s="124">
        <f>'2. Consolidated'!BX13</f>
        <v>41</v>
      </c>
      <c r="BK15" s="124">
        <f>'2. Consolidated'!BY13</f>
        <v>48</v>
      </c>
      <c r="BL15" s="125">
        <f>'2. Consolidated'!BZ13</f>
        <v>102</v>
      </c>
      <c r="BM15" s="124">
        <f>'2. Consolidated'!CA13</f>
        <v>14</v>
      </c>
      <c r="BN15" s="124">
        <f>'2. Consolidated'!CB13</f>
        <v>18</v>
      </c>
      <c r="BO15" s="124">
        <f>'2. Consolidated'!CC13</f>
        <v>12</v>
      </c>
      <c r="BP15" s="124">
        <f>'2. Consolidated'!CD13</f>
        <v>14</v>
      </c>
      <c r="BQ15" s="125">
        <f>'2. Consolidated'!CE13</f>
        <v>58</v>
      </c>
      <c r="BR15" s="124">
        <f>'2. Consolidated'!CF13</f>
        <v>13</v>
      </c>
      <c r="BS15" s="124">
        <f>'2. Consolidated'!CG13</f>
        <v>12</v>
      </c>
      <c r="BT15" s="124">
        <f>'2. Consolidated'!CH13</f>
        <v>9</v>
      </c>
      <c r="BU15" s="124">
        <f>'2. Consolidated'!CI13</f>
        <v>11</v>
      </c>
      <c r="BV15" s="125">
        <f>'2. Consolidated'!CJ13</f>
        <v>45</v>
      </c>
      <c r="BW15" s="124">
        <f>'2. Consolidated'!CK13</f>
        <v>14</v>
      </c>
      <c r="BX15" s="124">
        <f>'2. Consolidated'!CL13</f>
        <v>13</v>
      </c>
      <c r="BY15" s="124">
        <f>'2. Consolidated'!CM13</f>
        <v>12</v>
      </c>
      <c r="BZ15" s="124">
        <f>'2. Consolidated'!CN13</f>
        <v>9</v>
      </c>
      <c r="CA15" s="125">
        <f>'2. Consolidated'!CO13</f>
        <v>48</v>
      </c>
      <c r="CB15" s="124">
        <f>'2. Consolidated'!CP13</f>
        <v>9</v>
      </c>
      <c r="CC15" s="124">
        <f>'2. Consolidated'!CQ13</f>
        <v>9</v>
      </c>
      <c r="CD15" s="124">
        <f>'2. Consolidated'!CR13</f>
        <v>7</v>
      </c>
      <c r="CE15" s="124">
        <f>'2. Consolidated'!CS13</f>
        <v>24</v>
      </c>
      <c r="CF15" s="125">
        <f>'2. Consolidated'!CT13</f>
        <v>49</v>
      </c>
      <c r="CG15" s="124">
        <f>'2. Consolidated'!CU13</f>
        <v>6</v>
      </c>
      <c r="CH15" s="124">
        <f>'2. Consolidated'!CV13</f>
        <v>9</v>
      </c>
      <c r="CI15" s="124">
        <f>'2. Consolidated'!CW13</f>
        <v>7</v>
      </c>
      <c r="CJ15" s="124">
        <f>'2. Consolidated'!CX13</f>
        <v>24</v>
      </c>
      <c r="CK15" s="125">
        <f>'2. Consolidated'!CY13</f>
        <v>46</v>
      </c>
      <c r="CL15" s="124">
        <f>'2. Consolidated'!CZ13</f>
        <v>6</v>
      </c>
      <c r="CM15" s="124">
        <f>'2. Consolidated'!DA13</f>
        <v>9</v>
      </c>
      <c r="CN15" s="124">
        <f>'2. Consolidated'!DB13</f>
        <v>7</v>
      </c>
      <c r="CO15" s="124">
        <f>'2. Consolidated'!DC13</f>
        <v>24</v>
      </c>
      <c r="CP15" s="125">
        <f>'2. Consolidated'!DD13</f>
        <v>46</v>
      </c>
      <c r="CQ15" s="124">
        <f>'2. Consolidated'!DE13</f>
        <v>6</v>
      </c>
      <c r="CR15" s="124">
        <f>'2. Consolidated'!DF13</f>
        <v>9</v>
      </c>
      <c r="CS15" s="124">
        <f>'2. Consolidated'!DG13</f>
        <v>7</v>
      </c>
      <c r="CT15" s="124">
        <f>'2. Consolidated'!DH13</f>
        <v>24</v>
      </c>
      <c r="CU15" s="125">
        <f>'2. Consolidated'!DI13</f>
        <v>46</v>
      </c>
    </row>
    <row r="16" spans="2:99" s="4" customFormat="1" ht="15" customHeight="1">
      <c r="B16" s="75" t="s">
        <v>302</v>
      </c>
      <c r="C16" s="75"/>
      <c r="D16" s="126">
        <f>'2. Consolidated'!R14</f>
        <v>4483</v>
      </c>
      <c r="E16" s="127">
        <f>'2. Consolidated'!S14</f>
        <v>4231</v>
      </c>
      <c r="F16" s="127">
        <f>'2. Consolidated'!T14</f>
        <v>4425</v>
      </c>
      <c r="G16" s="127">
        <f>'2. Consolidated'!U14</f>
        <v>5006</v>
      </c>
      <c r="H16" s="128">
        <f>'2. Consolidated'!V14</f>
        <v>18145</v>
      </c>
      <c r="I16" s="127">
        <f>'2. Consolidated'!W14</f>
        <v>5313</v>
      </c>
      <c r="J16" s="127">
        <f>'2. Consolidated'!X14</f>
        <v>5062</v>
      </c>
      <c r="K16" s="127">
        <f>'2. Consolidated'!Y14</f>
        <v>5101</v>
      </c>
      <c r="L16" s="127">
        <f>'2. Consolidated'!Z14</f>
        <v>5596</v>
      </c>
      <c r="M16" s="128">
        <f>'2. Consolidated'!AA14</f>
        <v>21072</v>
      </c>
      <c r="N16" s="128">
        <f>'2. Consolidated'!AB14</f>
        <v>21072</v>
      </c>
      <c r="O16" s="127">
        <f>'2. Consolidated'!AC14</f>
        <v>6067</v>
      </c>
      <c r="P16" s="127">
        <f>'2. Consolidated'!AD14</f>
        <v>5648</v>
      </c>
      <c r="Q16" s="127">
        <f>'2. Consolidated'!AE14</f>
        <v>5829</v>
      </c>
      <c r="R16" s="127">
        <f>'2. Consolidated'!AF14</f>
        <v>6337</v>
      </c>
      <c r="S16" s="128">
        <f>'2. Consolidated'!AG14</f>
        <v>23881</v>
      </c>
      <c r="T16" s="127">
        <f>'2. Consolidated'!AH14</f>
        <v>6468</v>
      </c>
      <c r="U16" s="127">
        <f>'2. Consolidated'!AI14</f>
        <v>6070</v>
      </c>
      <c r="V16" s="127">
        <f>'2. Consolidated'!AJ14</f>
        <v>6554</v>
      </c>
      <c r="W16" s="127">
        <f>'2. Consolidated'!AK14</f>
        <v>7020</v>
      </c>
      <c r="X16" s="128">
        <f>'2. Consolidated'!AL14</f>
        <v>26112</v>
      </c>
      <c r="Y16" s="127">
        <f>'2. Consolidated'!AM14</f>
        <v>7421</v>
      </c>
      <c r="Z16" s="127">
        <f>'2. Consolidated'!AN14</f>
        <v>6959</v>
      </c>
      <c r="AA16" s="127">
        <f>'2. Consolidated'!AO14</f>
        <v>6939</v>
      </c>
      <c r="AB16" s="127">
        <f>'2. Consolidated'!AP14</f>
        <v>7382</v>
      </c>
      <c r="AC16" s="128">
        <f>'2. Consolidated'!AQ14</f>
        <v>28701</v>
      </c>
      <c r="AD16" s="127">
        <f>'2. Consolidated'!AR14</f>
        <v>7898</v>
      </c>
      <c r="AE16" s="127">
        <f>'2. Consolidated'!AS14</f>
        <v>7317</v>
      </c>
      <c r="AF16" s="127">
        <f>'2. Consolidated'!AT14</f>
        <v>7567</v>
      </c>
      <c r="AG16" s="127">
        <f>'2. Consolidated'!AU14</f>
        <v>7725</v>
      </c>
      <c r="AH16" s="128">
        <f>'2. Consolidated'!AV14</f>
        <v>30507</v>
      </c>
      <c r="AI16" s="127">
        <f>'2. Consolidated'!AW14</f>
        <v>8459</v>
      </c>
      <c r="AJ16" s="127">
        <f>'2. Consolidated'!AX14</f>
        <v>7724</v>
      </c>
      <c r="AK16" s="127">
        <f>'2. Consolidated'!AY14</f>
        <v>7923</v>
      </c>
      <c r="AL16" s="127">
        <f>'2. Consolidated'!AZ14</f>
        <v>8127</v>
      </c>
      <c r="AM16" s="128">
        <f>'2. Consolidated'!BA14</f>
        <v>32233</v>
      </c>
      <c r="AN16" s="127">
        <f>'2. Consolidated'!BB14</f>
        <v>8585</v>
      </c>
      <c r="AO16" s="127">
        <f>'2. Consolidated'!BC14</f>
        <v>8136</v>
      </c>
      <c r="AP16" s="127">
        <f>'2. Consolidated'!BD14</f>
        <v>8495</v>
      </c>
      <c r="AQ16" s="127">
        <f>'2. Consolidated'!BE14</f>
        <v>9269</v>
      </c>
      <c r="AR16" s="128">
        <f>'2. Consolidated'!BF14</f>
        <v>34485</v>
      </c>
      <c r="AS16" s="127">
        <f>'2. Consolidated'!BG14</f>
        <v>9417</v>
      </c>
      <c r="AT16" s="127">
        <f>'2. Consolidated'!BH14</f>
        <v>8946</v>
      </c>
      <c r="AU16" s="127">
        <f>'2. Consolidated'!BI14</f>
        <v>9148</v>
      </c>
      <c r="AV16" s="127">
        <f>'2. Consolidated'!BJ14</f>
        <v>9707</v>
      </c>
      <c r="AW16" s="128">
        <f>'2. Consolidated'!BK14</f>
        <v>37218</v>
      </c>
      <c r="AX16" s="127">
        <f>'2. Consolidated'!BL14</f>
        <v>10096</v>
      </c>
      <c r="AY16" s="127">
        <f>'2. Consolidated'!BM14</f>
        <v>9844</v>
      </c>
      <c r="AZ16" s="127">
        <f>'2. Consolidated'!BN14</f>
        <v>9616</v>
      </c>
      <c r="BA16" s="127">
        <f>'2. Consolidated'!BO14</f>
        <v>6012</v>
      </c>
      <c r="BB16" s="128">
        <f>'2. Consolidated'!BP14</f>
        <v>35568</v>
      </c>
      <c r="BC16" s="127">
        <f>'2. Consolidated'!BQ14</f>
        <v>10018</v>
      </c>
      <c r="BD16" s="127">
        <f>'2. Consolidated'!BR14</f>
        <v>10741</v>
      </c>
      <c r="BE16" s="127">
        <f>'2. Consolidated'!BS14</f>
        <v>9773</v>
      </c>
      <c r="BF16" s="127">
        <f>'2. Consolidated'!BT14</f>
        <v>11761</v>
      </c>
      <c r="BG16" s="128">
        <f>'2. Consolidated'!BU14</f>
        <v>42293</v>
      </c>
      <c r="BH16" s="127">
        <f>'2. Consolidated'!BV14</f>
        <v>11640</v>
      </c>
      <c r="BI16" s="127">
        <f>'2. Consolidated'!BW14</f>
        <v>10816</v>
      </c>
      <c r="BJ16" s="127">
        <f>'2. Consolidated'!BX14</f>
        <v>10323</v>
      </c>
      <c r="BK16" s="127">
        <f>'2. Consolidated'!BY14</f>
        <v>11657</v>
      </c>
      <c r="BL16" s="128">
        <f>'2. Consolidated'!BZ14</f>
        <v>44436</v>
      </c>
      <c r="BM16" s="127">
        <f>'2. Consolidated'!CA14</f>
        <v>12048</v>
      </c>
      <c r="BN16" s="127">
        <f>'2. Consolidated'!CB14</f>
        <v>12724</v>
      </c>
      <c r="BO16" s="127">
        <f>'2. Consolidated'!CC14</f>
        <v>11766</v>
      </c>
      <c r="BP16" s="127">
        <f>'2. Consolidated'!CD14</f>
        <v>12225</v>
      </c>
      <c r="BQ16" s="128">
        <f>'2. Consolidated'!CE14</f>
        <v>48763</v>
      </c>
      <c r="BR16" s="127">
        <f>'2. Consolidated'!CF14</f>
        <v>12353</v>
      </c>
      <c r="BS16" s="127">
        <f>'2. Consolidated'!CG14</f>
        <v>12872</v>
      </c>
      <c r="BT16" s="127">
        <f>'2. Consolidated'!CH14</f>
        <v>11948</v>
      </c>
      <c r="BU16" s="127">
        <f>'2. Consolidated'!CI14</f>
        <v>12149</v>
      </c>
      <c r="BV16" s="128">
        <f>'2. Consolidated'!CJ14</f>
        <v>49322</v>
      </c>
      <c r="BW16" s="127">
        <f>'2. Consolidated'!CK14</f>
        <v>11111</v>
      </c>
      <c r="BX16" s="127">
        <f>'2. Consolidated'!CL14</f>
        <v>11950</v>
      </c>
      <c r="BY16" s="127">
        <f>'2. Consolidated'!CM14</f>
        <v>10890</v>
      </c>
      <c r="BZ16" s="127">
        <f>'2. Consolidated'!CN14</f>
        <v>10763</v>
      </c>
      <c r="CA16" s="128">
        <f>'2. Consolidated'!CO14</f>
        <v>44714</v>
      </c>
      <c r="CB16" s="127">
        <f>'2. Consolidated'!CP14</f>
        <v>11362</v>
      </c>
      <c r="CC16" s="127">
        <f>'2. Consolidated'!CQ14</f>
        <v>12124</v>
      </c>
      <c r="CD16" s="127">
        <f>'2. Consolidated'!CR14</f>
        <v>11012</v>
      </c>
      <c r="CE16" s="127">
        <f>'2. Consolidated'!CS14</f>
        <v>10724</v>
      </c>
      <c r="CF16" s="128">
        <f>'2. Consolidated'!CT14</f>
        <v>45222</v>
      </c>
      <c r="CG16" s="127">
        <f>'2. Consolidated'!CU14</f>
        <v>10952</v>
      </c>
      <c r="CH16" s="127">
        <f>'2. Consolidated'!CV14</f>
        <v>10653.097940000001</v>
      </c>
      <c r="CI16" s="127">
        <f>'2. Consolidated'!CW14</f>
        <v>10094.783209999998</v>
      </c>
      <c r="CJ16" s="127">
        <f>'2. Consolidated'!CX14</f>
        <v>9686.143369999998</v>
      </c>
      <c r="CK16" s="128">
        <f>'2. Consolidated'!CY14</f>
        <v>41386.024519999992</v>
      </c>
      <c r="CL16" s="127">
        <f>'2. Consolidated'!CZ14</f>
        <v>10078.382809999999</v>
      </c>
      <c r="CM16" s="127">
        <f>'2. Consolidated'!DA14</f>
        <v>10146.259180099998</v>
      </c>
      <c r="CN16" s="127">
        <f>'2. Consolidated'!DB14</f>
        <v>9818.6710706999984</v>
      </c>
      <c r="CO16" s="127">
        <f>'2. Consolidated'!DC14</f>
        <v>9436.5960167999965</v>
      </c>
      <c r="CP16" s="128">
        <f>'2. Consolidated'!DD14</f>
        <v>39479.909077599994</v>
      </c>
      <c r="CQ16" s="127">
        <f>'2. Consolidated'!DE14</f>
        <v>10084.204389799999</v>
      </c>
      <c r="CR16" s="127">
        <f>'2. Consolidated'!DF14</f>
        <v>10165.962353105997</v>
      </c>
      <c r="CS16" s="127">
        <f>'2. Consolidated'!DG14</f>
        <v>9887.7174743769992</v>
      </c>
      <c r="CT16" s="127">
        <f>'2. Consolidated'!DH14</f>
        <v>9505.3772653359993</v>
      </c>
      <c r="CU16" s="128">
        <f>'2. Consolidated'!DI14</f>
        <v>39643.261482618997</v>
      </c>
    </row>
    <row r="17" spans="2:99" s="23" customFormat="1" ht="15" customHeight="1">
      <c r="B17" s="160" t="s">
        <v>305</v>
      </c>
      <c r="C17" s="160"/>
      <c r="D17" s="161" t="str">
        <f>'3. Segment Analysis'!R16</f>
        <v>--</v>
      </c>
      <c r="E17" s="162" t="str">
        <f>'3. Segment Analysis'!S16</f>
        <v>--</v>
      </c>
      <c r="F17" s="162" t="str">
        <f>'3. Segment Analysis'!T16</f>
        <v>--</v>
      </c>
      <c r="G17" s="162" t="str">
        <f>'3. Segment Analysis'!U16</f>
        <v>--</v>
      </c>
      <c r="H17" s="163" t="str">
        <f>'3. Segment Analysis'!V16</f>
        <v>--</v>
      </c>
      <c r="I17" s="162" t="str">
        <f>'3. Segment Analysis'!W16</f>
        <v>--</v>
      </c>
      <c r="J17" s="162" t="str">
        <f>'3. Segment Analysis'!X16</f>
        <v>--</v>
      </c>
      <c r="K17" s="162" t="str">
        <f>'3. Segment Analysis'!Y16</f>
        <v>--</v>
      </c>
      <c r="L17" s="162" t="str">
        <f>'3. Segment Analysis'!Z16</f>
        <v>--</v>
      </c>
      <c r="M17" s="163" t="str">
        <f>'3. Segment Analysis'!AA16</f>
        <v>--</v>
      </c>
      <c r="N17" s="163">
        <f>'3. Segment Analysis'!AB16</f>
        <v>0</v>
      </c>
      <c r="O17" s="162" t="str">
        <f>'3. Segment Analysis'!AC16</f>
        <v>--</v>
      </c>
      <c r="P17" s="162" t="str">
        <f>'3. Segment Analysis'!AD16</f>
        <v>--</v>
      </c>
      <c r="Q17" s="162" t="str">
        <f>'3. Segment Analysis'!AE16</f>
        <v>--</v>
      </c>
      <c r="R17" s="162" t="str">
        <f>'3. Segment Analysis'!AF16</f>
        <v>--</v>
      </c>
      <c r="S17" s="163" t="str">
        <f>'3. Segment Analysis'!AG16</f>
        <v>--</v>
      </c>
      <c r="T17" s="162" t="str">
        <f>'3. Segment Analysis'!AH16</f>
        <v>--</v>
      </c>
      <c r="U17" s="162" t="str">
        <f>'3. Segment Analysis'!AI16</f>
        <v>--</v>
      </c>
      <c r="V17" s="162" t="str">
        <f>'3. Segment Analysis'!AJ16</f>
        <v>--</v>
      </c>
      <c r="W17" s="162" t="str">
        <f>'3. Segment Analysis'!AK16</f>
        <v>--</v>
      </c>
      <c r="X17" s="163" t="str">
        <f>'3. Segment Analysis'!AL16</f>
        <v>--</v>
      </c>
      <c r="Y17" s="162" t="str">
        <f>'3. Segment Analysis'!AM16</f>
        <v>--</v>
      </c>
      <c r="Z17" s="162" t="str">
        <f>'3. Segment Analysis'!AN16</f>
        <v>--</v>
      </c>
      <c r="AA17" s="162" t="str">
        <f>'3. Segment Analysis'!AO16</f>
        <v>--</v>
      </c>
      <c r="AB17" s="162" t="str">
        <f>'3. Segment Analysis'!AP16</f>
        <v>--</v>
      </c>
      <c r="AC17" s="163">
        <f>'3. Segment Analysis'!AQ16</f>
        <v>0.14000000000000001</v>
      </c>
      <c r="AD17" s="162">
        <f>'3. Segment Analysis'!AR16</f>
        <v>0.15</v>
      </c>
      <c r="AE17" s="162">
        <f>'3. Segment Analysis'!AS16</f>
        <v>0.13</v>
      </c>
      <c r="AF17" s="162">
        <f>'3. Segment Analysis'!AT16</f>
        <v>0.15</v>
      </c>
      <c r="AG17" s="162">
        <f>'3. Segment Analysis'!AU16</f>
        <v>0.09</v>
      </c>
      <c r="AH17" s="163">
        <f>'3. Segment Analysis'!AV16</f>
        <v>0.13</v>
      </c>
      <c r="AI17" s="162">
        <f>'3. Segment Analysis'!AW16</f>
        <v>0.1</v>
      </c>
      <c r="AJ17" s="162">
        <f>'3. Segment Analysis'!AX16</f>
        <v>8.1200176507208566E-2</v>
      </c>
      <c r="AK17" s="162">
        <f>'3. Segment Analysis'!AY16</f>
        <v>7.0000000000000007E-2</v>
      </c>
      <c r="AL17" s="162">
        <f>'3. Segment Analysis'!AZ16</f>
        <v>7.0000000000000007E-2</v>
      </c>
      <c r="AM17" s="163">
        <f>'3. Segment Analysis'!BA16</f>
        <v>0.08</v>
      </c>
      <c r="AN17" s="162">
        <f>'3. Segment Analysis'!BB16</f>
        <v>0.02</v>
      </c>
      <c r="AO17" s="162">
        <f>'3. Segment Analysis'!BC16</f>
        <v>0.04</v>
      </c>
      <c r="AP17" s="162">
        <f>'3. Segment Analysis'!BD16</f>
        <v>0.04</v>
      </c>
      <c r="AQ17" s="162">
        <f>'3. Segment Analysis'!BE16</f>
        <v>0.09</v>
      </c>
      <c r="AR17" s="163">
        <f>'3. Segment Analysis'!BF16</f>
        <v>4.790494214004281E-2</v>
      </c>
      <c r="AS17" s="162">
        <f>'3. Segment Analysis'!BG16</f>
        <v>0.1</v>
      </c>
      <c r="AT17" s="162">
        <f>'3. Segment Analysis'!BH16</f>
        <v>0.14000000000000001</v>
      </c>
      <c r="AU17" s="162">
        <f>'3. Segment Analysis'!BI16</f>
        <v>0.12</v>
      </c>
      <c r="AV17" s="162">
        <f>'3. Segment Analysis'!BJ16</f>
        <v>0.1</v>
      </c>
      <c r="AW17" s="163">
        <f>'3. Segment Analysis'!BK16</f>
        <v>0.1153733507322024</v>
      </c>
      <c r="AX17" s="162">
        <f>'3. Segment Analysis'!BL16</f>
        <v>0.1</v>
      </c>
      <c r="AY17" s="162">
        <f>'3. Segment Analysis'!BM16</f>
        <v>0.12</v>
      </c>
      <c r="AZ17" s="162">
        <f>'3. Segment Analysis'!BN16</f>
        <v>0.06</v>
      </c>
      <c r="BA17" s="162">
        <f>'3. Segment Analysis'!BO16</f>
        <v>-0.36</v>
      </c>
      <c r="BB17" s="163">
        <f>'3. Segment Analysis'!BP16</f>
        <v>-2.2481863614380131E-2</v>
      </c>
      <c r="BC17" s="162">
        <f>'3. Segment Analysis'!BQ16</f>
        <v>0</v>
      </c>
      <c r="BD17" s="162">
        <f>'3. Segment Analysis'!BR16</f>
        <v>0.08</v>
      </c>
      <c r="BE17" s="162">
        <f>'3. Segment Analysis'!BS16</f>
        <v>-0.02</v>
      </c>
      <c r="BF17" s="162">
        <f>'3. Segment Analysis'!BT16</f>
        <v>0.88</v>
      </c>
      <c r="BG17" s="163">
        <f>'3. Segment Analysis'!BU16</f>
        <v>0.16847672064777328</v>
      </c>
      <c r="BH17" s="162">
        <f>'3. Segment Analysis'!BV16</f>
        <v>0.12</v>
      </c>
      <c r="BI17" s="162">
        <f>'3. Segment Analysis'!BW16</f>
        <v>0</v>
      </c>
      <c r="BJ17" s="162">
        <f>'3. Segment Analysis'!BX16</f>
        <v>0.08</v>
      </c>
      <c r="BK17" s="162">
        <f>'3. Segment Analysis'!BY16</f>
        <v>0.03</v>
      </c>
      <c r="BL17" s="163">
        <f>'3. Segment Analysis'!BZ16</f>
        <v>5.5277232638970983E-2</v>
      </c>
      <c r="BM17" s="162">
        <f>'3. Segment Analysis'!CA16</f>
        <v>0.1</v>
      </c>
      <c r="BN17" s="162">
        <f>'3. Segment Analysis'!CB16</f>
        <v>0.28000000000000003</v>
      </c>
      <c r="BO17" s="162">
        <f>'3. Segment Analysis'!CC16</f>
        <v>0.19</v>
      </c>
      <c r="BP17" s="162">
        <f>'3. Segment Analysis'!CD16</f>
        <v>0.08</v>
      </c>
      <c r="BQ17" s="163">
        <f>'3. Segment Analysis'!CE16</f>
        <v>0.159970969484202</v>
      </c>
      <c r="BR17" s="162">
        <f>'3. Segment Analysis'!CF16</f>
        <v>0.03</v>
      </c>
      <c r="BS17" s="162">
        <f>'3. Segment Analysis'!CG16</f>
        <v>0</v>
      </c>
      <c r="BT17" s="162">
        <f>'3. Segment Analysis'!CH16</f>
        <v>0.02</v>
      </c>
      <c r="BU17" s="162">
        <f>'3. Segment Analysis'!CI16</f>
        <v>0.01</v>
      </c>
      <c r="BV17" s="163">
        <f>'3. Segment Analysis'!CJ16</f>
        <v>1.5908373151774912E-2</v>
      </c>
      <c r="BW17" s="162">
        <f>'3. Segment Analysis'!CK16</f>
        <v>-0.09</v>
      </c>
      <c r="BX17" s="162">
        <f>'3. Segment Analysis'!CL16</f>
        <v>-0.08</v>
      </c>
      <c r="BY17" s="162">
        <f>'3. Segment Analysis'!CM16</f>
        <v>-0.06</v>
      </c>
      <c r="BZ17" s="162">
        <f>'3. Segment Analysis'!CN16</f>
        <v>-0.11</v>
      </c>
      <c r="CA17" s="163">
        <f>'3. Segment Analysis'!CO16</f>
        <v>-8.6392279307408462E-2</v>
      </c>
      <c r="CB17" s="162">
        <f>'3. Segment Analysis'!CP16</f>
        <v>0</v>
      </c>
      <c r="CC17" s="162">
        <f>'3. Segment Analysis'!CQ16</f>
        <v>0.01</v>
      </c>
      <c r="CD17" s="162">
        <f>'3. Segment Analysis'!CR16</f>
        <v>-0.02</v>
      </c>
      <c r="CE17" s="162">
        <f>'3. Segment Analysis'!CS16</f>
        <v>-0.03</v>
      </c>
      <c r="CF17" s="163">
        <f>'3. Segment Analysis'!CT16</f>
        <v>-8.8580757704522124E-3</v>
      </c>
      <c r="CG17" s="162">
        <f>'3. Segment Analysis'!CU16</f>
        <v>-0.04</v>
      </c>
      <c r="CH17" s="162">
        <f>'3. Segment Analysis'!CV16</f>
        <v>-0.12120669745958428</v>
      </c>
      <c r="CI17" s="162">
        <f>'3. Segment Analysis'!CW16</f>
        <v>-7.875771885216136E-2</v>
      </c>
      <c r="CJ17" s="162">
        <f>'3. Segment Analysis'!CX16</f>
        <v>-9.089798582618433E-2</v>
      </c>
      <c r="CK17" s="163">
        <f>'3. Segment Analysis'!CY16</f>
        <v>-8.3451638582990609E-2</v>
      </c>
      <c r="CL17" s="162">
        <f>'3. Segment Analysis'!CZ16</f>
        <v>-7.7510043827611438E-2</v>
      </c>
      <c r="CM17" s="162">
        <f>'3. Segment Analysis'!DA16</f>
        <v>-4.7576654486291323E-2</v>
      </c>
      <c r="CN17" s="162">
        <f>'3. Segment Analysis'!DB16</f>
        <v>-2.7351963242408291E-2</v>
      </c>
      <c r="CO17" s="162">
        <f>'3. Segment Analysis'!DC16</f>
        <v>-2.5763334659375497E-2</v>
      </c>
      <c r="CP17" s="163">
        <f>'3. Segment Analysis'!DD16</f>
        <v>-4.5459506541654274E-2</v>
      </c>
      <c r="CQ17" s="162">
        <f>'3. Segment Analysis'!DE16</f>
        <v>5.776303509947672E-4</v>
      </c>
      <c r="CR17" s="162">
        <f>'3. Segment Analysis'!DF16</f>
        <v>1.941915010868607E-3</v>
      </c>
      <c r="CS17" s="162">
        <f>'3. Segment Analysis'!DG16</f>
        <v>7.0321536570302429E-3</v>
      </c>
      <c r="CT17" s="162">
        <f>'3. Segment Analysis'!DH16</f>
        <v>7.2887774800944423E-3</v>
      </c>
      <c r="CU17" s="163">
        <f>'3. Segment Analysis'!DI16</f>
        <v>4.1376084402302421E-3</v>
      </c>
    </row>
    <row r="18" spans="2:99" ht="15" customHeight="1">
      <c r="B18" s="166" t="s">
        <v>100</v>
      </c>
      <c r="C18" s="166"/>
      <c r="D18" s="123">
        <f>'2. Consolidated'!R15</f>
        <v>694</v>
      </c>
      <c r="E18" s="124">
        <f>'2. Consolidated'!S15</f>
        <v>639</v>
      </c>
      <c r="F18" s="124">
        <f>'2. Consolidated'!T15</f>
        <v>680</v>
      </c>
      <c r="G18" s="124">
        <f>'2. Consolidated'!U15</f>
        <v>773</v>
      </c>
      <c r="H18" s="125">
        <f>'2. Consolidated'!V15</f>
        <v>2786</v>
      </c>
      <c r="I18" s="124">
        <f>'2. Consolidated'!W15</f>
        <v>773</v>
      </c>
      <c r="J18" s="124">
        <f>'2. Consolidated'!X15</f>
        <v>673</v>
      </c>
      <c r="K18" s="124">
        <f>'2. Consolidated'!Y15</f>
        <v>753</v>
      </c>
      <c r="L18" s="124">
        <f>'2. Consolidated'!Z15</f>
        <v>896</v>
      </c>
      <c r="M18" s="125">
        <f>'2. Consolidated'!AA15</f>
        <v>3095</v>
      </c>
      <c r="N18" s="125">
        <f>'2. Consolidated'!AB15</f>
        <v>3095</v>
      </c>
      <c r="O18" s="124">
        <f>'2. Consolidated'!AC15</f>
        <v>418</v>
      </c>
      <c r="P18" s="124">
        <f>'2. Consolidated'!AD15</f>
        <v>316</v>
      </c>
      <c r="Q18" s="124">
        <f>'2. Consolidated'!AE15</f>
        <v>361</v>
      </c>
      <c r="R18" s="124">
        <f>'2. Consolidated'!AF15</f>
        <v>354</v>
      </c>
      <c r="S18" s="125">
        <f>'2. Consolidated'!AG15</f>
        <v>1449</v>
      </c>
      <c r="T18" s="124">
        <f>'2. Consolidated'!AH15</f>
        <v>494</v>
      </c>
      <c r="U18" s="124">
        <f>'2. Consolidated'!AI15</f>
        <v>360</v>
      </c>
      <c r="V18" s="124">
        <f>'2. Consolidated'!AJ15</f>
        <v>420</v>
      </c>
      <c r="W18" s="124">
        <f>'2. Consolidated'!AK15</f>
        <v>410</v>
      </c>
      <c r="X18" s="125">
        <f>'2. Consolidated'!AL15</f>
        <v>1684</v>
      </c>
      <c r="Y18" s="124">
        <f>'2. Consolidated'!AM15</f>
        <v>575</v>
      </c>
      <c r="Z18" s="124">
        <f>'2. Consolidated'!AN15</f>
        <v>434</v>
      </c>
      <c r="AA18" s="124">
        <f>'2. Consolidated'!AO15</f>
        <v>538</v>
      </c>
      <c r="AB18" s="124">
        <f>'2. Consolidated'!AP15</f>
        <v>435</v>
      </c>
      <c r="AC18" s="125">
        <f>'2. Consolidated'!AQ15</f>
        <v>1982</v>
      </c>
      <c r="AD18" s="124">
        <f>'2. Consolidated'!AR15</f>
        <v>555</v>
      </c>
      <c r="AE18" s="124">
        <f>'2. Consolidated'!AS15</f>
        <v>398</v>
      </c>
      <c r="AF18" s="124">
        <f>'2. Consolidated'!AT15</f>
        <v>489</v>
      </c>
      <c r="AG18" s="124">
        <f>'2. Consolidated'!AU15</f>
        <v>513</v>
      </c>
      <c r="AH18" s="125">
        <f>'2. Consolidated'!AV15</f>
        <v>1955</v>
      </c>
      <c r="AI18" s="124">
        <f>'2. Consolidated'!AW15</f>
        <v>574</v>
      </c>
      <c r="AJ18" s="124">
        <f>'2. Consolidated'!AX15</f>
        <v>416</v>
      </c>
      <c r="AK18" s="124">
        <f>'2. Consolidated'!AY15</f>
        <v>498</v>
      </c>
      <c r="AL18" s="124">
        <f>'2. Consolidated'!AZ15</f>
        <v>554</v>
      </c>
      <c r="AM18" s="125">
        <f>'2. Consolidated'!BA15</f>
        <v>2042</v>
      </c>
      <c r="AN18" s="124">
        <f>'2. Consolidated'!BB15</f>
        <v>483</v>
      </c>
      <c r="AO18" s="124">
        <f>'2. Consolidated'!BC15</f>
        <v>408</v>
      </c>
      <c r="AP18" s="124">
        <f>'2. Consolidated'!BD15</f>
        <v>483</v>
      </c>
      <c r="AQ18" s="124">
        <f>'2. Consolidated'!BE15</f>
        <v>512</v>
      </c>
      <c r="AR18" s="125">
        <f>'2. Consolidated'!BF15</f>
        <v>1886</v>
      </c>
      <c r="AS18" s="124">
        <f>'2. Consolidated'!BG15</f>
        <v>527</v>
      </c>
      <c r="AT18" s="124">
        <f>'2. Consolidated'!BH15</f>
        <v>425</v>
      </c>
      <c r="AU18" s="124">
        <f>'2. Consolidated'!BI15</f>
        <v>463</v>
      </c>
      <c r="AV18" s="124">
        <f>'2. Consolidated'!BJ15</f>
        <v>491</v>
      </c>
      <c r="AW18" s="125">
        <f>'2. Consolidated'!BK15</f>
        <v>1906</v>
      </c>
      <c r="AX18" s="124">
        <f>'2. Consolidated'!BL15</f>
        <v>555</v>
      </c>
      <c r="AY18" s="124">
        <f>'2. Consolidated'!BM15</f>
        <v>480</v>
      </c>
      <c r="AZ18" s="124">
        <f>'2. Consolidated'!BN15</f>
        <v>506</v>
      </c>
      <c r="BA18" s="124">
        <f>'2. Consolidated'!BO15</f>
        <v>305</v>
      </c>
      <c r="BB18" s="125">
        <f>'2. Consolidated'!BP15</f>
        <v>1846</v>
      </c>
      <c r="BC18" s="124">
        <f>'2. Consolidated'!BQ15</f>
        <v>563</v>
      </c>
      <c r="BD18" s="124">
        <f>'2. Consolidated'!BR15</f>
        <v>476</v>
      </c>
      <c r="BE18" s="124">
        <f>'2. Consolidated'!BS15</f>
        <v>570</v>
      </c>
      <c r="BF18" s="124">
        <f>'2. Consolidated'!BT15</f>
        <v>596</v>
      </c>
      <c r="BG18" s="125">
        <f>'2. Consolidated'!BU15</f>
        <v>2205</v>
      </c>
      <c r="BH18" s="124">
        <f>'2. Consolidated'!BV15</f>
        <v>629</v>
      </c>
      <c r="BI18" s="124">
        <f>'2. Consolidated'!BW15</f>
        <v>557</v>
      </c>
      <c r="BJ18" s="124">
        <f>'2. Consolidated'!BX15</f>
        <v>567</v>
      </c>
      <c r="BK18" s="124">
        <f>'2. Consolidated'!BY15</f>
        <v>593</v>
      </c>
      <c r="BL18" s="125">
        <f>'2. Consolidated'!BZ15</f>
        <v>2346</v>
      </c>
      <c r="BM18" s="124">
        <f>'2. Consolidated'!CA15</f>
        <v>643</v>
      </c>
      <c r="BN18" s="124">
        <f>'2. Consolidated'!CB15</f>
        <v>586</v>
      </c>
      <c r="BO18" s="124">
        <f>'2. Consolidated'!CC15</f>
        <v>612</v>
      </c>
      <c r="BP18" s="124">
        <f>'2. Consolidated'!CD15</f>
        <v>586</v>
      </c>
      <c r="BQ18" s="125">
        <f>'2. Consolidated'!CE15</f>
        <v>2427</v>
      </c>
      <c r="BR18" s="124">
        <f>'2. Consolidated'!CF15</f>
        <v>588</v>
      </c>
      <c r="BS18" s="124">
        <f>'2. Consolidated'!CG15</f>
        <v>519</v>
      </c>
      <c r="BT18" s="124">
        <f>'2. Consolidated'!CH15</f>
        <v>495</v>
      </c>
      <c r="BU18" s="124">
        <f>'2. Consolidated'!CI15</f>
        <v>480</v>
      </c>
      <c r="BV18" s="125">
        <f>'2. Consolidated'!CJ15</f>
        <v>2082</v>
      </c>
      <c r="BW18" s="124">
        <f>'2. Consolidated'!CK15</f>
        <v>501</v>
      </c>
      <c r="BX18" s="124">
        <f>'2. Consolidated'!CL15</f>
        <v>429</v>
      </c>
      <c r="BY18" s="124">
        <f>'2. Consolidated'!CM15</f>
        <v>405</v>
      </c>
      <c r="BZ18" s="124">
        <f>'2. Consolidated'!CN15</f>
        <v>357</v>
      </c>
      <c r="CA18" s="125">
        <f>'2. Consolidated'!CO15</f>
        <v>1692</v>
      </c>
      <c r="CB18" s="124">
        <f>'2. Consolidated'!CP15</f>
        <v>366</v>
      </c>
      <c r="CC18" s="124">
        <f>'2. Consolidated'!CQ15</f>
        <v>300</v>
      </c>
      <c r="CD18" s="124">
        <f>'2. Consolidated'!CR15</f>
        <v>264</v>
      </c>
      <c r="CE18" s="124">
        <f>'2. Consolidated'!CS15</f>
        <v>244</v>
      </c>
      <c r="CF18" s="125">
        <f>'2. Consolidated'!CT15</f>
        <v>1174</v>
      </c>
      <c r="CG18" s="124">
        <f>'2. Consolidated'!CU15</f>
        <v>263</v>
      </c>
      <c r="CH18" s="124">
        <f>'2. Consolidated'!CV15</f>
        <v>225</v>
      </c>
      <c r="CI18" s="124">
        <f>'2. Consolidated'!CW15</f>
        <v>211.20000000000002</v>
      </c>
      <c r="CJ18" s="124">
        <f>'2. Consolidated'!CX15</f>
        <v>195.20000000000002</v>
      </c>
      <c r="CK18" s="125">
        <f>'2. Consolidated'!CY15</f>
        <v>894.40000000000009</v>
      </c>
      <c r="CL18" s="124">
        <f>'2. Consolidated'!CZ15</f>
        <v>249.85</v>
      </c>
      <c r="CM18" s="124">
        <f>'2. Consolidated'!DA15</f>
        <v>213.75</v>
      </c>
      <c r="CN18" s="124">
        <f>'2. Consolidated'!DB15</f>
        <v>206.976</v>
      </c>
      <c r="CO18" s="124">
        <f>'2. Consolidated'!DC15</f>
        <v>191.29600000000002</v>
      </c>
      <c r="CP18" s="125">
        <f>'2. Consolidated'!DD15</f>
        <v>861.87200000000007</v>
      </c>
      <c r="CQ18" s="124">
        <f>'2. Consolidated'!DE15</f>
        <v>249.85</v>
      </c>
      <c r="CR18" s="124">
        <f>'2. Consolidated'!DF15</f>
        <v>213.75</v>
      </c>
      <c r="CS18" s="124">
        <f>'2. Consolidated'!DG15</f>
        <v>206.976</v>
      </c>
      <c r="CT18" s="124">
        <f>'2. Consolidated'!DH15</f>
        <v>191.29600000000002</v>
      </c>
      <c r="CU18" s="125">
        <f>'2. Consolidated'!DI15</f>
        <v>861.87200000000007</v>
      </c>
    </row>
    <row r="19" spans="2:99" s="23" customFormat="1" ht="15" customHeight="1">
      <c r="B19" s="160" t="s">
        <v>305</v>
      </c>
      <c r="C19" s="160"/>
      <c r="D19" s="161">
        <f>'3. Segment Analysis'!R485</f>
        <v>0</v>
      </c>
      <c r="E19" s="162">
        <f>'3. Segment Analysis'!S485</f>
        <v>0</v>
      </c>
      <c r="F19" s="162">
        <f>'3. Segment Analysis'!T485</f>
        <v>0</v>
      </c>
      <c r="G19" s="162">
        <f>'3. Segment Analysis'!U485</f>
        <v>0</v>
      </c>
      <c r="H19" s="163">
        <f>'3. Segment Analysis'!V485</f>
        <v>0</v>
      </c>
      <c r="I19" s="162">
        <f>'3. Segment Analysis'!W485</f>
        <v>0</v>
      </c>
      <c r="J19" s="162">
        <f>'3. Segment Analysis'!X485</f>
        <v>0</v>
      </c>
      <c r="K19" s="162">
        <f>'3. Segment Analysis'!Y485</f>
        <v>0</v>
      </c>
      <c r="L19" s="162">
        <f>'3. Segment Analysis'!Z485</f>
        <v>0</v>
      </c>
      <c r="M19" s="163">
        <f>'3. Segment Analysis'!AA485</f>
        <v>0</v>
      </c>
      <c r="N19" s="163">
        <f>'3. Segment Analysis'!AB485</f>
        <v>0</v>
      </c>
      <c r="O19" s="162">
        <f>'3. Segment Analysis'!AC485</f>
        <v>8.5470085470085388E-2</v>
      </c>
      <c r="P19" s="162">
        <f>'3. Segment Analysis'!AD485</f>
        <v>6.1475409836065475E-2</v>
      </c>
      <c r="Q19" s="162">
        <f>'3. Segment Analysis'!AE485</f>
        <v>9.2362344582593181E-2</v>
      </c>
      <c r="R19" s="162">
        <f>'3. Segment Analysis'!AF485</f>
        <v>0.10574018126888207</v>
      </c>
      <c r="S19" s="163">
        <f>'3. Segment Analysis'!AG485</f>
        <v>8.7797536276464958E-2</v>
      </c>
      <c r="T19" s="162">
        <f>'3. Segment Analysis'!AH485</f>
        <v>0.18181818181818188</v>
      </c>
      <c r="U19" s="162">
        <f>'3. Segment Analysis'!AI485</f>
        <v>0.09</v>
      </c>
      <c r="V19" s="162">
        <f>'3. Segment Analysis'!AJ485</f>
        <v>0.16</v>
      </c>
      <c r="W19" s="162">
        <f>'3. Segment Analysis'!AK485</f>
        <v>0.15</v>
      </c>
      <c r="X19" s="163">
        <f>'3. Segment Analysis'!AL485</f>
        <v>0.14858523119392686</v>
      </c>
      <c r="Y19" s="162">
        <f>'3. Segment Analysis'!AM485</f>
        <v>0.16396761133603244</v>
      </c>
      <c r="Z19" s="162">
        <f>'3. Segment Analysis'!AN485</f>
        <v>0.24</v>
      </c>
      <c r="AA19" s="162">
        <f>'3. Segment Analysis'!AO485</f>
        <v>0.33</v>
      </c>
      <c r="AB19" s="162">
        <f>'3. Segment Analysis'!AP485</f>
        <v>0.14000000000000001</v>
      </c>
      <c r="AC19" s="163">
        <f>'3. Segment Analysis'!AQ485</f>
        <v>0.21579572446555817</v>
      </c>
      <c r="AD19" s="162">
        <f>'3. Segment Analysis'!AR485</f>
        <v>0.03</v>
      </c>
      <c r="AE19" s="162">
        <f>'3. Segment Analysis'!AS485</f>
        <v>-0.05</v>
      </c>
      <c r="AF19" s="162">
        <f>'3. Segment Analysis'!AT485</f>
        <v>-0.05</v>
      </c>
      <c r="AG19" s="162">
        <f>'3. Segment Analysis'!AU485</f>
        <v>0.18</v>
      </c>
      <c r="AH19" s="163">
        <f>'3. Segment Analysis'!AV485</f>
        <v>2.3688193743693232E-2</v>
      </c>
      <c r="AI19" s="162">
        <f>'3. Segment Analysis'!AW485</f>
        <v>0.04</v>
      </c>
      <c r="AJ19" s="162">
        <f>'3. Segment Analysis'!AX485</f>
        <v>0.05</v>
      </c>
      <c r="AK19" s="162">
        <f>'3. Segment Analysis'!AY485</f>
        <v>0.03</v>
      </c>
      <c r="AL19" s="162">
        <f>'3. Segment Analysis'!AZ485</f>
        <v>0.1</v>
      </c>
      <c r="AM19" s="163">
        <f>'3. Segment Analysis'!BA485</f>
        <v>5.5278772378516625E-2</v>
      </c>
      <c r="AN19" s="162">
        <f>'3. Segment Analysis'!BB485</f>
        <v>-0.16</v>
      </c>
      <c r="AO19" s="162">
        <f>'3. Segment Analysis'!BC485</f>
        <v>-0.04</v>
      </c>
      <c r="AP19" s="162">
        <f>'3. Segment Analysis'!BD485</f>
        <v>-0.08</v>
      </c>
      <c r="AQ19" s="162">
        <f>'3. Segment Analysis'!BE485</f>
        <v>-0.14000000000000001</v>
      </c>
      <c r="AR19" s="163">
        <f>'3. Segment Analysis'!BF485</f>
        <v>-0.11061704211557297</v>
      </c>
      <c r="AS19" s="162">
        <f>'3. Segment Analysis'!BG485</f>
        <v>7.0000000000000007E-2</v>
      </c>
      <c r="AT19" s="162">
        <f>'3. Segment Analysis'!BH485</f>
        <v>0.06</v>
      </c>
      <c r="AU19" s="162">
        <f>'3. Segment Analysis'!BI485</f>
        <v>-0.02</v>
      </c>
      <c r="AV19" s="162">
        <f>'3. Segment Analysis'!BJ485</f>
        <v>0</v>
      </c>
      <c r="AW19" s="163">
        <f>'3. Segment Analysis'!BK485</f>
        <v>2.5784729586426303E-2</v>
      </c>
      <c r="AX19" s="162">
        <f>'3. Segment Analysis'!BL485</f>
        <v>0.08</v>
      </c>
      <c r="AY19" s="162">
        <f>'3. Segment Analysis'!BM485</f>
        <v>0.15</v>
      </c>
      <c r="AZ19" s="162">
        <f>'3. Segment Analysis'!BN485</f>
        <v>0.11</v>
      </c>
      <c r="BA19" s="162">
        <f>'3. Segment Analysis'!BO485</f>
        <v>-0.36</v>
      </c>
      <c r="BB19" s="163">
        <f>'3. Segment Analysis'!BP485</f>
        <v>-1.045120671563483E-2</v>
      </c>
      <c r="BC19" s="162">
        <f>'3. Segment Analysis'!BQ485</f>
        <v>0.02</v>
      </c>
      <c r="BD19" s="162">
        <f>'3. Segment Analysis'!BR485</f>
        <v>-0.04</v>
      </c>
      <c r="BE19" s="162">
        <f>'3. Segment Analysis'!BS485</f>
        <v>0.08</v>
      </c>
      <c r="BF19" s="162">
        <f>'3. Segment Analysis'!BT485</f>
        <v>0.85</v>
      </c>
      <c r="BG19" s="163">
        <f>'3. Segment Analysis'!BU485</f>
        <v>0.15797941495124593</v>
      </c>
      <c r="BH19" s="162">
        <f>'3. Segment Analysis'!BV485</f>
        <v>7.0000000000000007E-2</v>
      </c>
      <c r="BI19" s="162">
        <f>'3. Segment Analysis'!BW485</f>
        <v>0.16</v>
      </c>
      <c r="BJ19" s="162">
        <f>'3. Segment Analysis'!BX485</f>
        <v>0.02</v>
      </c>
      <c r="BK19" s="162">
        <f>'3. Segment Analysis'!BY485</f>
        <v>0.03</v>
      </c>
      <c r="BL19" s="163">
        <f>'3. Segment Analysis'!BZ485</f>
        <v>6.5691609977324261E-2</v>
      </c>
      <c r="BM19" s="162">
        <f>'3. Segment Analysis'!CA485</f>
        <v>0.08</v>
      </c>
      <c r="BN19" s="162">
        <f>'3. Segment Analysis'!CB485</f>
        <v>0.12</v>
      </c>
      <c r="BO19" s="162">
        <f>'3. Segment Analysis'!CC485</f>
        <v>0.12</v>
      </c>
      <c r="BP19" s="162">
        <f>'3. Segment Analysis'!CD485</f>
        <v>0.01</v>
      </c>
      <c r="BQ19" s="163">
        <f>'3. Segment Analysis'!CE485</f>
        <v>8.1470588235294114E-2</v>
      </c>
      <c r="BR19" s="162">
        <f>'3. Segment Analysis'!CF485</f>
        <v>-0.09</v>
      </c>
      <c r="BS19" s="162">
        <f>'3. Segment Analysis'!CG485</f>
        <v>-0.13</v>
      </c>
      <c r="BT19" s="162">
        <f>'3. Segment Analysis'!CH485</f>
        <v>-0.2</v>
      </c>
      <c r="BU19" s="162">
        <f>'3. Segment Analysis'!CI485</f>
        <v>-0.17</v>
      </c>
      <c r="BV19" s="163">
        <f>'3. Segment Analysis'!CJ485</f>
        <v>-0.14671199011124847</v>
      </c>
      <c r="BW19" s="162">
        <f>'3. Segment Analysis'!CK485</f>
        <v>-0.14000000000000001</v>
      </c>
      <c r="BX19" s="162">
        <f>'3. Segment Analysis'!CL485</f>
        <v>-0.18</v>
      </c>
      <c r="BY19" s="162">
        <f>'3. Segment Analysis'!CM485</f>
        <v>-0.16</v>
      </c>
      <c r="BZ19" s="162">
        <f>'3. Segment Analysis'!CN485</f>
        <v>-0.26</v>
      </c>
      <c r="CA19" s="163">
        <f>'3. Segment Analysis'!CO485</f>
        <v>-0.18239193083573488</v>
      </c>
      <c r="CB19" s="162">
        <f>'3. Segment Analysis'!CP485</f>
        <v>-0.28000000000000003</v>
      </c>
      <c r="CC19" s="162">
        <f>'3. Segment Analysis'!CQ485</f>
        <v>-0.31</v>
      </c>
      <c r="CD19" s="162">
        <f>'3. Segment Analysis'!CR485</f>
        <v>-0.37</v>
      </c>
      <c r="CE19" s="162">
        <f>'3. Segment Analysis'!CS485</f>
        <v>-0.34</v>
      </c>
      <c r="CF19" s="163">
        <f>'3. Segment Analysis'!CT485</f>
        <v>-0.32180851063829785</v>
      </c>
      <c r="CG19" s="162">
        <f>'3. Segment Analysis'!CU485</f>
        <v>-0.28000000000000003</v>
      </c>
      <c r="CH19" s="162">
        <f>'3. Segment Analysis'!CV485</f>
        <v>-0.25</v>
      </c>
      <c r="CI19" s="162">
        <f>'3. Segment Analysis'!CW485</f>
        <v>-0.2</v>
      </c>
      <c r="CJ19" s="162">
        <f>'3. Segment Analysis'!CX485</f>
        <v>-0.2</v>
      </c>
      <c r="CK19" s="163">
        <f>'3. Segment Analysis'!CY485</f>
        <v>-0.23771720613287908</v>
      </c>
      <c r="CL19" s="162">
        <f>'3. Segment Analysis'!CZ485</f>
        <v>-0.05</v>
      </c>
      <c r="CM19" s="162">
        <f>'3. Segment Analysis'!DA485</f>
        <v>-0.05</v>
      </c>
      <c r="CN19" s="162">
        <f>'3. Segment Analysis'!DB485</f>
        <v>-0.02</v>
      </c>
      <c r="CO19" s="162">
        <f>'3. Segment Analysis'!DC485</f>
        <v>-0.02</v>
      </c>
      <c r="CP19" s="163">
        <f>'3. Segment Analysis'!DD485</f>
        <v>-3.6368515205724504E-2</v>
      </c>
      <c r="CQ19" s="162">
        <f>'3. Segment Analysis'!DE485</f>
        <v>0</v>
      </c>
      <c r="CR19" s="162">
        <f>'3. Segment Analysis'!DF485</f>
        <v>0</v>
      </c>
      <c r="CS19" s="162">
        <f>'3. Segment Analysis'!DG485</f>
        <v>0</v>
      </c>
      <c r="CT19" s="162">
        <f>'3. Segment Analysis'!DH485</f>
        <v>0</v>
      </c>
      <c r="CU19" s="163">
        <f>'3. Segment Analysis'!DI485</f>
        <v>0</v>
      </c>
    </row>
    <row r="20" spans="2:99" ht="15" customHeight="1">
      <c r="B20" s="166" t="s">
        <v>94</v>
      </c>
      <c r="C20" s="166"/>
      <c r="D20" s="123">
        <f>'2. Consolidated'!R16</f>
        <v>-2</v>
      </c>
      <c r="E20" s="124">
        <f>'2. Consolidated'!S16</f>
        <v>-28</v>
      </c>
      <c r="F20" s="124">
        <f>'2. Consolidated'!T16</f>
        <v>-26</v>
      </c>
      <c r="G20" s="124">
        <f>'2. Consolidated'!U16</f>
        <v>-13</v>
      </c>
      <c r="H20" s="125">
        <f>'2. Consolidated'!V16</f>
        <v>-69</v>
      </c>
      <c r="I20" s="124">
        <f>'2. Consolidated'!W16</f>
        <v>-5</v>
      </c>
      <c r="J20" s="124">
        <f>'2. Consolidated'!X16</f>
        <v>-4</v>
      </c>
      <c r="K20" s="124">
        <f>'2. Consolidated'!Y16</f>
        <v>-8</v>
      </c>
      <c r="L20" s="124">
        <f>'2. Consolidated'!Z16</f>
        <v>-22</v>
      </c>
      <c r="M20" s="125">
        <f>'2. Consolidated'!AA16</f>
        <v>-39</v>
      </c>
      <c r="N20" s="125">
        <f>'2. Consolidated'!AB16</f>
        <v>-39</v>
      </c>
      <c r="O20" s="124">
        <f>'2. Consolidated'!AC16</f>
        <v>-11</v>
      </c>
      <c r="P20" s="124">
        <f>'2. Consolidated'!AD16</f>
        <v>-9</v>
      </c>
      <c r="Q20" s="124">
        <f>'2. Consolidated'!AE16</f>
        <v>-3</v>
      </c>
      <c r="R20" s="124">
        <f>'2. Consolidated'!AF16</f>
        <v>6</v>
      </c>
      <c r="S20" s="125">
        <f>'2. Consolidated'!AG16</f>
        <v>-17</v>
      </c>
      <c r="T20" s="124">
        <f>'2. Consolidated'!AH16</f>
        <v>9</v>
      </c>
      <c r="U20" s="124">
        <f>'2. Consolidated'!AI16</f>
        <v>1</v>
      </c>
      <c r="V20" s="124">
        <f>'2. Consolidated'!AJ16</f>
        <v>-2</v>
      </c>
      <c r="W20" s="124">
        <f>'2. Consolidated'!AK16</f>
        <v>-5</v>
      </c>
      <c r="X20" s="125">
        <f>'2. Consolidated'!AL16</f>
        <v>3</v>
      </c>
      <c r="Y20" s="124">
        <f>'2. Consolidated'!AM16</f>
        <v>-14</v>
      </c>
      <c r="Z20" s="124">
        <f>'2. Consolidated'!AN16</f>
        <v>-13</v>
      </c>
      <c r="AA20" s="124">
        <f>'2. Consolidated'!AO16</f>
        <v>-17</v>
      </c>
      <c r="AB20" s="124">
        <f>'2. Consolidated'!AP16</f>
        <v>-38</v>
      </c>
      <c r="AC20" s="125">
        <f>'2. Consolidated'!AQ16</f>
        <v>-82</v>
      </c>
      <c r="AD20" s="124">
        <f>'2. Consolidated'!AR16</f>
        <v>-39</v>
      </c>
      <c r="AE20" s="124">
        <f>'2. Consolidated'!AS16</f>
        <v>-29</v>
      </c>
      <c r="AF20" s="124">
        <f>'2. Consolidated'!AT16</f>
        <v>-24</v>
      </c>
      <c r="AG20" s="124">
        <f>'2. Consolidated'!AU16</f>
        <v>6</v>
      </c>
      <c r="AH20" s="125">
        <f>'2. Consolidated'!AV16</f>
        <v>-86</v>
      </c>
      <c r="AI20" s="124">
        <f>'2. Consolidated'!AW16</f>
        <v>28</v>
      </c>
      <c r="AJ20" s="124">
        <f>'2. Consolidated'!AX16</f>
        <v>40</v>
      </c>
      <c r="AK20" s="124">
        <f>'2. Consolidated'!AY16</f>
        <v>11</v>
      </c>
      <c r="AL20" s="124">
        <f>'2. Consolidated'!AZ16</f>
        <v>-4</v>
      </c>
      <c r="AM20" s="125">
        <f>'2. Consolidated'!BA16</f>
        <v>75</v>
      </c>
      <c r="AN20" s="124">
        <f>'2. Consolidated'!BB16</f>
        <v>2</v>
      </c>
      <c r="AO20" s="124">
        <f>'2. Consolidated'!BC16</f>
        <v>10</v>
      </c>
      <c r="AP20" s="124">
        <f>'2. Consolidated'!BD16</f>
        <v>6</v>
      </c>
      <c r="AQ20" s="124">
        <f>'2. Consolidated'!BE16</f>
        <v>8</v>
      </c>
      <c r="AR20" s="125">
        <f>'2. Consolidated'!BF16</f>
        <v>26</v>
      </c>
      <c r="AS20" s="124">
        <f>'2. Consolidated'!BG16</f>
        <v>4</v>
      </c>
      <c r="AT20" s="124">
        <f>'2. Consolidated'!BH16</f>
        <v>3</v>
      </c>
      <c r="AU20" s="124">
        <f>'2. Consolidated'!BI16</f>
        <v>0</v>
      </c>
      <c r="AV20" s="124">
        <f>'2. Consolidated'!BJ16</f>
        <v>-14</v>
      </c>
      <c r="AW20" s="125">
        <f>'2. Consolidated'!BK16</f>
        <v>-7</v>
      </c>
      <c r="AX20" s="124">
        <f>'2. Consolidated'!BL16</f>
        <v>9</v>
      </c>
      <c r="AY20" s="124">
        <f>'2. Consolidated'!BM16</f>
        <v>2</v>
      </c>
      <c r="AZ20" s="124">
        <f>'2. Consolidated'!BN16</f>
        <v>-18</v>
      </c>
      <c r="BA20" s="124">
        <f>'2. Consolidated'!BO16</f>
        <v>-4</v>
      </c>
      <c r="BB20" s="125">
        <f>'2. Consolidated'!BP16</f>
        <v>-11</v>
      </c>
      <c r="BC20" s="124">
        <f>'2. Consolidated'!BQ16</f>
        <v>13</v>
      </c>
      <c r="BD20" s="124">
        <f>'2. Consolidated'!BR16</f>
        <v>26</v>
      </c>
      <c r="BE20" s="124">
        <f>'2. Consolidated'!BS16</f>
        <v>14</v>
      </c>
      <c r="BF20" s="124">
        <f>'2. Consolidated'!BT16</f>
        <v>-13</v>
      </c>
      <c r="BG20" s="125">
        <f>'2. Consolidated'!BU16</f>
        <v>40</v>
      </c>
      <c r="BH20" s="124">
        <f>'2. Consolidated'!BV16</f>
        <v>-21</v>
      </c>
      <c r="BI20" s="124">
        <f>'2. Consolidated'!BW16</f>
        <v>-16</v>
      </c>
      <c r="BJ20" s="124">
        <f>'2. Consolidated'!BX16</f>
        <v>-19</v>
      </c>
      <c r="BK20" s="124">
        <f>'2. Consolidated'!BY16</f>
        <v>-16</v>
      </c>
      <c r="BL20" s="125">
        <f>'2. Consolidated'!BZ16</f>
        <v>-72</v>
      </c>
      <c r="BM20" s="124">
        <f>'2. Consolidated'!CA16</f>
        <v>-4</v>
      </c>
      <c r="BN20" s="124">
        <f>'2. Consolidated'!CB16</f>
        <v>5</v>
      </c>
      <c r="BO20" s="124">
        <f>'2. Consolidated'!CC16</f>
        <v>12</v>
      </c>
      <c r="BP20" s="124">
        <f>'2. Consolidated'!CD16</f>
        <v>14</v>
      </c>
      <c r="BQ20" s="125">
        <f>'2. Consolidated'!CE16</f>
        <v>27</v>
      </c>
      <c r="BR20" s="124">
        <f>'2. Consolidated'!CF16</f>
        <v>-2</v>
      </c>
      <c r="BS20" s="124">
        <f>'2. Consolidated'!CG16</f>
        <v>-3</v>
      </c>
      <c r="BT20" s="124">
        <f>'2. Consolidated'!CH16</f>
        <v>-14</v>
      </c>
      <c r="BU20" s="124">
        <f>'2. Consolidated'!CI16</f>
        <v>-23</v>
      </c>
      <c r="BV20" s="125">
        <f>'2. Consolidated'!CJ16</f>
        <v>-42</v>
      </c>
      <c r="BW20" s="124">
        <f>'2. Consolidated'!CK16</f>
        <v>-23</v>
      </c>
      <c r="BX20" s="124">
        <f>'2. Consolidated'!CL16</f>
        <v>-25</v>
      </c>
      <c r="BY20" s="124">
        <f>'2. Consolidated'!CM16</f>
        <v>-26</v>
      </c>
      <c r="BZ20" s="124">
        <f>'2. Consolidated'!CN16</f>
        <v>-23</v>
      </c>
      <c r="CA20" s="125">
        <f>'2. Consolidated'!CO16</f>
        <v>-97</v>
      </c>
      <c r="CB20" s="124">
        <f>'2. Consolidated'!CP16</f>
        <v>-8</v>
      </c>
      <c r="CC20" s="124">
        <f>'2. Consolidated'!CQ16</f>
        <v>3</v>
      </c>
      <c r="CD20" s="124">
        <f>'2. Consolidated'!CR16</f>
        <v>3</v>
      </c>
      <c r="CE20" s="124">
        <f>'2. Consolidated'!CS16</f>
        <v>4</v>
      </c>
      <c r="CF20" s="125">
        <f>'2. Consolidated'!CT16</f>
        <v>2</v>
      </c>
      <c r="CG20" s="124">
        <f>'2. Consolidated'!CU16</f>
        <v>-2</v>
      </c>
      <c r="CH20" s="124">
        <f>'2. Consolidated'!CV16</f>
        <v>0</v>
      </c>
      <c r="CI20" s="124">
        <f>'2. Consolidated'!CW16</f>
        <v>0</v>
      </c>
      <c r="CJ20" s="124">
        <f>'2. Consolidated'!CX16</f>
        <v>0</v>
      </c>
      <c r="CK20" s="125">
        <f>'2. Consolidated'!CY16</f>
        <v>-2</v>
      </c>
      <c r="CL20" s="124">
        <f>'2. Consolidated'!CZ16</f>
        <v>0</v>
      </c>
      <c r="CM20" s="124">
        <f>'2. Consolidated'!DA16</f>
        <v>0</v>
      </c>
      <c r="CN20" s="124">
        <f>'2. Consolidated'!DB16</f>
        <v>0</v>
      </c>
      <c r="CO20" s="124">
        <f>'2. Consolidated'!DC16</f>
        <v>0</v>
      </c>
      <c r="CP20" s="125">
        <f>'2. Consolidated'!DD16</f>
        <v>0</v>
      </c>
      <c r="CQ20" s="124">
        <f>'2. Consolidated'!DE16</f>
        <v>0</v>
      </c>
      <c r="CR20" s="124">
        <f>'2. Consolidated'!DF16</f>
        <v>0</v>
      </c>
      <c r="CS20" s="124">
        <f>'2. Consolidated'!DG16</f>
        <v>0</v>
      </c>
      <c r="CT20" s="124">
        <f>'2. Consolidated'!DH16</f>
        <v>0</v>
      </c>
      <c r="CU20" s="125">
        <f>'2. Consolidated'!DI16</f>
        <v>0</v>
      </c>
    </row>
    <row r="21" spans="2:99" s="4" customFormat="1" ht="15" customHeight="1">
      <c r="B21" s="75" t="s">
        <v>296</v>
      </c>
      <c r="C21" s="75"/>
      <c r="D21" s="126">
        <f>'2. Consolidated'!R57</f>
        <v>5175</v>
      </c>
      <c r="E21" s="127">
        <f>'2. Consolidated'!S57</f>
        <v>4842</v>
      </c>
      <c r="F21" s="127">
        <f>'2. Consolidated'!T57</f>
        <v>5079</v>
      </c>
      <c r="G21" s="127">
        <f>'2. Consolidated'!U57</f>
        <v>5766</v>
      </c>
      <c r="H21" s="128">
        <f>'2. Consolidated'!V57</f>
        <v>20862</v>
      </c>
      <c r="I21" s="127">
        <f>'2. Consolidated'!W57</f>
        <v>6081</v>
      </c>
      <c r="J21" s="127">
        <f>'2. Consolidated'!X57</f>
        <v>5731</v>
      </c>
      <c r="K21" s="127">
        <f>'2. Consolidated'!Y57</f>
        <v>5846</v>
      </c>
      <c r="L21" s="127">
        <f>'2. Consolidated'!Z57</f>
        <v>6470</v>
      </c>
      <c r="M21" s="128">
        <f>'2. Consolidated'!AA57</f>
        <v>24128</v>
      </c>
      <c r="N21" s="128">
        <f>'2. Consolidated'!AB57</f>
        <v>23331</v>
      </c>
      <c r="O21" s="127">
        <f>'2. Consolidated'!AC57</f>
        <v>6474</v>
      </c>
      <c r="P21" s="127">
        <f>'2. Consolidated'!AD57</f>
        <v>5955</v>
      </c>
      <c r="Q21" s="127">
        <f>'2. Consolidated'!AE57</f>
        <v>6187</v>
      </c>
      <c r="R21" s="127">
        <f>'2. Consolidated'!AF57</f>
        <v>6697</v>
      </c>
      <c r="S21" s="128">
        <f>'2. Consolidated'!AG57</f>
        <v>25313</v>
      </c>
      <c r="T21" s="127">
        <f>'2. Consolidated'!AH57</f>
        <v>6971</v>
      </c>
      <c r="U21" s="127">
        <f>'2. Consolidated'!AI57</f>
        <v>6431</v>
      </c>
      <c r="V21" s="127">
        <f>'2. Consolidated'!AJ57</f>
        <v>6972</v>
      </c>
      <c r="W21" s="127">
        <f>'2. Consolidated'!AK57</f>
        <v>7425</v>
      </c>
      <c r="X21" s="128">
        <f>'2. Consolidated'!AL57</f>
        <v>27799</v>
      </c>
      <c r="Y21" s="127">
        <f>'2. Consolidated'!AM57</f>
        <v>7982</v>
      </c>
      <c r="Z21" s="127">
        <f>'2. Consolidated'!AN57</f>
        <v>7380</v>
      </c>
      <c r="AA21" s="127">
        <f>'2. Consolidated'!AO57</f>
        <v>7460</v>
      </c>
      <c r="AB21" s="127">
        <f>'2. Consolidated'!AP57</f>
        <v>7779</v>
      </c>
      <c r="AC21" s="128">
        <f>'2. Consolidated'!AQ57</f>
        <v>30601</v>
      </c>
      <c r="AD21" s="127">
        <f>'2. Consolidated'!AR57</f>
        <v>8414</v>
      </c>
      <c r="AE21" s="127">
        <f>'2. Consolidated'!AS57</f>
        <v>7686</v>
      </c>
      <c r="AF21" s="127">
        <f>'2. Consolidated'!AT57</f>
        <v>8032</v>
      </c>
      <c r="AG21" s="127">
        <f>'2. Consolidated'!AU57</f>
        <v>8244</v>
      </c>
      <c r="AH21" s="128">
        <f>'2. Consolidated'!AV57</f>
        <v>32376</v>
      </c>
      <c r="AI21" s="127">
        <f>'2. Consolidated'!AW57</f>
        <v>9061</v>
      </c>
      <c r="AJ21" s="127">
        <f>'2. Consolidated'!AX57</f>
        <v>8180</v>
      </c>
      <c r="AK21" s="127">
        <f>'2. Consolidated'!AY57</f>
        <v>8432</v>
      </c>
      <c r="AL21" s="127">
        <f>'2. Consolidated'!AZ57</f>
        <v>8677</v>
      </c>
      <c r="AM21" s="128">
        <f>'2. Consolidated'!BA57</f>
        <v>34350</v>
      </c>
      <c r="AN21" s="127">
        <f>'2. Consolidated'!BB57</f>
        <v>9070</v>
      </c>
      <c r="AO21" s="127">
        <f>'2. Consolidated'!BC57</f>
        <v>8554</v>
      </c>
      <c r="AP21" s="127">
        <f>'2. Consolidated'!BD57</f>
        <v>8984</v>
      </c>
      <c r="AQ21" s="127">
        <f>'2. Consolidated'!BE57</f>
        <v>9789</v>
      </c>
      <c r="AR21" s="128">
        <f>'2. Consolidated'!BF57</f>
        <v>36397</v>
      </c>
      <c r="AS21" s="127">
        <f>'2. Consolidated'!BG57</f>
        <v>9948</v>
      </c>
      <c r="AT21" s="127">
        <f>'2. Consolidated'!BH57</f>
        <v>9374</v>
      </c>
      <c r="AU21" s="127">
        <f>'2. Consolidated'!BI57</f>
        <v>9611</v>
      </c>
      <c r="AV21" s="127">
        <f>'2. Consolidated'!BJ57</f>
        <v>10184</v>
      </c>
      <c r="AW21" s="128">
        <f>'2. Consolidated'!BK57</f>
        <v>39117</v>
      </c>
      <c r="AX21" s="127">
        <f>'2. Consolidated'!BL57</f>
        <v>10660</v>
      </c>
      <c r="AY21" s="127">
        <f>'2. Consolidated'!BM57</f>
        <v>10326</v>
      </c>
      <c r="AZ21" s="127">
        <f>'2. Consolidated'!BN57</f>
        <v>10104</v>
      </c>
      <c r="BA21" s="127">
        <f>'2. Consolidated'!BO57</f>
        <v>6313</v>
      </c>
      <c r="BB21" s="128">
        <f>'2. Consolidated'!BP57</f>
        <v>37403</v>
      </c>
      <c r="BC21" s="127">
        <f>'2. Consolidated'!BQ57</f>
        <v>10594</v>
      </c>
      <c r="BD21" s="127">
        <f>'2. Consolidated'!BR57</f>
        <v>11243</v>
      </c>
      <c r="BE21" s="127">
        <f>'2. Consolidated'!BS57</f>
        <v>10357</v>
      </c>
      <c r="BF21" s="127">
        <f>'2. Consolidated'!BT57</f>
        <v>12344</v>
      </c>
      <c r="BG21" s="128">
        <f>'2. Consolidated'!BU57</f>
        <v>44538</v>
      </c>
      <c r="BH21" s="127">
        <f>'2. Consolidated'!BV57</f>
        <v>12248</v>
      </c>
      <c r="BI21" s="127">
        <f>'2. Consolidated'!BW57</f>
        <v>11357</v>
      </c>
      <c r="BJ21" s="127">
        <f>'2. Consolidated'!BX57</f>
        <v>10871</v>
      </c>
      <c r="BK21" s="127">
        <f>'2. Consolidated'!BY57</f>
        <v>12234</v>
      </c>
      <c r="BL21" s="128">
        <f>'2. Consolidated'!BZ57</f>
        <v>46710</v>
      </c>
      <c r="BM21" s="127">
        <f>'2. Consolidated'!CA57</f>
        <v>12687</v>
      </c>
      <c r="BN21" s="127">
        <f>'2. Consolidated'!CB57</f>
        <v>13315</v>
      </c>
      <c r="BO21" s="127">
        <f>'2. Consolidated'!CC57</f>
        <v>12390</v>
      </c>
      <c r="BP21" s="127">
        <f>'2. Consolidated'!CD57</f>
        <v>12825</v>
      </c>
      <c r="BQ21" s="128">
        <f>'2. Consolidated'!CE57</f>
        <v>51217</v>
      </c>
      <c r="BR21" s="127">
        <f>'2. Consolidated'!CF57</f>
        <v>12939</v>
      </c>
      <c r="BS21" s="127">
        <f>'2. Consolidated'!CG57</f>
        <v>13388</v>
      </c>
      <c r="BT21" s="127">
        <f>'2. Consolidated'!CH57</f>
        <v>12429</v>
      </c>
      <c r="BU21" s="127">
        <f>'2. Consolidated'!CI57</f>
        <v>12606</v>
      </c>
      <c r="BV21" s="128">
        <f>'2. Consolidated'!CJ57</f>
        <v>51362</v>
      </c>
      <c r="BW21" s="127">
        <f>'2. Consolidated'!CK57</f>
        <v>11589</v>
      </c>
      <c r="BX21" s="127">
        <f>'2. Consolidated'!CL57</f>
        <v>12354</v>
      </c>
      <c r="BY21" s="127">
        <f>'2. Consolidated'!CM57</f>
        <v>11269</v>
      </c>
      <c r="BZ21" s="127">
        <f>'2. Consolidated'!CN57</f>
        <v>11097</v>
      </c>
      <c r="CA21" s="128">
        <f>'2. Consolidated'!CO57</f>
        <v>46309</v>
      </c>
      <c r="CB21" s="127">
        <f>'2. Consolidated'!CP57</f>
        <v>11720</v>
      </c>
      <c r="CC21" s="127">
        <f>'2. Consolidated'!CQ57</f>
        <v>12427</v>
      </c>
      <c r="CD21" s="127">
        <f>'2. Consolidated'!CR57</f>
        <v>11279</v>
      </c>
      <c r="CE21" s="127">
        <f>'2. Consolidated'!CS57</f>
        <v>10972</v>
      </c>
      <c r="CF21" s="128">
        <f>'2. Consolidated'!CT57</f>
        <v>46398</v>
      </c>
      <c r="CG21" s="127">
        <f>'2. Consolidated'!CU57</f>
        <v>11213</v>
      </c>
      <c r="CH21" s="127">
        <f>'2. Consolidated'!CV57</f>
        <v>10878.097940000001</v>
      </c>
      <c r="CI21" s="127">
        <f>'2. Consolidated'!CW57</f>
        <v>10305.983209999999</v>
      </c>
      <c r="CJ21" s="127">
        <f>'2. Consolidated'!CX57</f>
        <v>9881.3433699999987</v>
      </c>
      <c r="CK21" s="128">
        <f>'2. Consolidated'!CY57</f>
        <v>42278.424519999993</v>
      </c>
      <c r="CL21" s="127">
        <f>'2. Consolidated'!CZ57</f>
        <v>10328.23281</v>
      </c>
      <c r="CM21" s="127">
        <f>'2. Consolidated'!DA57</f>
        <v>10360.009180099998</v>
      </c>
      <c r="CN21" s="127">
        <f>'2. Consolidated'!DB57</f>
        <v>10025.647070699999</v>
      </c>
      <c r="CO21" s="127">
        <f>'2. Consolidated'!DC57</f>
        <v>9627.8920167999968</v>
      </c>
      <c r="CP21" s="128">
        <f>'2. Consolidated'!DD57</f>
        <v>40341.781077599997</v>
      </c>
      <c r="CQ21" s="127">
        <f>'2. Consolidated'!DE57</f>
        <v>10334.0543898</v>
      </c>
      <c r="CR21" s="127">
        <f>'2. Consolidated'!DF57</f>
        <v>10379.712353105997</v>
      </c>
      <c r="CS21" s="127">
        <f>'2. Consolidated'!DG57</f>
        <v>10094.693474377</v>
      </c>
      <c r="CT21" s="127">
        <f>'2. Consolidated'!DH57</f>
        <v>9696.6732653359995</v>
      </c>
      <c r="CU21" s="128">
        <f>'2. Consolidated'!DI57</f>
        <v>40505.133482619</v>
      </c>
    </row>
    <row r="22" spans="2:99" s="23" customFormat="1" ht="15" customHeight="1">
      <c r="B22" s="19" t="s">
        <v>305</v>
      </c>
      <c r="C22" s="19"/>
      <c r="D22" s="161">
        <f>'3. Segment Analysis'!R22</f>
        <v>0</v>
      </c>
      <c r="E22" s="162">
        <f>'3. Segment Analysis'!S22</f>
        <v>0</v>
      </c>
      <c r="F22" s="162">
        <f>'3. Segment Analysis'!T22</f>
        <v>0</v>
      </c>
      <c r="G22" s="162">
        <f>'3. Segment Analysis'!U22</f>
        <v>0</v>
      </c>
      <c r="H22" s="163">
        <f>'3. Segment Analysis'!V22</f>
        <v>0</v>
      </c>
      <c r="I22" s="162">
        <f>'3. Segment Analysis'!W22</f>
        <v>0</v>
      </c>
      <c r="J22" s="162">
        <f>'3. Segment Analysis'!X22</f>
        <v>0</v>
      </c>
      <c r="K22" s="162">
        <f>'3. Segment Analysis'!Y22</f>
        <v>0</v>
      </c>
      <c r="L22" s="162">
        <f>'3. Segment Analysis'!Z22</f>
        <v>0</v>
      </c>
      <c r="M22" s="163">
        <f>'3. Segment Analysis'!AA22</f>
        <v>0</v>
      </c>
      <c r="N22" s="163">
        <f>'3. Segment Analysis'!AB22</f>
        <v>0</v>
      </c>
      <c r="O22" s="162">
        <f>'3. Segment Analysis'!AC22</f>
        <v>0</v>
      </c>
      <c r="P22" s="162">
        <f>'3. Segment Analysis'!AD22</f>
        <v>0</v>
      </c>
      <c r="Q22" s="162">
        <f>'3. Segment Analysis'!AE22</f>
        <v>0</v>
      </c>
      <c r="R22" s="162">
        <f>'3. Segment Analysis'!AF22</f>
        <v>0</v>
      </c>
      <c r="S22" s="163">
        <f>'3. Segment Analysis'!AG22</f>
        <v>0</v>
      </c>
      <c r="T22" s="162">
        <f>'3. Segment Analysis'!AH22</f>
        <v>0</v>
      </c>
      <c r="U22" s="162">
        <f>'3. Segment Analysis'!AI22</f>
        <v>0</v>
      </c>
      <c r="V22" s="162">
        <f>'3. Segment Analysis'!AJ22</f>
        <v>0</v>
      </c>
      <c r="W22" s="162">
        <f>'3. Segment Analysis'!AK22</f>
        <v>0</v>
      </c>
      <c r="X22" s="163">
        <f>'3. Segment Analysis'!AL22</f>
        <v>0</v>
      </c>
      <c r="Y22" s="162">
        <f>'3. Segment Analysis'!AM22</f>
        <v>0.15</v>
      </c>
      <c r="Z22" s="162">
        <f>'3. Segment Analysis'!AN22</f>
        <v>0.18</v>
      </c>
      <c r="AA22" s="162">
        <f>'3. Segment Analysis'!AO22</f>
        <v>0.13</v>
      </c>
      <c r="AB22" s="162">
        <f>'3. Segment Analysis'!AP22</f>
        <v>0.13</v>
      </c>
      <c r="AC22" s="163">
        <f>'3. Segment Analysis'!AQ22</f>
        <v>0.14658225116011367</v>
      </c>
      <c r="AD22" s="162">
        <f>'3. Segment Analysis'!AR22</f>
        <v>0.14000000000000001</v>
      </c>
      <c r="AE22" s="162">
        <f>'3. Segment Analysis'!AS22</f>
        <v>0.12</v>
      </c>
      <c r="AF22" s="162">
        <f>'3. Segment Analysis'!AT22</f>
        <v>0.14000000000000001</v>
      </c>
      <c r="AG22" s="162">
        <f>'3. Segment Analysis'!AU22</f>
        <v>0.09</v>
      </c>
      <c r="AH22" s="163">
        <f>'3. Segment Analysis'!AV22</f>
        <v>0.12246625927257279</v>
      </c>
      <c r="AI22" s="162">
        <f>'3. Segment Analysis'!AW22</f>
        <v>0.1</v>
      </c>
      <c r="AJ22" s="162">
        <f>'3. Segment Analysis'!AX22</f>
        <v>0.08</v>
      </c>
      <c r="AK22" s="162">
        <f>'3. Segment Analysis'!AY22</f>
        <v>7.0000000000000007E-2</v>
      </c>
      <c r="AL22" s="162">
        <f>'3. Segment Analysis'!AZ22</f>
        <v>7.0000000000000007E-2</v>
      </c>
      <c r="AM22" s="163">
        <f>'3. Segment Analysis'!BA22</f>
        <v>8.0170496664195706E-2</v>
      </c>
      <c r="AN22" s="162">
        <f>'3. Segment Analysis'!BB22</f>
        <v>0</v>
      </c>
      <c r="AO22" s="162">
        <f>'3. Segment Analysis'!BC22</f>
        <v>0.03</v>
      </c>
      <c r="AP22" s="162">
        <f>'3. Segment Analysis'!BD22</f>
        <v>0.03</v>
      </c>
      <c r="AQ22" s="162">
        <f>'3. Segment Analysis'!BE22</f>
        <v>0.08</v>
      </c>
      <c r="AR22" s="163">
        <f>'3. Segment Analysis'!BF22</f>
        <v>3.4716739446870454E-2</v>
      </c>
      <c r="AS22" s="162">
        <f>'3. Segment Analysis'!BG22</f>
        <v>0.09</v>
      </c>
      <c r="AT22" s="162">
        <f>'3. Segment Analysis'!BH22</f>
        <v>0.14000000000000001</v>
      </c>
      <c r="AU22" s="162">
        <f>'3. Segment Analysis'!BI22</f>
        <v>0.11</v>
      </c>
      <c r="AV22" s="162">
        <f>'3. Segment Analysis'!BJ22</f>
        <v>0.1</v>
      </c>
      <c r="AW22" s="163">
        <f>'3. Segment Analysis'!BK22</f>
        <v>0.10937714646811551</v>
      </c>
      <c r="AX22" s="162">
        <f>'3. Segment Analysis'!BL22</f>
        <v>0.1</v>
      </c>
      <c r="AY22" s="162">
        <f>'3. Segment Analysis'!BM22</f>
        <v>0.13</v>
      </c>
      <c r="AZ22" s="162">
        <f>'3. Segment Analysis'!BN22</f>
        <v>7.0000000000000007E-2</v>
      </c>
      <c r="BA22" s="162">
        <f>'3. Segment Analysis'!BO22</f>
        <v>-0.36</v>
      </c>
      <c r="BB22" s="163">
        <f>'3. Segment Analysis'!BP22</f>
        <v>-1.9941457678247301E-2</v>
      </c>
      <c r="BC22" s="162">
        <f>'3. Segment Analysis'!BQ22</f>
        <v>0</v>
      </c>
      <c r="BD22" s="162">
        <f>'3. Segment Analysis'!BR22</f>
        <v>7.0000000000000007E-2</v>
      </c>
      <c r="BE22" s="162">
        <f>'3. Segment Analysis'!BS22</f>
        <v>-0.01</v>
      </c>
      <c r="BF22" s="162">
        <f>'3. Segment Analysis'!BT22</f>
        <v>0.88</v>
      </c>
      <c r="BG22" s="163">
        <f>'3. Segment Analysis'!BU22</f>
        <v>0.16515306258856241</v>
      </c>
      <c r="BH22" s="162">
        <f>'3. Segment Analysis'!BV22</f>
        <v>0.12</v>
      </c>
      <c r="BI22" s="162">
        <f>'3. Segment Analysis'!BW22</f>
        <v>0</v>
      </c>
      <c r="BJ22" s="162">
        <f>'3. Segment Analysis'!BX22</f>
        <v>0.08</v>
      </c>
      <c r="BK22" s="162">
        <f>'3. Segment Analysis'!BY22</f>
        <v>0.03</v>
      </c>
      <c r="BL22" s="163">
        <f>'3. Segment Analysis'!BZ22</f>
        <v>5.5461852799856312E-2</v>
      </c>
      <c r="BM22" s="162">
        <f>'3. Segment Analysis'!CA22</f>
        <v>0.1</v>
      </c>
      <c r="BN22" s="162">
        <f>'3. Segment Analysis'!CB22</f>
        <v>0.27</v>
      </c>
      <c r="BO22" s="162">
        <f>'3. Segment Analysis'!CC22</f>
        <v>0.19</v>
      </c>
      <c r="BP22" s="162">
        <f>'3. Segment Analysis'!CD22</f>
        <v>0.08</v>
      </c>
      <c r="BQ22" s="163">
        <f>'3. Segment Analysis'!CE22</f>
        <v>0.15704131877542282</v>
      </c>
      <c r="BR22" s="162">
        <f>'3. Segment Analysis'!CF22</f>
        <v>0.02</v>
      </c>
      <c r="BS22" s="162">
        <f>'3. Segment Analysis'!CG22</f>
        <v>-0.01</v>
      </c>
      <c r="BT22" s="162">
        <f>'3. Segment Analysis'!CH22</f>
        <v>0</v>
      </c>
      <c r="BU22" s="162">
        <f>'3. Segment Analysis'!CI22</f>
        <v>0</v>
      </c>
      <c r="BV22" s="163">
        <f>'3. Segment Analysis'!CJ22</f>
        <v>2.3544916726868032E-3</v>
      </c>
      <c r="BW22" s="162">
        <f>'3. Segment Analysis'!CK22</f>
        <v>-0.09</v>
      </c>
      <c r="BX22" s="162">
        <f>'3. Segment Analysis'!CL22</f>
        <v>-0.09</v>
      </c>
      <c r="BY22" s="162">
        <f>'3. Segment Analysis'!CM22</f>
        <v>-7.0000000000000007E-2</v>
      </c>
      <c r="BZ22" s="162">
        <f>'3. Segment Analysis'!CN22</f>
        <v>-0.11</v>
      </c>
      <c r="CA22" s="163">
        <f>'3. Segment Analysis'!CO22</f>
        <v>-9.006892254974494E-2</v>
      </c>
      <c r="CB22" s="162">
        <f>'3. Segment Analysis'!CP22</f>
        <v>-0.01</v>
      </c>
      <c r="CC22" s="162">
        <f>'3. Segment Analysis'!CQ22</f>
        <v>0</v>
      </c>
      <c r="CD22" s="162">
        <f>'3. Segment Analysis'!CR22</f>
        <v>-0.03</v>
      </c>
      <c r="CE22" s="162">
        <f>'3. Segment Analysis'!CS22</f>
        <v>-0.04</v>
      </c>
      <c r="CF22" s="163">
        <f>'3. Segment Analysis'!CT22</f>
        <v>-1.9388023926234638E-2</v>
      </c>
      <c r="CG22" s="162">
        <f>'3. Segment Analysis'!CU22</f>
        <v>-0.05</v>
      </c>
      <c r="CH22" s="162">
        <f>'3. Segment Analysis'!CV22</f>
        <v>-0.12452804377564977</v>
      </c>
      <c r="CI22" s="162">
        <f>'3. Segment Analysis'!CW22</f>
        <v>-8.1840588704672479E-2</v>
      </c>
      <c r="CJ22" s="162">
        <f>'3. Segment Analysis'!CX22</f>
        <v>-9.3655668975574244E-2</v>
      </c>
      <c r="CK22" s="163">
        <f>'3. Segment Analysis'!CY22</f>
        <v>-8.802491486702016E-2</v>
      </c>
      <c r="CL22" s="162">
        <f>'3. Segment Analysis'!CZ22</f>
        <v>-7.6700258628377815E-2</v>
      </c>
      <c r="CM22" s="162">
        <f>'3. Segment Analysis'!DA22</f>
        <v>-4.7626778390634887E-2</v>
      </c>
      <c r="CN22" s="162">
        <f>'3. Segment Analysis'!DB22</f>
        <v>-2.7201299826297733E-2</v>
      </c>
      <c r="CO22" s="162">
        <f>'3. Segment Analysis'!DC22</f>
        <v>-2.5649483446702769E-2</v>
      </c>
      <c r="CP22" s="163">
        <f>'3. Segment Analysis'!DD22</f>
        <v>-4.5222031665242475E-2</v>
      </c>
      <c r="CQ22" s="162">
        <f>'3. Segment Analysis'!DE22</f>
        <v>5.6365691082828405E-4</v>
      </c>
      <c r="CR22" s="162">
        <f>'3. Segment Analysis'!DF22</f>
        <v>1.9018489910073043E-3</v>
      </c>
      <c r="CS22" s="162">
        <f>'3. Segment Analysis'!DG22</f>
        <v>6.886977288357625E-3</v>
      </c>
      <c r="CT22" s="162">
        <f>'3. Segment Analysis'!DH22</f>
        <v>7.1439572043373849E-3</v>
      </c>
      <c r="CU22" s="163">
        <f>'3. Segment Analysis'!DI22</f>
        <v>4.0492115284841172E-3</v>
      </c>
    </row>
    <row r="23" spans="2:99" s="3" customFormat="1" ht="15" customHeight="1" thickBot="1">
      <c r="B23" s="156" t="s">
        <v>215</v>
      </c>
      <c r="C23" s="156"/>
      <c r="D23" s="157" t="str">
        <f>'2. Consolidated'!R58</f>
        <v>--</v>
      </c>
      <c r="E23" s="158" t="str">
        <f>'2. Consolidated'!S58</f>
        <v>--</v>
      </c>
      <c r="F23" s="158" t="str">
        <f>'2. Consolidated'!T58</f>
        <v>--</v>
      </c>
      <c r="G23" s="158" t="str">
        <f>'2. Consolidated'!U58</f>
        <v>--</v>
      </c>
      <c r="H23" s="159">
        <f>'2. Consolidated'!V58</f>
        <v>9.7191543073524844E-2</v>
      </c>
      <c r="I23" s="158">
        <f>'2. Consolidated'!W58</f>
        <v>0.17507246376811603</v>
      </c>
      <c r="J23" s="158">
        <f>'2. Consolidated'!X58</f>
        <v>0.18360181743081361</v>
      </c>
      <c r="K23" s="158">
        <f>'2. Consolidated'!Y58</f>
        <v>0.15101397912975001</v>
      </c>
      <c r="L23" s="158">
        <f>'2. Consolidated'!Z58</f>
        <v>0.12209503988900461</v>
      </c>
      <c r="M23" s="159">
        <f>'2. Consolidated'!AA58</f>
        <v>0.15655258364490465</v>
      </c>
      <c r="N23" s="159">
        <f>'2. Consolidated'!AB58</f>
        <v>0</v>
      </c>
      <c r="O23" s="158">
        <f>'2. Consolidated'!AC58</f>
        <v>6.4627528367044995E-2</v>
      </c>
      <c r="P23" s="158">
        <f>'2. Consolidated'!AD58</f>
        <v>3.9085674402373094E-2</v>
      </c>
      <c r="Q23" s="158">
        <f>'2. Consolidated'!AE58</f>
        <v>5.8330482381115267E-2</v>
      </c>
      <c r="R23" s="158">
        <f>'2. Consolidated'!AF58</f>
        <v>3.5085007727975182E-2</v>
      </c>
      <c r="S23" s="159">
        <f>'2. Consolidated'!AG58</f>
        <v>4.9113063660477518E-2</v>
      </c>
      <c r="T23" s="158">
        <f>'2. Consolidated'!AH58</f>
        <v>7.6768612913191259E-2</v>
      </c>
      <c r="U23" s="158">
        <f>'2. Consolidated'!AI58</f>
        <v>7.9932829554995699E-2</v>
      </c>
      <c r="V23" s="158">
        <f>'2. Consolidated'!AJ58</f>
        <v>0.12687893971230002</v>
      </c>
      <c r="W23" s="158">
        <f>'2. Consolidated'!AK58</f>
        <v>0.10870539047334637</v>
      </c>
      <c r="X23" s="159">
        <f>'2. Consolidated'!AL58</f>
        <v>9.8210405720380756E-2</v>
      </c>
      <c r="Y23" s="158">
        <f>'2. Consolidated'!AM58</f>
        <v>0.14502940754554583</v>
      </c>
      <c r="Z23" s="158">
        <f>'2. Consolidated'!AN58</f>
        <v>0.14756647488726471</v>
      </c>
      <c r="AA23" s="158">
        <f>'2. Consolidated'!AO58</f>
        <v>6.9994262765347148E-2</v>
      </c>
      <c r="AB23" s="158">
        <f>'2. Consolidated'!AP58</f>
        <v>4.7676767676767762E-2</v>
      </c>
      <c r="AC23" s="159">
        <f>'2. Consolidated'!AQ58</f>
        <v>0.10079499262563396</v>
      </c>
      <c r="AD23" s="158">
        <f>'2. Consolidated'!AR58</f>
        <v>5.4121773991480771E-2</v>
      </c>
      <c r="AE23" s="158">
        <f>'2. Consolidated'!AS58</f>
        <v>4.1463414634146378E-2</v>
      </c>
      <c r="AF23" s="158">
        <f>'2. Consolidated'!AT58</f>
        <v>7.6675603217158272E-2</v>
      </c>
      <c r="AG23" s="158">
        <f>'2. Consolidated'!AU58</f>
        <v>5.9776320863864196E-2</v>
      </c>
      <c r="AH23" s="159">
        <f>'2. Consolidated'!AV58</f>
        <v>5.8004640371229765E-2</v>
      </c>
      <c r="AI23" s="158">
        <f>'2. Consolidated'!AW58</f>
        <v>7.6895650106964641E-2</v>
      </c>
      <c r="AJ23" s="158">
        <f>'2. Consolidated'!AX58</f>
        <v>6.4272703616965909E-2</v>
      </c>
      <c r="AK23" s="158">
        <f>'2. Consolidated'!AY58</f>
        <v>4.980079681274896E-2</v>
      </c>
      <c r="AL23" s="158">
        <f>'2. Consolidated'!AZ58</f>
        <v>5.2523047064531703E-2</v>
      </c>
      <c r="AM23" s="159">
        <f>'2. Consolidated'!BA58</f>
        <v>6.0971089696071123E-2</v>
      </c>
      <c r="AN23" s="158">
        <f>'2. Consolidated'!BB58</f>
        <v>9.9326785123055039E-4</v>
      </c>
      <c r="AO23" s="158">
        <f>'2. Consolidated'!BC58</f>
        <v>4.5721271393643015E-2</v>
      </c>
      <c r="AP23" s="158">
        <f>'2. Consolidated'!BD58</f>
        <v>6.5464895635673592E-2</v>
      </c>
      <c r="AQ23" s="158">
        <f>'2. Consolidated'!BE58</f>
        <v>0.12815489224386312</v>
      </c>
      <c r="AR23" s="159">
        <f>'2. Consolidated'!BF58</f>
        <v>5.95924308588065E-2</v>
      </c>
      <c r="AS23" s="158">
        <f>'2. Consolidated'!BG58</f>
        <v>9.6802646085997868E-2</v>
      </c>
      <c r="AT23" s="158">
        <f>'2. Consolidated'!BH58</f>
        <v>9.586158522328736E-2</v>
      </c>
      <c r="AU23" s="158">
        <f>'2. Consolidated'!BI58</f>
        <v>6.9790739091718512E-2</v>
      </c>
      <c r="AV23" s="158">
        <f>'2. Consolidated'!BJ58</f>
        <v>4.0351414853406986E-2</v>
      </c>
      <c r="AW23" s="159">
        <f>'2. Consolidated'!BK58</f>
        <v>7.4731433909388079E-2</v>
      </c>
      <c r="AX23" s="158">
        <f>'2. Consolidated'!BL58</f>
        <v>7.1572175311620523E-2</v>
      </c>
      <c r="AY23" s="158">
        <f>'2. Consolidated'!BM58</f>
        <v>0.10155749946660975</v>
      </c>
      <c r="AZ23" s="158">
        <f>'2. Consolidated'!BN58</f>
        <v>5.1295390698158361E-2</v>
      </c>
      <c r="BA23" s="158">
        <f>'2. Consolidated'!BO58</f>
        <v>-0.38010604870384912</v>
      </c>
      <c r="BB23" s="159">
        <f>'2. Consolidated'!BP58</f>
        <v>-4.3817266150267153E-2</v>
      </c>
      <c r="BC23" s="158">
        <f>'2. Consolidated'!BQ58</f>
        <v>-6.1913696060037493E-3</v>
      </c>
      <c r="BD23" s="158">
        <f>'2. Consolidated'!BR58</f>
        <v>8.8804958357544095E-2</v>
      </c>
      <c r="BE23" s="158">
        <f>'2. Consolidated'!BS58</f>
        <v>2.5039588281868586E-2</v>
      </c>
      <c r="BF23" s="158">
        <f>'2. Consolidated'!BT58</f>
        <v>0.95533027086963407</v>
      </c>
      <c r="BG23" s="159">
        <f>'2. Consolidated'!BU58</f>
        <v>0.19076009945726269</v>
      </c>
      <c r="BH23" s="158">
        <f>'2. Consolidated'!BV58</f>
        <v>0.15612610911836899</v>
      </c>
      <c r="BI23" s="158">
        <f>'2. Consolidated'!BW58</f>
        <v>1.0139642444187524E-2</v>
      </c>
      <c r="BJ23" s="158">
        <f>'2. Consolidated'!BX58</f>
        <v>4.9628270734768831E-2</v>
      </c>
      <c r="BK23" s="158">
        <f>'2. Consolidated'!BY58</f>
        <v>-8.9112119248218047E-3</v>
      </c>
      <c r="BL23" s="159">
        <f>'2. Consolidated'!BZ58</f>
        <v>4.8767344739323759E-2</v>
      </c>
      <c r="BM23" s="158">
        <f>'2. Consolidated'!CA58</f>
        <v>3.5842586544742039E-2</v>
      </c>
      <c r="BN23" s="158">
        <f>'2. Consolidated'!CB58</f>
        <v>0.17240468433565193</v>
      </c>
      <c r="BO23" s="158">
        <f>'2. Consolidated'!CC58</f>
        <v>0.13972955569864776</v>
      </c>
      <c r="BP23" s="158">
        <f>'2. Consolidated'!CD58</f>
        <v>4.8307994114762165E-2</v>
      </c>
      <c r="BQ23" s="159">
        <f>'2. Consolidated'!CE58</f>
        <v>9.6488974523656568E-2</v>
      </c>
      <c r="BR23" s="158">
        <f>'2. Consolidated'!CF58</f>
        <v>1.986285173799951E-2</v>
      </c>
      <c r="BS23" s="158">
        <f>'2. Consolidated'!CG58</f>
        <v>5.482538490424238E-3</v>
      </c>
      <c r="BT23" s="158">
        <f>'2. Consolidated'!CH58</f>
        <v>3.1476997578692156E-3</v>
      </c>
      <c r="BU23" s="158">
        <f>'2. Consolidated'!CI58</f>
        <v>-1.7076023391812911E-2</v>
      </c>
      <c r="BV23" s="159">
        <f>'2. Consolidated'!CJ58</f>
        <v>2.8310912392370824E-3</v>
      </c>
      <c r="BW23" s="158">
        <f>'2. Consolidated'!CK58</f>
        <v>-0.10433572919081846</v>
      </c>
      <c r="BX23" s="158">
        <f>'2. Consolidated'!CL58</f>
        <v>-7.7233343292500756E-2</v>
      </c>
      <c r="BY23" s="158">
        <f>'2. Consolidated'!CM58</f>
        <v>-9.3330115053503859E-2</v>
      </c>
      <c r="BZ23" s="158">
        <f>'2. Consolidated'!CN58</f>
        <v>-0.11970490242741549</v>
      </c>
      <c r="CA23" s="159">
        <f>'2. Consolidated'!CO58</f>
        <v>-9.8380125384525563E-2</v>
      </c>
      <c r="CB23" s="158">
        <f>'2. Consolidated'!CP58</f>
        <v>1.1303822590387425E-2</v>
      </c>
      <c r="CC23" s="158">
        <f>'2. Consolidated'!CQ58</f>
        <v>5.9090173223248499E-3</v>
      </c>
      <c r="CD23" s="158">
        <f>'2. Consolidated'!CR58</f>
        <v>8.8739018546446502E-4</v>
      </c>
      <c r="CE23" s="158">
        <f>'2. Consolidated'!CS58</f>
        <v>-1.1264305668198582E-2</v>
      </c>
      <c r="CF23" s="159">
        <f>'2. Consolidated'!CT58</f>
        <v>1.9218726381480256E-3</v>
      </c>
      <c r="CG23" s="158">
        <f>'2. Consolidated'!CU58</f>
        <v>-4.3259385665529004E-2</v>
      </c>
      <c r="CH23" s="158">
        <f>'2. Consolidated'!CV58</f>
        <v>-0.12464006276655659</v>
      </c>
      <c r="CI23" s="158">
        <f>'2. Consolidated'!CW58</f>
        <v>-8.6268001595886323E-2</v>
      </c>
      <c r="CJ23" s="158">
        <f>'2. Consolidated'!CX58</f>
        <v>-9.9403630149471511E-2</v>
      </c>
      <c r="CK23" s="159">
        <f>'2. Consolidated'!CY58</f>
        <v>-8.8787781369886742E-2</v>
      </c>
      <c r="CL23" s="158">
        <f>'2. Consolidated'!CZ58</f>
        <v>-7.8905483813430877E-2</v>
      </c>
      <c r="CM23" s="158">
        <f>'2. Consolidated'!DA58</f>
        <v>-4.7626778390635005E-2</v>
      </c>
      <c r="CN23" s="158">
        <f>'2. Consolidated'!DB58</f>
        <v>-2.7201299826297709E-2</v>
      </c>
      <c r="CO23" s="158">
        <f>'2. Consolidated'!DC58</f>
        <v>-2.5649483446702814E-2</v>
      </c>
      <c r="CP23" s="159">
        <f>'2. Consolidated'!DD58</f>
        <v>-4.5806897120394319E-2</v>
      </c>
      <c r="CQ23" s="158">
        <f>'2. Consolidated'!DE58</f>
        <v>5.6365691082826963E-4</v>
      </c>
      <c r="CR23" s="158">
        <f>'2. Consolidated'!DF58</f>
        <v>1.9018489910072045E-3</v>
      </c>
      <c r="CS23" s="158">
        <f>'2. Consolidated'!DG58</f>
        <v>6.8869772883577429E-3</v>
      </c>
      <c r="CT23" s="158">
        <f>'2. Consolidated'!DH58</f>
        <v>7.143957204337692E-3</v>
      </c>
      <c r="CU23" s="159">
        <f>'2. Consolidated'!DI58</f>
        <v>4.0492115284842534E-3</v>
      </c>
    </row>
    <row r="24" spans="2:99" ht="15" customHeight="1" thickTop="1">
      <c r="B24" s="75" t="s">
        <v>2</v>
      </c>
      <c r="C24" s="75"/>
      <c r="D24" s="129">
        <f>'2. Consolidated'!R60</f>
        <v>2434</v>
      </c>
      <c r="E24" s="130">
        <f>'2. Consolidated'!S60</f>
        <v>2193</v>
      </c>
      <c r="F24" s="130">
        <f>'2. Consolidated'!T60</f>
        <v>2327</v>
      </c>
      <c r="G24" s="130">
        <f>'2. Consolidated'!U60</f>
        <v>2554</v>
      </c>
      <c r="H24" s="131">
        <f>'2. Consolidated'!V60</f>
        <v>9508</v>
      </c>
      <c r="I24" s="130">
        <f>'2. Consolidated'!W60</f>
        <v>2693</v>
      </c>
      <c r="J24" s="130">
        <f>'2. Consolidated'!X60</f>
        <v>2450</v>
      </c>
      <c r="K24" s="130">
        <f>'2. Consolidated'!Y60</f>
        <v>2561</v>
      </c>
      <c r="L24" s="130">
        <f>'2. Consolidated'!Z60</f>
        <v>2767</v>
      </c>
      <c r="M24" s="131">
        <f>'2. Consolidated'!AA60</f>
        <v>10471</v>
      </c>
      <c r="N24" s="131">
        <f>'2. Consolidated'!AB60</f>
        <v>10148</v>
      </c>
      <c r="O24" s="130">
        <f>'2. Consolidated'!AC60</f>
        <v>2828</v>
      </c>
      <c r="P24" s="130">
        <f>'2. Consolidated'!AD60</f>
        <v>2530</v>
      </c>
      <c r="Q24" s="130">
        <f>'2. Consolidated'!AE60</f>
        <v>2736</v>
      </c>
      <c r="R24" s="130">
        <f>'2. Consolidated'!AF60</f>
        <v>2940</v>
      </c>
      <c r="S24" s="131">
        <f>'2. Consolidated'!AG60</f>
        <v>11034</v>
      </c>
      <c r="T24" s="130">
        <f>'2. Consolidated'!AH60</f>
        <v>3132</v>
      </c>
      <c r="U24" s="130">
        <f>'2. Consolidated'!AI60</f>
        <v>2826</v>
      </c>
      <c r="V24" s="130">
        <f>'2. Consolidated'!AJ60</f>
        <v>3103</v>
      </c>
      <c r="W24" s="130">
        <f>'2. Consolidated'!AK60</f>
        <v>3385</v>
      </c>
      <c r="X24" s="131">
        <f>'2. Consolidated'!AL60</f>
        <v>12446</v>
      </c>
      <c r="Y24" s="130">
        <f>'2. Consolidated'!AM60</f>
        <v>3721</v>
      </c>
      <c r="Z24" s="130">
        <f>'2. Consolidated'!AN60</f>
        <v>3327</v>
      </c>
      <c r="AA24" s="130">
        <f>'2. Consolidated'!AO60</f>
        <v>3426</v>
      </c>
      <c r="AB24" s="130">
        <f>'2. Consolidated'!AP60</f>
        <v>3593</v>
      </c>
      <c r="AC24" s="131">
        <f>'2. Consolidated'!AQ60</f>
        <v>14067</v>
      </c>
      <c r="AD24" s="130">
        <f>'2. Consolidated'!AR60</f>
        <v>3995</v>
      </c>
      <c r="AE24" s="130">
        <f>'2. Consolidated'!AS60</f>
        <v>3501</v>
      </c>
      <c r="AF24" s="130">
        <f>'2. Consolidated'!AT60</f>
        <v>3689</v>
      </c>
      <c r="AG24" s="130">
        <f>'2. Consolidated'!AU60</f>
        <v>3786</v>
      </c>
      <c r="AH24" s="131">
        <f>'2. Consolidated'!AV60</f>
        <v>14971</v>
      </c>
      <c r="AI24" s="130">
        <f>'2. Consolidated'!AW60</f>
        <v>4123</v>
      </c>
      <c r="AJ24" s="130">
        <f>'2. Consolidated'!AX60</f>
        <v>3616</v>
      </c>
      <c r="AK24" s="130">
        <f>'2. Consolidated'!AY60</f>
        <v>3750</v>
      </c>
      <c r="AL24" s="130">
        <f>'2. Consolidated'!AZ60</f>
        <v>3823</v>
      </c>
      <c r="AM24" s="131">
        <f>'2. Consolidated'!BA60</f>
        <v>15312</v>
      </c>
      <c r="AN24" s="130">
        <f>'2. Consolidated'!BB60</f>
        <v>3962</v>
      </c>
      <c r="AO24" s="130">
        <f>'2. Consolidated'!BC60</f>
        <v>3678</v>
      </c>
      <c r="AP24" s="130">
        <f>'2. Consolidated'!BD60</f>
        <v>3938</v>
      </c>
      <c r="AQ24" s="130">
        <f>'2. Consolidated'!BE60</f>
        <v>4378</v>
      </c>
      <c r="AR24" s="131">
        <f>'2. Consolidated'!BF60</f>
        <v>15956</v>
      </c>
      <c r="AS24" s="130">
        <f>'2. Consolidated'!BG60</f>
        <v>4397</v>
      </c>
      <c r="AT24" s="130">
        <f>'2. Consolidated'!BH60</f>
        <v>4105</v>
      </c>
      <c r="AU24" s="130">
        <f>'2. Consolidated'!BI60</f>
        <v>4339</v>
      </c>
      <c r="AV24" s="130">
        <f>'2. Consolidated'!BJ60</f>
        <v>4633</v>
      </c>
      <c r="AW24" s="131">
        <f>'2. Consolidated'!BK60</f>
        <v>17474</v>
      </c>
      <c r="AX24" s="130">
        <f>'2. Consolidated'!BL60</f>
        <v>4871</v>
      </c>
      <c r="AY24" s="130">
        <f>'2. Consolidated'!BM60</f>
        <v>4544</v>
      </c>
      <c r="AZ24" s="130">
        <f>'2. Consolidated'!BN60</f>
        <v>4473</v>
      </c>
      <c r="BA24" s="130">
        <f>'2. Consolidated'!BO60</f>
        <v>2353</v>
      </c>
      <c r="BB24" s="131">
        <f>'2. Consolidated'!BP60</f>
        <v>16241</v>
      </c>
      <c r="BC24" s="130">
        <f>'2. Consolidated'!BQ60</f>
        <v>4741</v>
      </c>
      <c r="BD24" s="130">
        <f>'2. Consolidated'!BR60</f>
        <v>4847</v>
      </c>
      <c r="BE24" s="130">
        <f>'2. Consolidated'!BS60</f>
        <v>4719</v>
      </c>
      <c r="BF24" s="130">
        <f>'2. Consolidated'!BT60</f>
        <v>5655</v>
      </c>
      <c r="BG24" s="131">
        <f>'2. Consolidated'!BU60</f>
        <v>19962</v>
      </c>
      <c r="BH24" s="130">
        <f>'2. Consolidated'!BV60</f>
        <v>5696</v>
      </c>
      <c r="BI24" s="130">
        <f>'2. Consolidated'!BW60</f>
        <v>5213</v>
      </c>
      <c r="BJ24" s="130">
        <f>'2. Consolidated'!BX60</f>
        <v>5067</v>
      </c>
      <c r="BK24" s="130">
        <f>'2. Consolidated'!BY60</f>
        <v>5503</v>
      </c>
      <c r="BL24" s="131">
        <f>'2. Consolidated'!BZ60</f>
        <v>21479</v>
      </c>
      <c r="BM24" s="130">
        <f>'2. Consolidated'!CA60</f>
        <v>5615</v>
      </c>
      <c r="BN24" s="130">
        <f>'2. Consolidated'!CB60</f>
        <v>5711</v>
      </c>
      <c r="BO24" s="130">
        <f>'2. Consolidated'!CC60</f>
        <v>5371</v>
      </c>
      <c r="BP24" s="130">
        <f>'2. Consolidated'!CD60</f>
        <v>5595</v>
      </c>
      <c r="BQ24" s="131">
        <f>'2. Consolidated'!CE60</f>
        <v>22292</v>
      </c>
      <c r="BR24" s="130">
        <f>'2. Consolidated'!CF60</f>
        <v>5720</v>
      </c>
      <c r="BS24" s="130">
        <f>'2. Consolidated'!CG60</f>
        <v>5971</v>
      </c>
      <c r="BT24" s="130">
        <f>'2. Consolidated'!CH60</f>
        <v>5625</v>
      </c>
      <c r="BU24" s="130">
        <f>'2. Consolidated'!CI60</f>
        <v>5635</v>
      </c>
      <c r="BV24" s="131">
        <f>'2. Consolidated'!CJ60</f>
        <v>22951</v>
      </c>
      <c r="BW24" s="130">
        <f>'2. Consolidated'!CK60</f>
        <v>5257</v>
      </c>
      <c r="BX24" s="130">
        <f>'2. Consolidated'!CL60</f>
        <v>5389</v>
      </c>
      <c r="BY24" s="130">
        <f>'2. Consolidated'!CM60</f>
        <v>4675</v>
      </c>
      <c r="BZ24" s="130">
        <f>'2. Consolidated'!CN60</f>
        <v>4469</v>
      </c>
      <c r="CA24" s="131">
        <f>'2. Consolidated'!CO60</f>
        <v>19790</v>
      </c>
      <c r="CB24" s="130">
        <f>'2. Consolidated'!CP60</f>
        <v>4943</v>
      </c>
      <c r="CC24" s="130">
        <f>'2. Consolidated'!CQ60</f>
        <v>5045</v>
      </c>
      <c r="CD24" s="130">
        <f>'2. Consolidated'!CR60</f>
        <v>4530</v>
      </c>
      <c r="CE24" s="130">
        <f>'2. Consolidated'!CS60</f>
        <v>5393</v>
      </c>
      <c r="CF24" s="131">
        <f>'2. Consolidated'!CT60</f>
        <v>19911</v>
      </c>
      <c r="CG24" s="130">
        <f>'2. Consolidated'!CU60</f>
        <v>4798</v>
      </c>
      <c r="CH24" s="130">
        <f>'2. Consolidated'!CV60</f>
        <v>4432.5080302527222</v>
      </c>
      <c r="CI24" s="130">
        <f>'2. Consolidated'!CW60</f>
        <v>4087.6760367206348</v>
      </c>
      <c r="CJ24" s="130">
        <f>'2. Consolidated'!CX60</f>
        <v>3967.5953193039004</v>
      </c>
      <c r="CK24" s="131">
        <f>'2. Consolidated'!CY60</f>
        <v>17285.779386277252</v>
      </c>
      <c r="CL24" s="130">
        <f>'2. Consolidated'!CZ60</f>
        <v>4367.7703246131587</v>
      </c>
      <c r="CM24" s="130">
        <f>'2. Consolidated'!DA60</f>
        <v>4195.5019296309156</v>
      </c>
      <c r="CN24" s="130">
        <f>'2. Consolidated'!DB60</f>
        <v>3976.4859352530248</v>
      </c>
      <c r="CO24" s="130">
        <f>'2. Consolidated'!DC60</f>
        <v>3865.8285488381994</v>
      </c>
      <c r="CP24" s="131">
        <f>'2. Consolidated'!DD60</f>
        <v>16405.5867383353</v>
      </c>
      <c r="CQ24" s="130">
        <f>'2. Consolidated'!DE60</f>
        <v>4406.4014389058375</v>
      </c>
      <c r="CR24" s="130">
        <f>'2. Consolidated'!DF60</f>
        <v>4239.8101339784243</v>
      </c>
      <c r="CS24" s="130">
        <f>'2. Consolidated'!DG60</f>
        <v>4039.2033307369056</v>
      </c>
      <c r="CT24" s="130">
        <f>'2. Consolidated'!DH60</f>
        <v>3927.3842189790817</v>
      </c>
      <c r="CU24" s="131">
        <f>'2. Consolidated'!DI60</f>
        <v>16612.799122600249</v>
      </c>
    </row>
    <row r="25" spans="2:99" ht="15" customHeight="1">
      <c r="B25" s="110" t="s">
        <v>216</v>
      </c>
      <c r="C25" s="110"/>
      <c r="D25" s="132">
        <f>'2. Consolidated'!R61</f>
        <v>0.47033816425120772</v>
      </c>
      <c r="E25" s="133">
        <f>'2. Consolidated'!S61</f>
        <v>0.45291201982651796</v>
      </c>
      <c r="F25" s="133">
        <f>'2. Consolidated'!T61</f>
        <v>0.45816105532585155</v>
      </c>
      <c r="G25" s="133">
        <f>'2. Consolidated'!U61</f>
        <v>0.4429413805064169</v>
      </c>
      <c r="H25" s="134">
        <f>'2. Consolidated'!V61</f>
        <v>0.45575687853513563</v>
      </c>
      <c r="I25" s="133">
        <f>'2. Consolidated'!W61</f>
        <v>0.4428547936194705</v>
      </c>
      <c r="J25" s="133">
        <f>'2. Consolidated'!X61</f>
        <v>0.42749956377595533</v>
      </c>
      <c r="K25" s="133">
        <f>'2. Consolidated'!Y61</f>
        <v>0.43807731782415327</v>
      </c>
      <c r="L25" s="133">
        <f>'2. Consolidated'!Z61</f>
        <v>0.42766615146831533</v>
      </c>
      <c r="M25" s="134">
        <f>'2. Consolidated'!AA61</f>
        <v>0.4339771220159151</v>
      </c>
      <c r="N25" s="134">
        <f>'2. Consolidated'!AB61</f>
        <v>0</v>
      </c>
      <c r="O25" s="133">
        <f>'2. Consolidated'!AC61</f>
        <v>0.43682421995675008</v>
      </c>
      <c r="P25" s="133">
        <f>'2. Consolidated'!AD61</f>
        <v>0.42485306465155331</v>
      </c>
      <c r="Q25" s="133">
        <f>'2. Consolidated'!AE61</f>
        <v>0.4422175529335704</v>
      </c>
      <c r="R25" s="133">
        <f>'2. Consolidated'!AF61</f>
        <v>0.43900253845005227</v>
      </c>
      <c r="S25" s="134">
        <f>'2. Consolidated'!AG61</f>
        <v>0.43590250069134434</v>
      </c>
      <c r="T25" s="133">
        <f>'2. Consolidated'!AH61</f>
        <v>0.44928991536364943</v>
      </c>
      <c r="U25" s="133">
        <f>'2. Consolidated'!AI61</f>
        <v>0.43943399160317215</v>
      </c>
      <c r="V25" s="133">
        <f>'2. Consolidated'!AJ61</f>
        <v>0.44506597819850829</v>
      </c>
      <c r="W25" s="133">
        <f>'2. Consolidated'!AK61</f>
        <v>0.4558922558922559</v>
      </c>
      <c r="X25" s="134">
        <f>'2. Consolidated'!AL61</f>
        <v>0.44771394654483976</v>
      </c>
      <c r="Y25" s="133">
        <f>'2. Consolidated'!AM61</f>
        <v>0.46617389125532449</v>
      </c>
      <c r="Z25" s="133">
        <f>'2. Consolidated'!AN61</f>
        <v>0.45081300813008129</v>
      </c>
      <c r="AA25" s="133">
        <f>'2. Consolidated'!AO61</f>
        <v>0.45924932975871313</v>
      </c>
      <c r="AB25" s="133">
        <f>'2. Consolidated'!AP61</f>
        <v>0.46188456099755754</v>
      </c>
      <c r="AC25" s="134">
        <f>'2. Consolidated'!AQ61</f>
        <v>0.4596908597758243</v>
      </c>
      <c r="AD25" s="133">
        <f>'2. Consolidated'!AR61</f>
        <v>0.47480389826479674</v>
      </c>
      <c r="AE25" s="133">
        <f>'2. Consolidated'!AS61</f>
        <v>0.45550351288056207</v>
      </c>
      <c r="AF25" s="133">
        <f>'2. Consolidated'!AT61</f>
        <v>0.4592878486055777</v>
      </c>
      <c r="AG25" s="133">
        <f>'2. Consolidated'!AU61</f>
        <v>0.45924308588064044</v>
      </c>
      <c r="AH25" s="134">
        <f>'2. Consolidated'!AV61</f>
        <v>0.46241042747714356</v>
      </c>
      <c r="AI25" s="133">
        <f>'2. Consolidated'!AW61</f>
        <v>0.45502703895817237</v>
      </c>
      <c r="AJ25" s="133">
        <f>'2. Consolidated'!AX61</f>
        <v>0.44205378973105136</v>
      </c>
      <c r="AK25" s="133">
        <f>'2. Consolidated'!AY61</f>
        <v>0.44473434535104367</v>
      </c>
      <c r="AL25" s="133">
        <f>'2. Consolidated'!AZ61</f>
        <v>0.44059006569090697</v>
      </c>
      <c r="AM25" s="134">
        <f>'2. Consolidated'!BA61</f>
        <v>0.445764192139738</v>
      </c>
      <c r="AN25" s="133">
        <f>'2. Consolidated'!BB61</f>
        <v>0.43682469680264607</v>
      </c>
      <c r="AO25" s="133">
        <f>'2. Consolidated'!BC61</f>
        <v>0.42997428103811081</v>
      </c>
      <c r="AP25" s="133">
        <f>'2. Consolidated'!BD61</f>
        <v>0.4383348174532502</v>
      </c>
      <c r="AQ25" s="133">
        <f>'2. Consolidated'!BE61</f>
        <v>0.44723669424864643</v>
      </c>
      <c r="AR25" s="134">
        <f>'2. Consolidated'!BF61</f>
        <v>0.43838777921257244</v>
      </c>
      <c r="AS25" s="133">
        <f>'2. Consolidated'!BG61</f>
        <v>0.44199839163650984</v>
      </c>
      <c r="AT25" s="133">
        <f>'2. Consolidated'!BH61</f>
        <v>0.43791337742692554</v>
      </c>
      <c r="AU25" s="133">
        <f>'2. Consolidated'!BI61</f>
        <v>0.45146186661117471</v>
      </c>
      <c r="AV25" s="133">
        <f>'2. Consolidated'!BJ61</f>
        <v>0.45492930086410055</v>
      </c>
      <c r="AW25" s="134">
        <f>'2. Consolidated'!BK61</f>
        <v>0.44671114860546568</v>
      </c>
      <c r="AX25" s="133">
        <f>'2. Consolidated'!BL61</f>
        <v>0.45694183864915572</v>
      </c>
      <c r="AY25" s="133">
        <f>'2. Consolidated'!BM61</f>
        <v>0.4400542320356382</v>
      </c>
      <c r="AZ25" s="133">
        <f>'2. Consolidated'!BN61</f>
        <v>0.44269596199524941</v>
      </c>
      <c r="BA25" s="133">
        <f>'2. Consolidated'!BO61</f>
        <v>0.37272295263741484</v>
      </c>
      <c r="BB25" s="134">
        <f>'2. Consolidated'!BP61</f>
        <v>0.43421650669732376</v>
      </c>
      <c r="BC25" s="133">
        <f>'2. Consolidated'!BQ61</f>
        <v>0.44751746271474419</v>
      </c>
      <c r="BD25" s="133">
        <f>'2. Consolidated'!BR61</f>
        <v>0.43111269234190164</v>
      </c>
      <c r="BE25" s="133">
        <f>'2. Consolidated'!BS61</f>
        <v>0.45563387081201118</v>
      </c>
      <c r="BF25" s="133">
        <f>'2. Consolidated'!BT61</f>
        <v>0.45811730395333766</v>
      </c>
      <c r="BG25" s="134">
        <f>'2. Consolidated'!BU61</f>
        <v>0.44820153576721</v>
      </c>
      <c r="BH25" s="133">
        <f>'2. Consolidated'!BV61</f>
        <v>0.46505551926845201</v>
      </c>
      <c r="BI25" s="133">
        <f>'2. Consolidated'!BW61</f>
        <v>0.45901206304481817</v>
      </c>
      <c r="BJ25" s="133">
        <f>'2. Consolidated'!BX61</f>
        <v>0.4661024744733695</v>
      </c>
      <c r="BK25" s="133">
        <f>'2. Consolidated'!BY61</f>
        <v>0.44981199934608468</v>
      </c>
      <c r="BL25" s="134">
        <f>'2. Consolidated'!BZ61</f>
        <v>0.45983729394134021</v>
      </c>
      <c r="BM25" s="133">
        <f>'2. Consolidated'!CA61</f>
        <v>0.44257901789233073</v>
      </c>
      <c r="BN25" s="133">
        <f>'2. Consolidated'!CB61</f>
        <v>0.42891475779196397</v>
      </c>
      <c r="BO25" s="133">
        <f>'2. Consolidated'!CC61</f>
        <v>0.43349475383373687</v>
      </c>
      <c r="BP25" s="133">
        <f>'2. Consolidated'!CD61</f>
        <v>0.43625730994152045</v>
      </c>
      <c r="BQ25" s="134">
        <f>'2. Consolidated'!CE61</f>
        <v>0.43524610969014194</v>
      </c>
      <c r="BR25" s="133">
        <f>'2. Consolidated'!CF61</f>
        <v>0.44207434886776414</v>
      </c>
      <c r="BS25" s="133">
        <f>'2. Consolidated'!CG61</f>
        <v>0.44599641469973111</v>
      </c>
      <c r="BT25" s="133">
        <f>'2. Consolidated'!CH61</f>
        <v>0.45257060101375812</v>
      </c>
      <c r="BU25" s="133">
        <f>'2. Consolidated'!CI61</f>
        <v>0.44700936062192609</v>
      </c>
      <c r="BV25" s="134">
        <f>'2. Consolidated'!CJ61</f>
        <v>0.44684786417974376</v>
      </c>
      <c r="BW25" s="133">
        <f>'2. Consolidated'!CK61</f>
        <v>0.45361981189058592</v>
      </c>
      <c r="BX25" s="133">
        <f>'2. Consolidated'!CL61</f>
        <v>0.43621499109600131</v>
      </c>
      <c r="BY25" s="133">
        <f>'2. Consolidated'!CM61</f>
        <v>0.41485491170467653</v>
      </c>
      <c r="BZ25" s="133">
        <f>'2. Consolidated'!CN61</f>
        <v>0.40272145624943678</v>
      </c>
      <c r="CA25" s="134">
        <f>'2. Consolidated'!CO61</f>
        <v>0.42734673605562634</v>
      </c>
      <c r="CB25" s="133">
        <f>'2. Consolidated'!CP61</f>
        <v>0.42175767918088736</v>
      </c>
      <c r="CC25" s="133">
        <f>'2. Consolidated'!CQ61</f>
        <v>0.40597086988009978</v>
      </c>
      <c r="CD25" s="133">
        <f>'2. Consolidated'!CR61</f>
        <v>0.40163135029701214</v>
      </c>
      <c r="CE25" s="133">
        <f>'2. Consolidated'!CS61</f>
        <v>0.49152387896463728</v>
      </c>
      <c r="CF25" s="134">
        <f>'2. Consolidated'!CT61</f>
        <v>0.42913487650329757</v>
      </c>
      <c r="CG25" s="133">
        <f>'2. Consolidated'!CU61</f>
        <v>0.42789619192009276</v>
      </c>
      <c r="CH25" s="133">
        <f>'2. Consolidated'!CV61</f>
        <v>0.40747086988009978</v>
      </c>
      <c r="CI25" s="133">
        <f>'2. Consolidated'!CW61</f>
        <v>0.39663135029701213</v>
      </c>
      <c r="CJ25" s="133">
        <f>'2. Consolidated'!CX61</f>
        <v>0.40152387896463726</v>
      </c>
      <c r="CK25" s="134">
        <f>'2. Consolidated'!CY61</f>
        <v>0.4088558072475037</v>
      </c>
      <c r="CL25" s="133">
        <f>'2. Consolidated'!CZ61</f>
        <v>0.42289619192009276</v>
      </c>
      <c r="CM25" s="133">
        <f>'2. Consolidated'!DA61</f>
        <v>0.40497086988009978</v>
      </c>
      <c r="CN25" s="133">
        <f>'2. Consolidated'!DB61</f>
        <v>0.39663135029701213</v>
      </c>
      <c r="CO25" s="133">
        <f>'2. Consolidated'!DC61</f>
        <v>0.40152387896463726</v>
      </c>
      <c r="CP25" s="134">
        <f>'2. Consolidated'!DD61</f>
        <v>0.40666490918628762</v>
      </c>
      <c r="CQ25" s="133">
        <f>'2. Consolidated'!DE61</f>
        <v>0.42639619192009276</v>
      </c>
      <c r="CR25" s="133">
        <f>'2. Consolidated'!DF61</f>
        <v>0.40847086988009979</v>
      </c>
      <c r="CS25" s="133">
        <f>'2. Consolidated'!DG61</f>
        <v>0.40013135029701213</v>
      </c>
      <c r="CT25" s="133">
        <f>'2. Consolidated'!DH61</f>
        <v>0.40502387896463726</v>
      </c>
      <c r="CU25" s="134">
        <f>'2. Consolidated'!DI61</f>
        <v>0.4101405845194635</v>
      </c>
    </row>
    <row r="26" spans="2:99" ht="15" customHeight="1">
      <c r="B26" s="110" t="s">
        <v>312</v>
      </c>
      <c r="C26" s="110"/>
      <c r="D26" s="132"/>
      <c r="E26" s="133"/>
      <c r="F26" s="133"/>
      <c r="G26" s="133"/>
      <c r="H26" s="193">
        <f>'2. Consolidated'!V62</f>
        <v>-70.810303740892479</v>
      </c>
      <c r="I26" s="194">
        <f>'2. Consolidated'!W62</f>
        <v>-274.83370631737228</v>
      </c>
      <c r="J26" s="194">
        <f>'2. Consolidated'!X62</f>
        <v>-254.12456050562636</v>
      </c>
      <c r="K26" s="194">
        <f>'2. Consolidated'!Y62</f>
        <v>-200.83737501698283</v>
      </c>
      <c r="L26" s="194">
        <f>'2. Consolidated'!Z62</f>
        <v>-152.7522903810158</v>
      </c>
      <c r="M26" s="193">
        <f>'2. Consolidated'!AA62</f>
        <v>-217.79756519220541</v>
      </c>
      <c r="N26" s="193">
        <f>'2. Consolidated'!AB62</f>
        <v>0</v>
      </c>
      <c r="O26" s="194">
        <f>'2. Consolidated'!AC62</f>
        <v>-60.305736627204176</v>
      </c>
      <c r="P26" s="194">
        <f>'2. Consolidated'!AD62</f>
        <v>-26.46499124402013</v>
      </c>
      <c r="Q26" s="194">
        <f>'2. Consolidated'!AE62</f>
        <v>41.402351094171344</v>
      </c>
      <c r="R26" s="194">
        <f>'2. Consolidated'!AF62</f>
        <v>113.36386981736946</v>
      </c>
      <c r="S26" s="193">
        <f>'2. Consolidated'!AG62</f>
        <v>19.253786754292456</v>
      </c>
      <c r="T26" s="194">
        <f>'2. Consolidated'!AH62</f>
        <v>124.65695406899346</v>
      </c>
      <c r="U26" s="194">
        <f>'2. Consolidated'!AI62</f>
        <v>145.80926951618832</v>
      </c>
      <c r="V26" s="194">
        <f>'2. Consolidated'!AJ62</f>
        <v>28.484252649378927</v>
      </c>
      <c r="W26" s="194">
        <f>'2. Consolidated'!AK62</f>
        <v>168.89717442203633</v>
      </c>
      <c r="X26" s="193">
        <f>'2. Consolidated'!AL62</f>
        <v>118.11445853495417</v>
      </c>
      <c r="Y26" s="194">
        <f>'2. Consolidated'!AM62</f>
        <v>168.83975891675064</v>
      </c>
      <c r="Z26" s="194">
        <f>'2. Consolidated'!AN62</f>
        <v>113.79016526909147</v>
      </c>
      <c r="AA26" s="194">
        <f>'2. Consolidated'!AO62</f>
        <v>141.83351560204838</v>
      </c>
      <c r="AB26" s="194">
        <f>'2. Consolidated'!AP62</f>
        <v>59.923051053016316</v>
      </c>
      <c r="AC26" s="193">
        <f>'2. Consolidated'!AQ62</f>
        <v>119.76913230984543</v>
      </c>
      <c r="AD26" s="194">
        <f>'2. Consolidated'!AR62</f>
        <v>86.300070094722514</v>
      </c>
      <c r="AE26" s="194">
        <f>'2. Consolidated'!AS62</f>
        <v>46.905047504807726</v>
      </c>
      <c r="AF26" s="194">
        <f>'2. Consolidated'!AT62</f>
        <v>0.38518846864565859</v>
      </c>
      <c r="AG26" s="194">
        <f>'2. Consolidated'!AU62</f>
        <v>-26.414751169170913</v>
      </c>
      <c r="AH26" s="193">
        <f>'2. Consolidated'!AV62</f>
        <v>27.195677013192586</v>
      </c>
      <c r="AI26" s="194">
        <f>'2. Consolidated'!AW62</f>
        <v>-197.76859306624374</v>
      </c>
      <c r="AJ26" s="194">
        <f>'2. Consolidated'!AX62</f>
        <v>-134.49723149510706</v>
      </c>
      <c r="AK26" s="194">
        <f>'2. Consolidated'!AY62</f>
        <v>-145.53503254534027</v>
      </c>
      <c r="AL26" s="194">
        <f>'2. Consolidated'!AZ62</f>
        <v>-186.53020189733471</v>
      </c>
      <c r="AM26" s="193">
        <f>'2. Consolidated'!BA62</f>
        <v>-166.46235337405557</v>
      </c>
      <c r="AN26" s="194">
        <f>'2. Consolidated'!BB62</f>
        <v>-182.02342155526296</v>
      </c>
      <c r="AO26" s="194">
        <f>'2. Consolidated'!BC62</f>
        <v>-120.79508692940554</v>
      </c>
      <c r="AP26" s="194">
        <f>'2. Consolidated'!BD62</f>
        <v>-63.995278977934667</v>
      </c>
      <c r="AQ26" s="194">
        <f>'2. Consolidated'!BE62</f>
        <v>66.46628557739453</v>
      </c>
      <c r="AR26" s="193">
        <f>'2. Consolidated'!BF62</f>
        <v>-73.764129271655648</v>
      </c>
      <c r="AS26" s="194">
        <f>'2. Consolidated'!BG62</f>
        <v>51.736948338637625</v>
      </c>
      <c r="AT26" s="194">
        <f>'2. Consolidated'!BH62</f>
        <v>79.390963888147368</v>
      </c>
      <c r="AU26" s="194">
        <f>'2. Consolidated'!BI62</f>
        <v>131.27049157924509</v>
      </c>
      <c r="AV26" s="194">
        <f>'2. Consolidated'!BJ62</f>
        <v>76.926066154541232</v>
      </c>
      <c r="AW26" s="193">
        <f>'2. Consolidated'!BK62</f>
        <v>83.233693928932425</v>
      </c>
      <c r="AX26" s="194">
        <f>'2. Consolidated'!BL62</f>
        <v>149.43447012645882</v>
      </c>
      <c r="AY26" s="194">
        <f>'2. Consolidated'!BM62</f>
        <v>21.408546087126613</v>
      </c>
      <c r="AZ26" s="194">
        <f>'2. Consolidated'!BN62</f>
        <v>-87.659046159253023</v>
      </c>
      <c r="BA26" s="194">
        <f>'2. Consolidated'!BO62</f>
        <v>-822.06348226685714</v>
      </c>
      <c r="BB26" s="193">
        <f>'2. Consolidated'!BP62</f>
        <v>-124.94641908141924</v>
      </c>
      <c r="BC26" s="194">
        <f>'2. Consolidated'!BQ62</f>
        <v>-94.243759344115333</v>
      </c>
      <c r="BD26" s="194">
        <f>'2. Consolidated'!BR62</f>
        <v>-89.415396937365671</v>
      </c>
      <c r="BE26" s="194">
        <f>'2. Consolidated'!BS62</f>
        <v>129.37908816761768</v>
      </c>
      <c r="BF26" s="194">
        <f>'2. Consolidated'!BT62</f>
        <v>853.94351315922825</v>
      </c>
      <c r="BG26" s="193">
        <f>'2. Consolidated'!BU62</f>
        <v>139.85029069886247</v>
      </c>
      <c r="BH26" s="194">
        <f>'2. Consolidated'!BV62</f>
        <v>175.38056553707827</v>
      </c>
      <c r="BI26" s="194">
        <f>'2. Consolidated'!BW62</f>
        <v>278.99370702916536</v>
      </c>
      <c r="BJ26" s="194">
        <f>'2. Consolidated'!BX62</f>
        <v>104.68603661358323</v>
      </c>
      <c r="BK26" s="194">
        <f>'2. Consolidated'!BY62</f>
        <v>-83.053046072529838</v>
      </c>
      <c r="BL26" s="193">
        <f>'2. Consolidated'!BZ62</f>
        <v>116.35758174130206</v>
      </c>
      <c r="BM26" s="194">
        <f>'2. Consolidated'!CA62</f>
        <v>-224.7650137612128</v>
      </c>
      <c r="BN26" s="194">
        <f>'2. Consolidated'!CB62</f>
        <v>-300.97305252854198</v>
      </c>
      <c r="BO26" s="194">
        <f>'2. Consolidated'!CC62</f>
        <v>-326.07720639632635</v>
      </c>
      <c r="BP26" s="194">
        <f>'2. Consolidated'!CD62</f>
        <v>-135.54689404564223</v>
      </c>
      <c r="BQ26" s="193">
        <f>'2. Consolidated'!CE62</f>
        <v>-245.91184251198274</v>
      </c>
      <c r="BR26" s="194">
        <f>'2. Consolidated'!CF62</f>
        <v>-5.0466902456658413</v>
      </c>
      <c r="BS26" s="194">
        <f>'2. Consolidated'!CG62</f>
        <v>170.8165690776714</v>
      </c>
      <c r="BT26" s="194">
        <f>'2. Consolidated'!CH62</f>
        <v>190.75847180021256</v>
      </c>
      <c r="BU26" s="194">
        <f>'2. Consolidated'!CI62</f>
        <v>107.52050680405634</v>
      </c>
      <c r="BV26" s="193">
        <f>'2. Consolidated'!CJ62</f>
        <v>116.01754489601824</v>
      </c>
      <c r="BW26" s="194">
        <f>'2. Consolidated'!CK62</f>
        <v>115.45463022821778</v>
      </c>
      <c r="BX26" s="194">
        <f>'2. Consolidated'!CL62</f>
        <v>-97.814236037298002</v>
      </c>
      <c r="BY26" s="194">
        <f>'2. Consolidated'!CM62</f>
        <v>-377.15689309081586</v>
      </c>
      <c r="BZ26" s="194">
        <f>'2. Consolidated'!CN62</f>
        <v>-442.87904372489305</v>
      </c>
      <c r="CA26" s="193">
        <f>'2. Consolidated'!CO62</f>
        <v>-195.01128124117417</v>
      </c>
      <c r="CB26" s="194">
        <f>'2. Consolidated'!CP62</f>
        <v>-318.62132709698568</v>
      </c>
      <c r="CC26" s="194">
        <f>'2. Consolidated'!CQ62</f>
        <v>-302.44121215901532</v>
      </c>
      <c r="CD26" s="194">
        <f>'2. Consolidated'!CR62</f>
        <v>-132.23561407664397</v>
      </c>
      <c r="CE26" s="194">
        <f>'2. Consolidated'!CS62</f>
        <v>888.02422715200498</v>
      </c>
      <c r="CF26" s="193">
        <f>'2. Consolidated'!CT62</f>
        <v>17.88140447671227</v>
      </c>
      <c r="CG26" s="194">
        <f>'2. Consolidated'!CU62</f>
        <v>61.385127392054038</v>
      </c>
      <c r="CH26" s="194">
        <f>'2. Consolidated'!CV62</f>
        <v>15</v>
      </c>
      <c r="CI26" s="194">
        <f>'2. Consolidated'!CW62</f>
        <v>-50</v>
      </c>
      <c r="CJ26" s="194">
        <f>'2. Consolidated'!CX62</f>
        <v>-900</v>
      </c>
      <c r="CK26" s="193">
        <f>'2. Consolidated'!CY62</f>
        <v>-202.79069255793871</v>
      </c>
      <c r="CL26" s="194">
        <f>'2. Consolidated'!CZ62</f>
        <v>-50</v>
      </c>
      <c r="CM26" s="194">
        <f>'2. Consolidated'!DA62</f>
        <v>-25</v>
      </c>
      <c r="CN26" s="194">
        <f>'2. Consolidated'!DB62</f>
        <v>0</v>
      </c>
      <c r="CO26" s="194">
        <f>'2. Consolidated'!DC62</f>
        <v>0</v>
      </c>
      <c r="CP26" s="193">
        <f>'2. Consolidated'!DD62</f>
        <v>-21.908980612160846</v>
      </c>
      <c r="CQ26" s="194">
        <f>'2. Consolidated'!DE62</f>
        <v>35</v>
      </c>
      <c r="CR26" s="194">
        <f>'2. Consolidated'!DF62</f>
        <v>35</v>
      </c>
      <c r="CS26" s="194">
        <f>'2. Consolidated'!DG62</f>
        <v>35</v>
      </c>
      <c r="CT26" s="194">
        <f>'2. Consolidated'!DH62</f>
        <v>35</v>
      </c>
      <c r="CU26" s="193">
        <f>'2. Consolidated'!DI62</f>
        <v>34.756753331758873</v>
      </c>
    </row>
    <row r="27" spans="2:99" ht="15" customHeight="1">
      <c r="B27" s="165" t="s">
        <v>80</v>
      </c>
      <c r="C27" s="165"/>
      <c r="D27" s="135">
        <f>'2. Consolidated'!R63</f>
        <v>-679</v>
      </c>
      <c r="E27" s="136">
        <f>'2. Consolidated'!S63</f>
        <v>-574</v>
      </c>
      <c r="F27" s="136">
        <f>'2. Consolidated'!T63</f>
        <v>-578</v>
      </c>
      <c r="G27" s="136">
        <f>'2. Consolidated'!U63</f>
        <v>-617</v>
      </c>
      <c r="H27" s="137">
        <f>'2. Consolidated'!V63</f>
        <v>-2448</v>
      </c>
      <c r="I27" s="136">
        <f>'2. Consolidated'!W63</f>
        <v>-692</v>
      </c>
      <c r="J27" s="136">
        <f>'2. Consolidated'!X63</f>
        <v>-644</v>
      </c>
      <c r="K27" s="136">
        <f>'2. Consolidated'!Y63</f>
        <v>-615</v>
      </c>
      <c r="L27" s="136">
        <f>'2. Consolidated'!Z63</f>
        <v>-760</v>
      </c>
      <c r="M27" s="137">
        <f>'2. Consolidated'!AA63</f>
        <v>-2711</v>
      </c>
      <c r="N27" s="137" t="str">
        <f>'2. Consolidated'!AB63</f>
        <v>--</v>
      </c>
      <c r="O27" s="136">
        <f>'2. Consolidated'!AC63</f>
        <v>-871</v>
      </c>
      <c r="P27" s="136">
        <f>'2. Consolidated'!AD63</f>
        <v>-613</v>
      </c>
      <c r="Q27" s="136">
        <f>'2. Consolidated'!AE63</f>
        <v>-619</v>
      </c>
      <c r="R27" s="136">
        <f>'2. Consolidated'!AF63</f>
        <v>-642</v>
      </c>
      <c r="S27" s="137">
        <f>'2. Consolidated'!AG63</f>
        <v>-2745</v>
      </c>
      <c r="T27" s="136">
        <f>'2. Consolidated'!AH63</f>
        <v>-731</v>
      </c>
      <c r="U27" s="136">
        <f>'2. Consolidated'!AI63</f>
        <v>-691</v>
      </c>
      <c r="V27" s="136">
        <f>'2. Consolidated'!AJ63</f>
        <v>-733</v>
      </c>
      <c r="W27" s="136">
        <f>'2. Consolidated'!AK63</f>
        <v>-876</v>
      </c>
      <c r="X27" s="137">
        <f>'2. Consolidated'!AL63</f>
        <v>-3031</v>
      </c>
      <c r="Y27" s="136">
        <f>'2. Consolidated'!AM63</f>
        <v>-897</v>
      </c>
      <c r="Z27" s="136">
        <f>'2. Consolidated'!AN63</f>
        <v>-766</v>
      </c>
      <c r="AA27" s="136">
        <f>'2. Consolidated'!AO63</f>
        <v>-731</v>
      </c>
      <c r="AB27" s="136">
        <f>'2. Consolidated'!AP63</f>
        <v>-819</v>
      </c>
      <c r="AC27" s="137">
        <f>'2. Consolidated'!AQ63</f>
        <v>-3213</v>
      </c>
      <c r="AD27" s="136">
        <f>'2. Consolidated'!AR63</f>
        <v>-832</v>
      </c>
      <c r="AE27" s="136">
        <f>'2. Consolidated'!AS63</f>
        <v>-769</v>
      </c>
      <c r="AF27" s="136">
        <f>'2. Consolidated'!AT63</f>
        <v>-804</v>
      </c>
      <c r="AG27" s="136">
        <f>'2. Consolidated'!AU63</f>
        <v>-873</v>
      </c>
      <c r="AH27" s="137">
        <f>'2. Consolidated'!AV63</f>
        <v>-3278</v>
      </c>
      <c r="AI27" s="136">
        <f>'2. Consolidated'!AW63</f>
        <v>-1041</v>
      </c>
      <c r="AJ27" s="136">
        <f>'2. Consolidated'!AX63</f>
        <v>-762</v>
      </c>
      <c r="AK27" s="136">
        <f>'2. Consolidated'!AY63</f>
        <v>-749</v>
      </c>
      <c r="AL27" s="136">
        <f>'2. Consolidated'!AZ63</f>
        <v>-789</v>
      </c>
      <c r="AM27" s="137">
        <f>'2. Consolidated'!BA63</f>
        <v>-3341</v>
      </c>
      <c r="AN27" s="136">
        <f>'2. Consolidated'!BB63</f>
        <v>-855</v>
      </c>
      <c r="AO27" s="136">
        <f>'2. Consolidated'!BC63</f>
        <v>-877</v>
      </c>
      <c r="AP27" s="136">
        <f>'2. Consolidated'!BD63</f>
        <v>-862</v>
      </c>
      <c r="AQ27" s="136">
        <f>'2. Consolidated'!BE63</f>
        <v>-983</v>
      </c>
      <c r="AR27" s="137">
        <f>'2. Consolidated'!BF63</f>
        <v>-3577</v>
      </c>
      <c r="AS27" s="136">
        <f>'2. Consolidated'!BG63</f>
        <v>-964</v>
      </c>
      <c r="AT27" s="136">
        <f>'2. Consolidated'!BH63</f>
        <v>-910</v>
      </c>
      <c r="AU27" s="136">
        <f>'2. Consolidated'!BI63</f>
        <v>-865</v>
      </c>
      <c r="AV27" s="136">
        <f>'2. Consolidated'!BJ63</f>
        <v>-1014</v>
      </c>
      <c r="AW27" s="137">
        <f>'2. Consolidated'!BK63</f>
        <v>-3753</v>
      </c>
      <c r="AX27" s="136">
        <f>'2. Consolidated'!BL63</f>
        <v>-1018</v>
      </c>
      <c r="AY27" s="136">
        <f>'2. Consolidated'!BM63</f>
        <v>-881</v>
      </c>
      <c r="AZ27" s="136">
        <f>'2. Consolidated'!BN63</f>
        <v>-870</v>
      </c>
      <c r="BA27" s="136">
        <f>'2. Consolidated'!BO63</f>
        <v>-823</v>
      </c>
      <c r="BB27" s="137">
        <f>'2. Consolidated'!BP63</f>
        <v>-3592</v>
      </c>
      <c r="BC27" s="136">
        <f>'2. Consolidated'!BQ63</f>
        <v>-677</v>
      </c>
      <c r="BD27" s="136">
        <f>'2. Consolidated'!BR63</f>
        <v>-729</v>
      </c>
      <c r="BE27" s="136">
        <f>'2. Consolidated'!BS63</f>
        <v>-711</v>
      </c>
      <c r="BF27" s="136">
        <f>'2. Consolidated'!BT63</f>
        <v>-997</v>
      </c>
      <c r="BG27" s="137">
        <f>'2. Consolidated'!BU63</f>
        <v>-3114</v>
      </c>
      <c r="BH27" s="136">
        <f>'2. Consolidated'!BV63</f>
        <v>-918</v>
      </c>
      <c r="BI27" s="136">
        <f>'2. Consolidated'!BW63</f>
        <v>-1017</v>
      </c>
      <c r="BJ27" s="136">
        <f>'2. Consolidated'!BX63</f>
        <v>-854</v>
      </c>
      <c r="BK27" s="136">
        <f>'2. Consolidated'!BY63</f>
        <v>-1061</v>
      </c>
      <c r="BL27" s="137">
        <f>'2. Consolidated'!BZ63</f>
        <v>-3850</v>
      </c>
      <c r="BM27" s="136">
        <f>'2. Consolidated'!CA63</f>
        <v>-943</v>
      </c>
      <c r="BN27" s="136">
        <f>'2. Consolidated'!CB63</f>
        <v>-1102</v>
      </c>
      <c r="BO27" s="136">
        <f>'2. Consolidated'!CC63</f>
        <v>-923</v>
      </c>
      <c r="BP27" s="136">
        <f>'2. Consolidated'!CD63</f>
        <v>-1092</v>
      </c>
      <c r="BQ27" s="137">
        <f>'2. Consolidated'!CE63</f>
        <v>-4060</v>
      </c>
      <c r="BR27" s="136">
        <f>'2. Consolidated'!CF63</f>
        <v>-1069</v>
      </c>
      <c r="BS27" s="136">
        <f>'2. Consolidated'!CG63</f>
        <v>-1114</v>
      </c>
      <c r="BT27" s="136">
        <f>'2. Consolidated'!CH63</f>
        <v>-1011</v>
      </c>
      <c r="BU27" s="136">
        <f>'2. Consolidated'!CI63</f>
        <v>-1091</v>
      </c>
      <c r="BV27" s="137">
        <f>'2. Consolidated'!CJ63</f>
        <v>-4285</v>
      </c>
      <c r="BW27" s="136">
        <f>'2. Consolidated'!CK63</f>
        <v>-1226</v>
      </c>
      <c r="BX27" s="136">
        <f>'2. Consolidated'!CL63</f>
        <v>-1122</v>
      </c>
      <c r="BY27" s="136">
        <f>'2. Consolidated'!CM63</f>
        <v>-1088</v>
      </c>
      <c r="BZ27" s="136">
        <f>'2. Consolidated'!CN63</f>
        <v>-1253</v>
      </c>
      <c r="CA27" s="137">
        <f>'2. Consolidated'!CO63</f>
        <v>-4689</v>
      </c>
      <c r="CB27" s="136">
        <f>'2. Consolidated'!CP63</f>
        <v>-1188</v>
      </c>
      <c r="CC27" s="136">
        <f>'2. Consolidated'!CQ63</f>
        <v>-1273</v>
      </c>
      <c r="CD27" s="136">
        <f>'2. Consolidated'!CR63</f>
        <v>-1090</v>
      </c>
      <c r="CE27" s="136">
        <f>'2. Consolidated'!CS63</f>
        <v>-1203</v>
      </c>
      <c r="CF27" s="137">
        <f>'2. Consolidated'!CT63</f>
        <v>-4754</v>
      </c>
      <c r="CG27" s="136">
        <f>'2. Consolidated'!CU63</f>
        <v>-1252</v>
      </c>
      <c r="CH27" s="136">
        <f>'2. Consolidated'!CV63</f>
        <v>-1168.7236897981734</v>
      </c>
      <c r="CI27" s="136">
        <f>'2. Consolidated'!CW63</f>
        <v>-995.96787826048399</v>
      </c>
      <c r="CJ27" s="136">
        <f>'2. Consolidated'!CX63</f>
        <v>-1083.4174329301859</v>
      </c>
      <c r="CK27" s="137">
        <f>'2. Consolidated'!CY63</f>
        <v>-4500.109000988843</v>
      </c>
      <c r="CL27" s="136">
        <f>'2. Consolidated'!CZ63</f>
        <v>-1049.9280061655845</v>
      </c>
      <c r="CM27" s="136">
        <f>'2. Consolidated'!DA63</f>
        <v>-1115.1331474602907</v>
      </c>
      <c r="CN27" s="136">
        <f>'2. Consolidated'!DB63</f>
        <v>-968.87625738655902</v>
      </c>
      <c r="CO27" s="136">
        <f>'2. Consolidated'!DC63</f>
        <v>-1055.6283354183738</v>
      </c>
      <c r="CP27" s="137">
        <f>'2. Consolidated'!DD63</f>
        <v>-4189.5657464308078</v>
      </c>
      <c r="CQ27" s="136">
        <f>'2. Consolidated'!DE63</f>
        <v>-1050.519805342132</v>
      </c>
      <c r="CR27" s="136">
        <f>'2. Consolidated'!DF63</f>
        <v>-1117.2539623116268</v>
      </c>
      <c r="CS27" s="136">
        <f>'2. Consolidated'!DG63</f>
        <v>-975.54888616640926</v>
      </c>
      <c r="CT27" s="136">
        <f>'2. Consolidated'!DH63</f>
        <v>-1063.1696990702887</v>
      </c>
      <c r="CU27" s="137">
        <f>'2. Consolidated'!DI63</f>
        <v>-4206.4923528904574</v>
      </c>
    </row>
    <row r="28" spans="2:99" ht="15" customHeight="1">
      <c r="B28" s="119" t="s">
        <v>215</v>
      </c>
      <c r="C28" s="119"/>
      <c r="D28" s="132" t="str">
        <f>'2. Consolidated'!R64</f>
        <v>--</v>
      </c>
      <c r="E28" s="133" t="str">
        <f>'2. Consolidated'!S64</f>
        <v>--</v>
      </c>
      <c r="F28" s="133" t="str">
        <f>'2. Consolidated'!T64</f>
        <v>--</v>
      </c>
      <c r="G28" s="133" t="str">
        <f>'2. Consolidated'!U64</f>
        <v>--</v>
      </c>
      <c r="H28" s="134">
        <f>'2. Consolidated'!V64</f>
        <v>3.9049235993208864E-2</v>
      </c>
      <c r="I28" s="133">
        <f>'2. Consolidated'!W64</f>
        <v>1.9145802650957222E-2</v>
      </c>
      <c r="J28" s="133">
        <f>'2. Consolidated'!X64</f>
        <v>0.12195121951219523</v>
      </c>
      <c r="K28" s="133">
        <f>'2. Consolidated'!Y64</f>
        <v>6.4013840830449809E-2</v>
      </c>
      <c r="L28" s="133">
        <f>'2. Consolidated'!Z64</f>
        <v>0.2317666126418152</v>
      </c>
      <c r="M28" s="134">
        <f>'2. Consolidated'!AA64</f>
        <v>0.10743464052287588</v>
      </c>
      <c r="N28" s="134">
        <f>'2. Consolidated'!AB64</f>
        <v>0</v>
      </c>
      <c r="O28" s="133">
        <f>'2. Consolidated'!AC64</f>
        <v>0.25867052023121384</v>
      </c>
      <c r="P28" s="133">
        <f>'2. Consolidated'!AD64</f>
        <v>-4.8136645962732927E-2</v>
      </c>
      <c r="Q28" s="133">
        <f>'2. Consolidated'!AE64</f>
        <v>6.5040650406504863E-3</v>
      </c>
      <c r="R28" s="133">
        <f>'2. Consolidated'!AF64</f>
        <v>-0.15526315789473688</v>
      </c>
      <c r="S28" s="134">
        <f>'2. Consolidated'!AG64</f>
        <v>1.2541497602360785E-2</v>
      </c>
      <c r="T28" s="133">
        <f>'2. Consolidated'!AH64</f>
        <v>-0.16073478760045923</v>
      </c>
      <c r="U28" s="133">
        <f>'2. Consolidated'!AI64</f>
        <v>0.12724306688417619</v>
      </c>
      <c r="V28" s="133">
        <f>'2. Consolidated'!AJ64</f>
        <v>0.18416801292407103</v>
      </c>
      <c r="W28" s="133">
        <f>'2. Consolidated'!AK64</f>
        <v>0.36448598130841114</v>
      </c>
      <c r="X28" s="134">
        <f>'2. Consolidated'!AL64</f>
        <v>0.10418943533697633</v>
      </c>
      <c r="Y28" s="133">
        <f>'2. Consolidated'!AM64</f>
        <v>0.22708618331053354</v>
      </c>
      <c r="Z28" s="133">
        <f>'2. Consolidated'!AN64</f>
        <v>0.1085383502170767</v>
      </c>
      <c r="AA28" s="133">
        <f>'2. Consolidated'!AO64</f>
        <v>-2.7285129604365244E-3</v>
      </c>
      <c r="AB28" s="133">
        <f>'2. Consolidated'!AP64</f>
        <v>-6.506849315068497E-2</v>
      </c>
      <c r="AC28" s="134">
        <f>'2. Consolidated'!AQ64</f>
        <v>6.004618937644346E-2</v>
      </c>
      <c r="AD28" s="133">
        <f>'2. Consolidated'!AR64</f>
        <v>-7.2463768115942018E-2</v>
      </c>
      <c r="AE28" s="133">
        <f>'2. Consolidated'!AS64</f>
        <v>3.916449086161844E-3</v>
      </c>
      <c r="AF28" s="133">
        <f>'2. Consolidated'!AT64</f>
        <v>9.9863201094391174E-2</v>
      </c>
      <c r="AG28" s="133">
        <f>'2. Consolidated'!AU64</f>
        <v>6.5934065934065922E-2</v>
      </c>
      <c r="AH28" s="134">
        <f>'2. Consolidated'!AV64</f>
        <v>2.0230314347961409E-2</v>
      </c>
      <c r="AI28" s="133">
        <f>'2. Consolidated'!AW64</f>
        <v>0.25120192307692313</v>
      </c>
      <c r="AJ28" s="133">
        <f>'2. Consolidated'!AX64</f>
        <v>-9.1027308192457301E-3</v>
      </c>
      <c r="AK28" s="133">
        <f>'2. Consolidated'!AY64</f>
        <v>-6.8407960199004969E-2</v>
      </c>
      <c r="AL28" s="133">
        <f>'2. Consolidated'!AZ64</f>
        <v>-9.6219931271477654E-2</v>
      </c>
      <c r="AM28" s="134">
        <f>'2. Consolidated'!BA64</f>
        <v>1.9219035997559475E-2</v>
      </c>
      <c r="AN28" s="133">
        <f>'2. Consolidated'!BB64</f>
        <v>-0.17867435158501443</v>
      </c>
      <c r="AO28" s="133">
        <f>'2. Consolidated'!BC64</f>
        <v>0.15091863517060378</v>
      </c>
      <c r="AP28" s="133">
        <f>'2. Consolidated'!BD64</f>
        <v>0.15086782376502006</v>
      </c>
      <c r="AQ28" s="133">
        <f>'2. Consolidated'!BE64</f>
        <v>0.24588086185044356</v>
      </c>
      <c r="AR28" s="134">
        <f>'2. Consolidated'!BF64</f>
        <v>7.0637533672553099E-2</v>
      </c>
      <c r="AS28" s="133">
        <f>'2. Consolidated'!BG64</f>
        <v>0.12748538011695909</v>
      </c>
      <c r="AT28" s="133">
        <f>'2. Consolidated'!BH64</f>
        <v>3.7628278221208733E-2</v>
      </c>
      <c r="AU28" s="133">
        <f>'2. Consolidated'!BI64</f>
        <v>3.4802784222738303E-3</v>
      </c>
      <c r="AV28" s="133">
        <f>'2. Consolidated'!BJ64</f>
        <v>3.1536113936927679E-2</v>
      </c>
      <c r="AW28" s="134">
        <f>'2. Consolidated'!BK64</f>
        <v>4.9203242941012082E-2</v>
      </c>
      <c r="AX28" s="133">
        <f>'2. Consolidated'!BL64</f>
        <v>5.6016597510373467E-2</v>
      </c>
      <c r="AY28" s="133">
        <f>'2. Consolidated'!BM64</f>
        <v>-3.1868131868131866E-2</v>
      </c>
      <c r="AZ28" s="133">
        <f>'2. Consolidated'!BN64</f>
        <v>5.7803468208093012E-3</v>
      </c>
      <c r="BA28" s="133">
        <f>'2. Consolidated'!BO64</f>
        <v>-0.18836291913214986</v>
      </c>
      <c r="BB28" s="134">
        <f>'2. Consolidated'!BP64</f>
        <v>-4.2899014122035672E-2</v>
      </c>
      <c r="BC28" s="133">
        <f>'2. Consolidated'!BQ64</f>
        <v>-0.33497053045186642</v>
      </c>
      <c r="BD28" s="133">
        <f>'2. Consolidated'!BR64</f>
        <v>-0.17253121452894438</v>
      </c>
      <c r="BE28" s="133">
        <f>'2. Consolidated'!BS64</f>
        <v>-0.1827586206896552</v>
      </c>
      <c r="BF28" s="133">
        <f>'2. Consolidated'!BT64</f>
        <v>0.21142162818955046</v>
      </c>
      <c r="BG28" s="134">
        <f>'2. Consolidated'!BU64</f>
        <v>-0.13307349665924273</v>
      </c>
      <c r="BH28" s="133">
        <f>'2. Consolidated'!BV64</f>
        <v>0.35598227474150668</v>
      </c>
      <c r="BI28" s="133">
        <f>'2. Consolidated'!BW64</f>
        <v>0.39506172839506171</v>
      </c>
      <c r="BJ28" s="133">
        <f>'2. Consolidated'!BX64</f>
        <v>0.20112517580872002</v>
      </c>
      <c r="BK28" s="133">
        <f>'2. Consolidated'!BY64</f>
        <v>6.419257773319953E-2</v>
      </c>
      <c r="BL28" s="134">
        <f>'2. Consolidated'!BZ64</f>
        <v>0.23635195889531158</v>
      </c>
      <c r="BM28" s="133">
        <f>'2. Consolidated'!CA64</f>
        <v>2.7233115468409563E-2</v>
      </c>
      <c r="BN28" s="133">
        <f>'2. Consolidated'!CB64</f>
        <v>8.3579154375614584E-2</v>
      </c>
      <c r="BO28" s="133">
        <f>'2. Consolidated'!CC64</f>
        <v>8.0796252927400447E-2</v>
      </c>
      <c r="BP28" s="133">
        <f>'2. Consolidated'!CD64</f>
        <v>2.9217719132893505E-2</v>
      </c>
      <c r="BQ28" s="134">
        <f>'2. Consolidated'!CE64</f>
        <v>5.4545454545454453E-2</v>
      </c>
      <c r="BR28" s="133">
        <f>'2. Consolidated'!CF64</f>
        <v>0.13361611876988344</v>
      </c>
      <c r="BS28" s="133">
        <f>'2. Consolidated'!CG64</f>
        <v>1.0889292196007316E-2</v>
      </c>
      <c r="BT28" s="133">
        <f>'2. Consolidated'!CH64</f>
        <v>9.5341278439869948E-2</v>
      </c>
      <c r="BU28" s="133">
        <f>'2. Consolidated'!CI64</f>
        <v>-9.157509157509125E-4</v>
      </c>
      <c r="BV28" s="134">
        <f>'2. Consolidated'!CJ64</f>
        <v>5.5418719211822731E-2</v>
      </c>
      <c r="BW28" s="133">
        <f>'2. Consolidated'!CK64</f>
        <v>0.14686623012160904</v>
      </c>
      <c r="BX28" s="133">
        <f>'2. Consolidated'!CL64</f>
        <v>7.1813285457809073E-3</v>
      </c>
      <c r="BY28" s="133">
        <f>'2. Consolidated'!CM64</f>
        <v>7.6162215628091001E-2</v>
      </c>
      <c r="BZ28" s="133">
        <f>'2. Consolidated'!CN64</f>
        <v>0.14848762603116406</v>
      </c>
      <c r="CA28" s="134">
        <f>'2. Consolidated'!CO64</f>
        <v>9.4282380396732757E-2</v>
      </c>
      <c r="CB28" s="133">
        <f>'2. Consolidated'!CP64</f>
        <v>-3.0995106035889064E-2</v>
      </c>
      <c r="CC28" s="133">
        <f>'2. Consolidated'!CQ64</f>
        <v>0.13458110516934041</v>
      </c>
      <c r="CD28" s="133">
        <f>'2. Consolidated'!CR64</f>
        <v>1.8382352941177516E-3</v>
      </c>
      <c r="CE28" s="133">
        <f>'2. Consolidated'!CS64</f>
        <v>-3.9904229848363948E-2</v>
      </c>
      <c r="CF28" s="134">
        <f>'2. Consolidated'!CT64</f>
        <v>1.3862230752825777E-2</v>
      </c>
      <c r="CG28" s="133">
        <f>'2. Consolidated'!CU64</f>
        <v>5.3872053872053849E-2</v>
      </c>
      <c r="CH28" s="133">
        <f>'2. Consolidated'!CV64</f>
        <v>-8.1913833622801691E-2</v>
      </c>
      <c r="CI28" s="133">
        <f>'2. Consolidated'!CW64</f>
        <v>-8.6268001595886212E-2</v>
      </c>
      <c r="CJ28" s="133">
        <f>'2. Consolidated'!CX64</f>
        <v>-9.94036301494714E-2</v>
      </c>
      <c r="CK28" s="134">
        <f>'2. Consolidated'!CY64</f>
        <v>-5.3405763359519742E-2</v>
      </c>
      <c r="CL28" s="133">
        <f>'2. Consolidated'!CZ64</f>
        <v>-0.16139935609777589</v>
      </c>
      <c r="CM28" s="133">
        <f>'2. Consolidated'!DA64</f>
        <v>-4.585390268519085E-2</v>
      </c>
      <c r="CN28" s="133">
        <f>'2. Consolidated'!DB64</f>
        <v>-2.7201299826297709E-2</v>
      </c>
      <c r="CO28" s="133">
        <f>'2. Consolidated'!DC64</f>
        <v>-2.5649483446702814E-2</v>
      </c>
      <c r="CP28" s="134">
        <f>'2. Consolidated'!DD64</f>
        <v>-6.9007940583171945E-2</v>
      </c>
      <c r="CQ28" s="133">
        <f>'2. Consolidated'!DE64</f>
        <v>5.6365691082849168E-4</v>
      </c>
      <c r="CR28" s="133">
        <f>'2. Consolidated'!DF64</f>
        <v>1.9018489910072045E-3</v>
      </c>
      <c r="CS28" s="133">
        <f>'2. Consolidated'!DG64</f>
        <v>6.8869772883577429E-3</v>
      </c>
      <c r="CT28" s="133">
        <f>'2. Consolidated'!DH64</f>
        <v>7.1439572043374699E-3</v>
      </c>
      <c r="CU28" s="134">
        <f>'2. Consolidated'!DI64</f>
        <v>4.0401816045183558E-3</v>
      </c>
    </row>
    <row r="29" spans="2:99" ht="15" customHeight="1">
      <c r="B29" s="165" t="s">
        <v>81</v>
      </c>
      <c r="C29" s="165"/>
      <c r="D29" s="135">
        <f>'2. Consolidated'!R67</f>
        <v>-994.00000000000023</v>
      </c>
      <c r="E29" s="136">
        <f>'2. Consolidated'!S67</f>
        <v>-1036.9999999999998</v>
      </c>
      <c r="F29" s="136">
        <f>'2. Consolidated'!T67</f>
        <v>-1059</v>
      </c>
      <c r="G29" s="136">
        <f>'2. Consolidated'!U67</f>
        <v>-1155</v>
      </c>
      <c r="H29" s="137">
        <f>'2. Consolidated'!V67</f>
        <v>-4245</v>
      </c>
      <c r="I29" s="136">
        <f>'2. Consolidated'!W67</f>
        <v>-1131</v>
      </c>
      <c r="J29" s="136">
        <f>'2. Consolidated'!X67</f>
        <v>-1176</v>
      </c>
      <c r="K29" s="136">
        <f>'2. Consolidated'!Y67</f>
        <v>-1187</v>
      </c>
      <c r="L29" s="136">
        <f>'2. Consolidated'!Z67</f>
        <v>-1226</v>
      </c>
      <c r="M29" s="137">
        <f>'2. Consolidated'!AA67</f>
        <v>-4720</v>
      </c>
      <c r="N29" s="137" t="str">
        <f>'2. Consolidated'!AB67</f>
        <v>--</v>
      </c>
      <c r="O29" s="136">
        <f>'2. Consolidated'!AC67</f>
        <v>-1193</v>
      </c>
      <c r="P29" s="136">
        <f>'2. Consolidated'!AD67</f>
        <v>-1225</v>
      </c>
      <c r="Q29" s="136">
        <f>'2. Consolidated'!AE67</f>
        <v>-1246</v>
      </c>
      <c r="R29" s="136">
        <f>'2. Consolidated'!AF67</f>
        <v>-1387</v>
      </c>
      <c r="S29" s="137">
        <f>'2. Consolidated'!AG67</f>
        <v>-5051</v>
      </c>
      <c r="T29" s="136">
        <f>'2. Consolidated'!AH67</f>
        <v>-1327</v>
      </c>
      <c r="U29" s="136">
        <f>'2. Consolidated'!AI67</f>
        <v>-1400</v>
      </c>
      <c r="V29" s="136">
        <f>'2. Consolidated'!AJ67</f>
        <v>-1436</v>
      </c>
      <c r="W29" s="136">
        <f>'2. Consolidated'!AK67</f>
        <v>-1572</v>
      </c>
      <c r="X29" s="137">
        <f>'2. Consolidated'!AL67</f>
        <v>-5735</v>
      </c>
      <c r="Y29" s="136">
        <f>'2. Consolidated'!AM67</f>
        <v>-1583</v>
      </c>
      <c r="Z29" s="136">
        <f>'2. Consolidated'!AN67</f>
        <v>-1672</v>
      </c>
      <c r="AA29" s="136">
        <f>'2. Consolidated'!AO67</f>
        <v>-1648</v>
      </c>
      <c r="AB29" s="136">
        <f>'2. Consolidated'!AP67</f>
        <v>-1776</v>
      </c>
      <c r="AC29" s="137">
        <f>'2. Consolidated'!AQ67</f>
        <v>-6679</v>
      </c>
      <c r="AD29" s="136">
        <f>'2. Consolidated'!AR67</f>
        <v>-1745</v>
      </c>
      <c r="AE29" s="136">
        <f>'2. Consolidated'!AS67</f>
        <v>-1791</v>
      </c>
      <c r="AF29" s="136">
        <f>'2. Consolidated'!AT67</f>
        <v>-1762</v>
      </c>
      <c r="AG29" s="136">
        <f>'2. Consolidated'!AU67</f>
        <v>-1893</v>
      </c>
      <c r="AH29" s="137">
        <f>'2. Consolidated'!AV67</f>
        <v>-7191</v>
      </c>
      <c r="AI29" s="136">
        <f>'2. Consolidated'!AW67</f>
        <v>-1856</v>
      </c>
      <c r="AJ29" s="136">
        <f>'2. Consolidated'!AX67</f>
        <v>-1743</v>
      </c>
      <c r="AK29" s="136">
        <f>'2. Consolidated'!AY67</f>
        <v>-1747</v>
      </c>
      <c r="AL29" s="136">
        <f>'2. Consolidated'!AZ67</f>
        <v>-1876</v>
      </c>
      <c r="AM29" s="137">
        <f>'2. Consolidated'!BA67</f>
        <v>-7222</v>
      </c>
      <c r="AN29" s="136">
        <f>'2. Consolidated'!BB67</f>
        <v>-2001</v>
      </c>
      <c r="AO29" s="136">
        <f>'2. Consolidated'!BC67</f>
        <v>-1891</v>
      </c>
      <c r="AP29" s="136">
        <f>'2. Consolidated'!BD67</f>
        <v>-1905</v>
      </c>
      <c r="AQ29" s="136">
        <f>'2. Consolidated'!BE67</f>
        <v>-2137</v>
      </c>
      <c r="AR29" s="137">
        <f>'2. Consolidated'!BF67</f>
        <v>-7934</v>
      </c>
      <c r="AS29" s="136">
        <f>'2. Consolidated'!BG67</f>
        <v>-2099</v>
      </c>
      <c r="AT29" s="136">
        <f>'2. Consolidated'!BH67</f>
        <v>-2232</v>
      </c>
      <c r="AU29" s="136">
        <f>'2. Consolidated'!BI67</f>
        <v>-2226</v>
      </c>
      <c r="AV29" s="136">
        <f>'2. Consolidated'!BJ67</f>
        <v>-2392</v>
      </c>
      <c r="AW29" s="137">
        <f>'2. Consolidated'!BK67</f>
        <v>-8949</v>
      </c>
      <c r="AX29" s="136">
        <f>'2. Consolidated'!BL67</f>
        <v>-2310</v>
      </c>
      <c r="AY29" s="136">
        <f>'2. Consolidated'!BM67</f>
        <v>-2443</v>
      </c>
      <c r="AZ29" s="136">
        <f>'2. Consolidated'!BN67</f>
        <v>-2413</v>
      </c>
      <c r="BA29" s="136">
        <f>'2. Consolidated'!BO67</f>
        <v>-2368</v>
      </c>
      <c r="BB29" s="137">
        <f>'2. Consolidated'!BP67</f>
        <v>-9534</v>
      </c>
      <c r="BC29" s="136">
        <f>'2. Consolidated'!BQ67</f>
        <v>-2298</v>
      </c>
      <c r="BD29" s="136">
        <f>'2. Consolidated'!BR67</f>
        <v>-2538</v>
      </c>
      <c r="BE29" s="136">
        <f>'2. Consolidated'!BS67</f>
        <v>-2330</v>
      </c>
      <c r="BF29" s="136">
        <f>'2. Consolidated'!BT67</f>
        <v>-2745</v>
      </c>
      <c r="BG29" s="137">
        <f>'2. Consolidated'!BU67</f>
        <v>-9911</v>
      </c>
      <c r="BH29" s="136">
        <f>'2. Consolidated'!BV67</f>
        <v>-2654</v>
      </c>
      <c r="BI29" s="136">
        <f>'2. Consolidated'!BW67</f>
        <v>-2742</v>
      </c>
      <c r="BJ29" s="136">
        <f>'2. Consolidated'!BX67</f>
        <v>-2584</v>
      </c>
      <c r="BK29" s="136">
        <f>'2. Consolidated'!BY67</f>
        <v>-2974</v>
      </c>
      <c r="BL29" s="137">
        <f>'2. Consolidated'!BZ67</f>
        <v>-10954</v>
      </c>
      <c r="BM29" s="136">
        <f>'2. Consolidated'!CA67</f>
        <v>-2977</v>
      </c>
      <c r="BN29" s="136">
        <f>'2. Consolidated'!CB67</f>
        <v>-3022</v>
      </c>
      <c r="BO29" s="136">
        <f>'2. Consolidated'!CC67</f>
        <v>-3036</v>
      </c>
      <c r="BP29" s="136">
        <f>'2. Consolidated'!CD67</f>
        <v>-3282</v>
      </c>
      <c r="BQ29" s="137">
        <f>'2. Consolidated'!CE67</f>
        <v>-12317</v>
      </c>
      <c r="BR29" s="136">
        <f>'2. Consolidated'!CF67</f>
        <v>-3047</v>
      </c>
      <c r="BS29" s="136">
        <f>'2. Consolidated'!CG67</f>
        <v>-3032</v>
      </c>
      <c r="BT29" s="136">
        <f>'2. Consolidated'!CH67</f>
        <v>-2875</v>
      </c>
      <c r="BU29" s="136">
        <f>'2. Consolidated'!CI67</f>
        <v>-2958</v>
      </c>
      <c r="BV29" s="137">
        <f>'2. Consolidated'!CJ67</f>
        <v>-11912</v>
      </c>
      <c r="BW29" s="136">
        <f>'2. Consolidated'!CK67</f>
        <v>-2822</v>
      </c>
      <c r="BX29" s="136">
        <f>'2. Consolidated'!CL67</f>
        <v>-2883</v>
      </c>
      <c r="BY29" s="136">
        <f>'2. Consolidated'!CM67</f>
        <v>-2799</v>
      </c>
      <c r="BZ29" s="136">
        <f>'2. Consolidated'!CN67</f>
        <v>-2895</v>
      </c>
      <c r="CA29" s="137">
        <f>'2. Consolidated'!CO67</f>
        <v>-11399</v>
      </c>
      <c r="CB29" s="136">
        <f>'2. Consolidated'!CP67</f>
        <v>-2828</v>
      </c>
      <c r="CC29" s="136">
        <f>'2. Consolidated'!CQ67</f>
        <v>-2766</v>
      </c>
      <c r="CD29" s="136">
        <f>'2. Consolidated'!CR67</f>
        <v>-2887</v>
      </c>
      <c r="CE29" s="136">
        <f>'2. Consolidated'!CS67</f>
        <v>-2879</v>
      </c>
      <c r="CF29" s="137">
        <f>'2. Consolidated'!CT67</f>
        <v>-11360</v>
      </c>
      <c r="CG29" s="136">
        <f>'2. Consolidated'!CU67</f>
        <v>-2658</v>
      </c>
      <c r="CH29" s="136">
        <f>'2. Consolidated'!CV67</f>
        <v>-2568.0999085777048</v>
      </c>
      <c r="CI29" s="136">
        <f>'2. Consolidated'!CW67</f>
        <v>-2560.6494053176762</v>
      </c>
      <c r="CJ29" s="136">
        <f>'2. Consolidated'!CX67</f>
        <v>-2627.4016505946715</v>
      </c>
      <c r="CK29" s="137">
        <f>'2. Consolidated'!CY67</f>
        <v>-10414.150964490053</v>
      </c>
      <c r="CL29" s="136">
        <f>'2. Consolidated'!CZ67</f>
        <v>-2474.0898060489008</v>
      </c>
      <c r="CM29" s="136">
        <f>'2. Consolidated'!DA67</f>
        <v>-2471.6896062971141</v>
      </c>
      <c r="CN29" s="136">
        <f>'2. Consolidated'!DB67</f>
        <v>-2490.9964130935996</v>
      </c>
      <c r="CO29" s="136">
        <f>'2. Consolidated'!DC67</f>
        <v>-2560.0101554499038</v>
      </c>
      <c r="CP29" s="137">
        <f>'2. Consolidated'!DD67</f>
        <v>-9996.7859808895191</v>
      </c>
      <c r="CQ29" s="136">
        <f>'2. Consolidated'!DE67</f>
        <v>-2454.81623508649</v>
      </c>
      <c r="CR29" s="136">
        <f>'2. Consolidated'!DF67</f>
        <v>-2455.6309619747212</v>
      </c>
      <c r="CS29" s="136">
        <f>'2. Consolidated'!DG67</f>
        <v>-2487.9624618672015</v>
      </c>
      <c r="CT29" s="136">
        <f>'2. Consolidated'!DH67</f>
        <v>-2558.9054119124353</v>
      </c>
      <c r="CU29" s="137">
        <f>'2. Consolidated'!DI67</f>
        <v>-9957.3150708408484</v>
      </c>
    </row>
    <row r="30" spans="2:99" s="22" customFormat="1" ht="15" customHeight="1">
      <c r="B30" s="21" t="s">
        <v>215</v>
      </c>
      <c r="C30" s="21"/>
      <c r="D30" s="132" t="str">
        <f>'2. Consolidated'!R68</f>
        <v>--</v>
      </c>
      <c r="E30" s="133" t="str">
        <f>'2. Consolidated'!S68</f>
        <v>--</v>
      </c>
      <c r="F30" s="133" t="str">
        <f>'2. Consolidated'!T68</f>
        <v>--</v>
      </c>
      <c r="G30" s="133" t="str">
        <f>'2. Consolidated'!U68</f>
        <v>--</v>
      </c>
      <c r="H30" s="134">
        <f>'2. Consolidated'!V68</f>
        <v>6.9161797300020256E-2</v>
      </c>
      <c r="I30" s="133">
        <f>'2. Consolidated'!W68</f>
        <v>0.13782696177062359</v>
      </c>
      <c r="J30" s="133">
        <f>'2. Consolidated'!X68</f>
        <v>0.1340405014464805</v>
      </c>
      <c r="K30" s="133">
        <f>'2. Consolidated'!Y68</f>
        <v>0.12086874409820592</v>
      </c>
      <c r="L30" s="133">
        <f>'2. Consolidated'!Z68</f>
        <v>6.1471861471861455E-2</v>
      </c>
      <c r="M30" s="134">
        <f>'2. Consolidated'!AA68</f>
        <v>0.11189634864546516</v>
      </c>
      <c r="N30" s="134">
        <f>'2. Consolidated'!AB68</f>
        <v>0</v>
      </c>
      <c r="O30" s="133">
        <f>'2. Consolidated'!AC68</f>
        <v>5.4818744473916992E-2</v>
      </c>
      <c r="P30" s="133">
        <f>'2. Consolidated'!AD68</f>
        <v>4.1666666666666741E-2</v>
      </c>
      <c r="Q30" s="133">
        <f>'2. Consolidated'!AE68</f>
        <v>4.9705139005897125E-2</v>
      </c>
      <c r="R30" s="133">
        <f>'2. Consolidated'!AF68</f>
        <v>0.13132137030995117</v>
      </c>
      <c r="S30" s="134">
        <f>'2. Consolidated'!AG68</f>
        <v>7.0127118644067732E-2</v>
      </c>
      <c r="T30" s="133">
        <f>'2. Consolidated'!AH68</f>
        <v>0.11232187761944679</v>
      </c>
      <c r="U30" s="133">
        <f>'2. Consolidated'!AI68</f>
        <v>0.14285714285714279</v>
      </c>
      <c r="V30" s="133">
        <f>'2. Consolidated'!AJ68</f>
        <v>0.15248796147672561</v>
      </c>
      <c r="W30" s="133">
        <f>'2. Consolidated'!AK68</f>
        <v>0.13338139870223498</v>
      </c>
      <c r="X30" s="134">
        <f>'2. Consolidated'!AL68</f>
        <v>0.13541872896456142</v>
      </c>
      <c r="Y30" s="133">
        <f>'2. Consolidated'!AM68</f>
        <v>0.19291635267520713</v>
      </c>
      <c r="Z30" s="133">
        <f>'2. Consolidated'!AN68</f>
        <v>0.19428571428571439</v>
      </c>
      <c r="AA30" s="133">
        <f>'2. Consolidated'!AO68</f>
        <v>0.14763231197771587</v>
      </c>
      <c r="AB30" s="133">
        <f>'2. Consolidated'!AP68</f>
        <v>0.12977099236641232</v>
      </c>
      <c r="AC30" s="134">
        <f>'2. Consolidated'!AQ68</f>
        <v>0.16460331299040987</v>
      </c>
      <c r="AD30" s="133">
        <f>'2. Consolidated'!AR68</f>
        <v>0.10233733417561597</v>
      </c>
      <c r="AE30" s="133">
        <f>'2. Consolidated'!AS68</f>
        <v>7.1172248803827776E-2</v>
      </c>
      <c r="AF30" s="133">
        <f>'2. Consolidated'!AT68</f>
        <v>6.9174757281553312E-2</v>
      </c>
      <c r="AG30" s="133">
        <f>'2. Consolidated'!AU68</f>
        <v>6.5878378378378288E-2</v>
      </c>
      <c r="AH30" s="134">
        <f>'2. Consolidated'!AV68</f>
        <v>7.6658182362629113E-2</v>
      </c>
      <c r="AI30" s="133">
        <f>'2. Consolidated'!AW68</f>
        <v>6.361031518624638E-2</v>
      </c>
      <c r="AJ30" s="133">
        <f>'2. Consolidated'!AX68</f>
        <v>-2.6800670016750461E-2</v>
      </c>
      <c r="AK30" s="133">
        <f>'2. Consolidated'!AY68</f>
        <v>-8.5130533484676363E-3</v>
      </c>
      <c r="AL30" s="133">
        <f>'2. Consolidated'!AZ68</f>
        <v>-8.9804543053354502E-3</v>
      </c>
      <c r="AM30" s="134">
        <f>'2. Consolidated'!BA68</f>
        <v>4.3109442358504335E-3</v>
      </c>
      <c r="AN30" s="133">
        <f>'2. Consolidated'!BB68</f>
        <v>7.8125E-2</v>
      </c>
      <c r="AO30" s="133">
        <f>'2. Consolidated'!BC68</f>
        <v>8.4911072862880133E-2</v>
      </c>
      <c r="AP30" s="133">
        <f>'2. Consolidated'!BD68</f>
        <v>9.0440755580996068E-2</v>
      </c>
      <c r="AQ30" s="133">
        <f>'2. Consolidated'!BE68</f>
        <v>0.13912579957356086</v>
      </c>
      <c r="AR30" s="134">
        <f>'2. Consolidated'!BF68</f>
        <v>9.8587648850733789E-2</v>
      </c>
      <c r="AS30" s="133">
        <f>'2. Consolidated'!BG68</f>
        <v>4.8975512243877972E-2</v>
      </c>
      <c r="AT30" s="133">
        <f>'2. Consolidated'!BH68</f>
        <v>0.18032786885245899</v>
      </c>
      <c r="AU30" s="133">
        <f>'2. Consolidated'!BI68</f>
        <v>0.16850393700787403</v>
      </c>
      <c r="AV30" s="133">
        <f>'2. Consolidated'!BJ68</f>
        <v>0.11932615816565284</v>
      </c>
      <c r="AW30" s="134">
        <f>'2. Consolidated'!BK68</f>
        <v>0.12793042601462057</v>
      </c>
      <c r="AX30" s="133">
        <f>'2. Consolidated'!BL68</f>
        <v>0.10052405907575035</v>
      </c>
      <c r="AY30" s="133">
        <f>'2. Consolidated'!BM68</f>
        <v>9.4534050179211571E-2</v>
      </c>
      <c r="AZ30" s="133">
        <f>'2. Consolidated'!BN68</f>
        <v>8.4007187780772652E-2</v>
      </c>
      <c r="BA30" s="133">
        <f>'2. Consolidated'!BO68</f>
        <v>-1.0033444816053505E-2</v>
      </c>
      <c r="BB30" s="134">
        <f>'2. Consolidated'!BP68</f>
        <v>6.5370432450553073E-2</v>
      </c>
      <c r="BC30" s="133">
        <f>'2. Consolidated'!BQ68</f>
        <v>-5.1948051948051965E-3</v>
      </c>
      <c r="BD30" s="133">
        <f>'2. Consolidated'!BR68</f>
        <v>3.8886614817846832E-2</v>
      </c>
      <c r="BE30" s="133">
        <f>'2. Consolidated'!BS68</f>
        <v>-3.4397016162453387E-2</v>
      </c>
      <c r="BF30" s="133">
        <f>'2. Consolidated'!BT68</f>
        <v>0.15920608108108114</v>
      </c>
      <c r="BG30" s="134">
        <f>'2. Consolidated'!BU68</f>
        <v>3.9542689322425106E-2</v>
      </c>
      <c r="BH30" s="133">
        <f>'2. Consolidated'!BV68</f>
        <v>0.15491731940818099</v>
      </c>
      <c r="BI30" s="133">
        <f>'2. Consolidated'!BW68</f>
        <v>8.0378250591016442E-2</v>
      </c>
      <c r="BJ30" s="133">
        <f>'2. Consolidated'!BX68</f>
        <v>0.10901287553648076</v>
      </c>
      <c r="BK30" s="133">
        <f>'2. Consolidated'!BY68</f>
        <v>8.3424408014571849E-2</v>
      </c>
      <c r="BL30" s="134">
        <f>'2. Consolidated'!BZ68</f>
        <v>0.10523660579154481</v>
      </c>
      <c r="BM30" s="133">
        <f>'2. Consolidated'!CA68</f>
        <v>0.12170308967596077</v>
      </c>
      <c r="BN30" s="133">
        <f>'2. Consolidated'!CB68</f>
        <v>0.10211524434719177</v>
      </c>
      <c r="BO30" s="133">
        <f>'2. Consolidated'!CC68</f>
        <v>0.17492260061919507</v>
      </c>
      <c r="BP30" s="133">
        <f>'2. Consolidated'!CD68</f>
        <v>0.10356422326832559</v>
      </c>
      <c r="BQ30" s="134">
        <f>'2. Consolidated'!CE68</f>
        <v>0.12442943217089653</v>
      </c>
      <c r="BR30" s="133">
        <f>'2. Consolidated'!CF68</f>
        <v>2.3513604299630453E-2</v>
      </c>
      <c r="BS30" s="133">
        <f>'2. Consolidated'!CG68</f>
        <v>3.3090668431501324E-3</v>
      </c>
      <c r="BT30" s="133">
        <f>'2. Consolidated'!CH68</f>
        <v>-5.3030303030302983E-2</v>
      </c>
      <c r="BU30" s="133">
        <f>'2. Consolidated'!CI68</f>
        <v>-9.8720292504570373E-2</v>
      </c>
      <c r="BV30" s="134">
        <f>'2. Consolidated'!CJ68</f>
        <v>-3.2881383453763124E-2</v>
      </c>
      <c r="BW30" s="133">
        <f>'2. Consolidated'!CK68</f>
        <v>-7.3843124384640579E-2</v>
      </c>
      <c r="BX30" s="133">
        <f>'2. Consolidated'!CL68</f>
        <v>-4.9142480211081807E-2</v>
      </c>
      <c r="BY30" s="133">
        <f>'2. Consolidated'!CM68</f>
        <v>-2.6434782608695695E-2</v>
      </c>
      <c r="BZ30" s="133">
        <f>'2. Consolidated'!CN68</f>
        <v>-2.1298174442190621E-2</v>
      </c>
      <c r="CA30" s="134">
        <f>'2. Consolidated'!CO68</f>
        <v>-4.3065815983881817E-2</v>
      </c>
      <c r="CB30" s="133">
        <f>'2. Consolidated'!CP68</f>
        <v>2.1261516654855761E-3</v>
      </c>
      <c r="CC30" s="133">
        <f>'2. Consolidated'!CQ68</f>
        <v>-4.0582726326742979E-2</v>
      </c>
      <c r="CD30" s="133">
        <f>'2. Consolidated'!CR68</f>
        <v>3.1439799928545842E-2</v>
      </c>
      <c r="CE30" s="133">
        <f>'2. Consolidated'!CS68</f>
        <v>-5.5267702936097063E-3</v>
      </c>
      <c r="CF30" s="134">
        <f>'2. Consolidated'!CT68</f>
        <v>-3.4213527502412466E-3</v>
      </c>
      <c r="CG30" s="133">
        <f>'2. Consolidated'!CU68</f>
        <v>-6.0113154172560135E-2</v>
      </c>
      <c r="CH30" s="133">
        <f>'2. Consolidated'!CV68</f>
        <v>-7.1547393862001152E-2</v>
      </c>
      <c r="CI30" s="133">
        <f>'2. Consolidated'!CW68</f>
        <v>-0.11304142524500305</v>
      </c>
      <c r="CJ30" s="133">
        <f>'2. Consolidated'!CX68</f>
        <v>-8.7390882044226625E-2</v>
      </c>
      <c r="CK30" s="134">
        <f>'2. Consolidated'!CY68</f>
        <v>-8.3261358759678439E-2</v>
      </c>
      <c r="CL30" s="133">
        <f>'2. Consolidated'!CZ68</f>
        <v>-6.9191194112527943E-2</v>
      </c>
      <c r="CM30" s="133">
        <f>'2. Consolidated'!DA68</f>
        <v>-3.7541492041867519E-2</v>
      </c>
      <c r="CN30" s="133">
        <f>'2. Consolidated'!DB68</f>
        <v>-2.7201299826297487E-2</v>
      </c>
      <c r="CO30" s="133">
        <f>'2. Consolidated'!DC68</f>
        <v>-2.5649483446702814E-2</v>
      </c>
      <c r="CP30" s="134">
        <f>'2. Consolidated'!DD68</f>
        <v>-4.007671724979367E-2</v>
      </c>
      <c r="CQ30" s="133">
        <f>'2. Consolidated'!DE68</f>
        <v>-7.7901662725777809E-3</v>
      </c>
      <c r="CR30" s="133">
        <f>'2. Consolidated'!DF68</f>
        <v>-6.4970311326634222E-3</v>
      </c>
      <c r="CS30" s="133">
        <f>'2. Consolidated'!DG68</f>
        <v>-1.2179669189608111E-3</v>
      </c>
      <c r="CT30" s="133">
        <f>'2. Consolidated'!DH68</f>
        <v>-4.3153873242129936E-4</v>
      </c>
      <c r="CU30" s="134">
        <f>'2. Consolidated'!DI68</f>
        <v>-3.9483600153215059E-3</v>
      </c>
    </row>
    <row r="31" spans="2:99" ht="15" customHeight="1">
      <c r="B31" s="75" t="s">
        <v>3</v>
      </c>
      <c r="C31" s="75"/>
      <c r="D31" s="129">
        <f>'2. Consolidated'!R71</f>
        <v>-1673.0000000000002</v>
      </c>
      <c r="E31" s="130">
        <f>'2. Consolidated'!S71</f>
        <v>-1610.9999999999998</v>
      </c>
      <c r="F31" s="130">
        <f>'2. Consolidated'!T71</f>
        <v>-1637</v>
      </c>
      <c r="G31" s="130">
        <f>'2. Consolidated'!U71</f>
        <v>-1772</v>
      </c>
      <c r="H31" s="131">
        <f>'2. Consolidated'!V71</f>
        <v>-6693</v>
      </c>
      <c r="I31" s="130">
        <f>'2. Consolidated'!W71</f>
        <v>-1823</v>
      </c>
      <c r="J31" s="130">
        <f>'2. Consolidated'!X71</f>
        <v>-1820</v>
      </c>
      <c r="K31" s="130">
        <f>'2. Consolidated'!Y71</f>
        <v>-1802</v>
      </c>
      <c r="L31" s="130">
        <f>'2. Consolidated'!Z71</f>
        <v>-1986</v>
      </c>
      <c r="M31" s="131">
        <f>'2. Consolidated'!AA71</f>
        <v>-7431</v>
      </c>
      <c r="N31" s="131">
        <f>'2. Consolidated'!AB71</f>
        <v>0</v>
      </c>
      <c r="O31" s="130">
        <f>'2. Consolidated'!AC71</f>
        <v>-2064</v>
      </c>
      <c r="P31" s="130">
        <f>'2. Consolidated'!AD71</f>
        <v>-1838</v>
      </c>
      <c r="Q31" s="130">
        <f>'2. Consolidated'!AE71</f>
        <v>-1865</v>
      </c>
      <c r="R31" s="130">
        <f>'2. Consolidated'!AF71</f>
        <v>-2029</v>
      </c>
      <c r="S31" s="131">
        <f>'2. Consolidated'!AG71</f>
        <v>-7796</v>
      </c>
      <c r="T31" s="130">
        <f>'2. Consolidated'!AH71</f>
        <v>-2058</v>
      </c>
      <c r="U31" s="130">
        <f>'2. Consolidated'!AI71</f>
        <v>-2091</v>
      </c>
      <c r="V31" s="130">
        <f>'2. Consolidated'!AJ71</f>
        <v>-2169</v>
      </c>
      <c r="W31" s="130">
        <f>'2. Consolidated'!AK71</f>
        <v>-2448</v>
      </c>
      <c r="X31" s="131">
        <f>'2. Consolidated'!AL71</f>
        <v>-8766</v>
      </c>
      <c r="Y31" s="130">
        <f>'2. Consolidated'!AM71</f>
        <v>-2480</v>
      </c>
      <c r="Z31" s="130">
        <f>'2. Consolidated'!AN71</f>
        <v>-2438</v>
      </c>
      <c r="AA31" s="130">
        <f>'2. Consolidated'!AO71</f>
        <v>-2379</v>
      </c>
      <c r="AB31" s="130">
        <f>'2. Consolidated'!AP71</f>
        <v>-2595</v>
      </c>
      <c r="AC31" s="131">
        <f>'2. Consolidated'!AQ71</f>
        <v>-9892</v>
      </c>
      <c r="AD31" s="130">
        <f>'2. Consolidated'!AR71</f>
        <v>-2577</v>
      </c>
      <c r="AE31" s="130">
        <f>'2. Consolidated'!AS71</f>
        <v>-2560</v>
      </c>
      <c r="AF31" s="130">
        <f>'2. Consolidated'!AT71</f>
        <v>-2566</v>
      </c>
      <c r="AG31" s="130">
        <f>'2. Consolidated'!AU71</f>
        <v>-2766</v>
      </c>
      <c r="AH31" s="131">
        <f>'2. Consolidated'!AV71</f>
        <v>-10469</v>
      </c>
      <c r="AI31" s="130">
        <f>'2. Consolidated'!AW71</f>
        <v>-2897</v>
      </c>
      <c r="AJ31" s="130">
        <f>'2. Consolidated'!AX71</f>
        <v>-2505</v>
      </c>
      <c r="AK31" s="130">
        <f>'2. Consolidated'!AY71</f>
        <v>-2496</v>
      </c>
      <c r="AL31" s="130">
        <f>'2. Consolidated'!AZ71</f>
        <v>-2665</v>
      </c>
      <c r="AM31" s="131">
        <f>'2. Consolidated'!BA71</f>
        <v>-10563</v>
      </c>
      <c r="AN31" s="130">
        <f>'2. Consolidated'!BB71</f>
        <v>-2856</v>
      </c>
      <c r="AO31" s="130">
        <f>'2. Consolidated'!BC71</f>
        <v>-2768</v>
      </c>
      <c r="AP31" s="130">
        <f>'2. Consolidated'!BD71</f>
        <v>-2767</v>
      </c>
      <c r="AQ31" s="130">
        <f>'2. Consolidated'!BE71</f>
        <v>-3120</v>
      </c>
      <c r="AR31" s="131">
        <f>'2. Consolidated'!BF71</f>
        <v>-11511</v>
      </c>
      <c r="AS31" s="130">
        <f>'2. Consolidated'!BG71</f>
        <v>-3063</v>
      </c>
      <c r="AT31" s="130">
        <f>'2. Consolidated'!BH71</f>
        <v>-3142</v>
      </c>
      <c r="AU31" s="130">
        <f>'2. Consolidated'!BI71</f>
        <v>-3091</v>
      </c>
      <c r="AV31" s="130">
        <f>'2. Consolidated'!BJ71</f>
        <v>-3406</v>
      </c>
      <c r="AW31" s="131">
        <f>'2. Consolidated'!BK71</f>
        <v>-12702</v>
      </c>
      <c r="AX31" s="130">
        <f>'2. Consolidated'!BL71</f>
        <v>-3328</v>
      </c>
      <c r="AY31" s="130">
        <f>'2. Consolidated'!BM71</f>
        <v>-3324</v>
      </c>
      <c r="AZ31" s="130">
        <f>'2. Consolidated'!BN71</f>
        <v>-3283</v>
      </c>
      <c r="BA31" s="130">
        <f>'2. Consolidated'!BO71</f>
        <v>-3191</v>
      </c>
      <c r="BB31" s="131">
        <f>'2. Consolidated'!BP71</f>
        <v>-13126</v>
      </c>
      <c r="BC31" s="130">
        <f>'2. Consolidated'!BQ71</f>
        <v>-2975</v>
      </c>
      <c r="BD31" s="130">
        <f>'2. Consolidated'!BR71</f>
        <v>-3267</v>
      </c>
      <c r="BE31" s="130">
        <f>'2. Consolidated'!BS71</f>
        <v>-3041</v>
      </c>
      <c r="BF31" s="130">
        <f>'2. Consolidated'!BT71</f>
        <v>-3742</v>
      </c>
      <c r="BG31" s="131">
        <f>'2. Consolidated'!BU71</f>
        <v>-13025</v>
      </c>
      <c r="BH31" s="130">
        <f>'2. Consolidated'!BV71</f>
        <v>-3572</v>
      </c>
      <c r="BI31" s="130">
        <f>'2. Consolidated'!BW71</f>
        <v>-3759</v>
      </c>
      <c r="BJ31" s="130">
        <f>'2. Consolidated'!BX71</f>
        <v>-3438</v>
      </c>
      <c r="BK31" s="130">
        <f>'2. Consolidated'!BY71</f>
        <v>-4035</v>
      </c>
      <c r="BL31" s="131">
        <f>'2. Consolidated'!BZ71</f>
        <v>-14804</v>
      </c>
      <c r="BM31" s="130">
        <f>'2. Consolidated'!CA71</f>
        <v>-3920</v>
      </c>
      <c r="BN31" s="130">
        <f>'2. Consolidated'!CB71</f>
        <v>-4124</v>
      </c>
      <c r="BO31" s="130">
        <f>'2. Consolidated'!CC71</f>
        <v>-3959</v>
      </c>
      <c r="BP31" s="130">
        <f>'2. Consolidated'!CD71</f>
        <v>-4374</v>
      </c>
      <c r="BQ31" s="131">
        <f>'2. Consolidated'!CE71</f>
        <v>-16377</v>
      </c>
      <c r="BR31" s="130">
        <f>'2. Consolidated'!CF71</f>
        <v>-4116</v>
      </c>
      <c r="BS31" s="130">
        <f>'2. Consolidated'!CG71</f>
        <v>-4146</v>
      </c>
      <c r="BT31" s="130">
        <f>'2. Consolidated'!CH71</f>
        <v>-3886</v>
      </c>
      <c r="BU31" s="130">
        <f>'2. Consolidated'!CI71</f>
        <v>-4049</v>
      </c>
      <c r="BV31" s="131">
        <f>'2. Consolidated'!CJ71</f>
        <v>-16197</v>
      </c>
      <c r="BW31" s="130">
        <f>'2. Consolidated'!CK71</f>
        <v>-4048</v>
      </c>
      <c r="BX31" s="130">
        <f>'2. Consolidated'!CL71</f>
        <v>-4005</v>
      </c>
      <c r="BY31" s="130">
        <f>'2. Consolidated'!CM71</f>
        <v>-3887</v>
      </c>
      <c r="BZ31" s="130">
        <f>'2. Consolidated'!CN71</f>
        <v>-4148</v>
      </c>
      <c r="CA31" s="131">
        <f>'2. Consolidated'!CO71</f>
        <v>-16088</v>
      </c>
      <c r="CB31" s="130">
        <f>'2. Consolidated'!CP71</f>
        <v>-4016</v>
      </c>
      <c r="CC31" s="130">
        <f>'2. Consolidated'!CQ71</f>
        <v>-4039</v>
      </c>
      <c r="CD31" s="130">
        <f>'2. Consolidated'!CR71</f>
        <v>-3977</v>
      </c>
      <c r="CE31" s="130">
        <f>'2. Consolidated'!CS71</f>
        <v>-4082</v>
      </c>
      <c r="CF31" s="131">
        <f>'2. Consolidated'!CT71</f>
        <v>-16114</v>
      </c>
      <c r="CG31" s="130">
        <f>'2. Consolidated'!CU71</f>
        <v>-3910</v>
      </c>
      <c r="CH31" s="130">
        <f>'2. Consolidated'!CV71</f>
        <v>-3736.8235983758782</v>
      </c>
      <c r="CI31" s="130">
        <f>'2. Consolidated'!CW71</f>
        <v>-3556.6172835781599</v>
      </c>
      <c r="CJ31" s="130">
        <f>'2. Consolidated'!CX71</f>
        <v>-3710.8190835248574</v>
      </c>
      <c r="CK31" s="131">
        <f>'2. Consolidated'!CY71</f>
        <v>-14914.259965478896</v>
      </c>
      <c r="CL31" s="130">
        <f>'2. Consolidated'!CZ71</f>
        <v>-3524.0178122144853</v>
      </c>
      <c r="CM31" s="130">
        <f>'2. Consolidated'!DA71</f>
        <v>-3586.8227537574048</v>
      </c>
      <c r="CN31" s="130">
        <f>'2. Consolidated'!DB71</f>
        <v>-3459.8726704801584</v>
      </c>
      <c r="CO31" s="130">
        <f>'2. Consolidated'!DC71</f>
        <v>-3615.6384908682776</v>
      </c>
      <c r="CP31" s="131">
        <f>'2. Consolidated'!DD71</f>
        <v>-14186.351727320327</v>
      </c>
      <c r="CQ31" s="130">
        <f>'2. Consolidated'!DE71</f>
        <v>-3505.3360404286223</v>
      </c>
      <c r="CR31" s="130">
        <f>'2. Consolidated'!DF71</f>
        <v>-3572.884924286348</v>
      </c>
      <c r="CS31" s="130">
        <f>'2. Consolidated'!DG71</f>
        <v>-3463.5113480336108</v>
      </c>
      <c r="CT31" s="130">
        <f>'2. Consolidated'!DH71</f>
        <v>-3622.0751109827243</v>
      </c>
      <c r="CU31" s="131">
        <f>'2. Consolidated'!DI71</f>
        <v>-14163.807423731305</v>
      </c>
    </row>
    <row r="32" spans="2:99" ht="15" customHeight="1" thickBot="1">
      <c r="B32" s="167" t="s">
        <v>86</v>
      </c>
      <c r="C32" s="167"/>
      <c r="D32" s="168">
        <f>'2. Consolidated'!R75</f>
        <v>-7</v>
      </c>
      <c r="E32" s="169">
        <f>'2. Consolidated'!S75</f>
        <v>28</v>
      </c>
      <c r="F32" s="169">
        <f>'2. Consolidated'!T75</f>
        <v>17</v>
      </c>
      <c r="G32" s="169">
        <f>'2. Consolidated'!U75</f>
        <v>-5</v>
      </c>
      <c r="H32" s="170">
        <f>'2. Consolidated'!V75</f>
        <v>33</v>
      </c>
      <c r="I32" s="169">
        <f>'2. Consolidated'!W75</f>
        <v>-18</v>
      </c>
      <c r="J32" s="169">
        <f>'2. Consolidated'!X75</f>
        <v>-9</v>
      </c>
      <c r="K32" s="169">
        <f>'2. Consolidated'!Y75</f>
        <v>11</v>
      </c>
      <c r="L32" s="169">
        <f>'2. Consolidated'!Z75</f>
        <v>-38</v>
      </c>
      <c r="M32" s="170">
        <f>'2. Consolidated'!AA75</f>
        <v>-54</v>
      </c>
      <c r="N32" s="170" t="str">
        <f>'2. Consolidated'!AB75</f>
        <v>--</v>
      </c>
      <c r="O32" s="169">
        <f>'2. Consolidated'!AC75</f>
        <v>28</v>
      </c>
      <c r="P32" s="169">
        <f>'2. Consolidated'!AD75</f>
        <v>17</v>
      </c>
      <c r="Q32" s="169">
        <f>'2. Consolidated'!AE75</f>
        <v>-17</v>
      </c>
      <c r="R32" s="169">
        <f>'2. Consolidated'!AF75</f>
        <v>-13</v>
      </c>
      <c r="S32" s="170">
        <f>'2. Consolidated'!AG75</f>
        <v>15</v>
      </c>
      <c r="T32" s="169">
        <f>'2. Consolidated'!AH75</f>
        <v>-28</v>
      </c>
      <c r="U32" s="169">
        <f>'2. Consolidated'!AI75</f>
        <v>-13</v>
      </c>
      <c r="V32" s="169">
        <f>'2. Consolidated'!AJ75</f>
        <v>-45</v>
      </c>
      <c r="W32" s="169">
        <f>'2. Consolidated'!AK75</f>
        <v>-17</v>
      </c>
      <c r="X32" s="170">
        <f>'2. Consolidated'!AL75</f>
        <v>-103</v>
      </c>
      <c r="Y32" s="169">
        <f>'2. Consolidated'!AM75</f>
        <v>-3</v>
      </c>
      <c r="Z32" s="169">
        <f>'2. Consolidated'!AN75</f>
        <v>-2</v>
      </c>
      <c r="AA32" s="169">
        <f>'2. Consolidated'!AO75</f>
        <v>5</v>
      </c>
      <c r="AB32" s="169">
        <f>'2. Consolidated'!AP75</f>
        <v>58</v>
      </c>
      <c r="AC32" s="170">
        <f>'2. Consolidated'!AQ75</f>
        <v>58</v>
      </c>
      <c r="AD32" s="169">
        <f>'2. Consolidated'!AR75</f>
        <v>31</v>
      </c>
      <c r="AE32" s="169">
        <f>'2. Consolidated'!AS75</f>
        <v>34</v>
      </c>
      <c r="AF32" s="169">
        <f>'2. Consolidated'!AT75</f>
        <v>17</v>
      </c>
      <c r="AG32" s="169">
        <f>'2. Consolidated'!AU75</f>
        <v>58</v>
      </c>
      <c r="AH32" s="170">
        <f>'2. Consolidated'!AV75</f>
        <v>140</v>
      </c>
      <c r="AI32" s="169">
        <f>'2. Consolidated'!AW75</f>
        <v>62</v>
      </c>
      <c r="AJ32" s="169">
        <f>'2. Consolidated'!AX75</f>
        <v>18</v>
      </c>
      <c r="AK32" s="169">
        <f>'2. Consolidated'!AY75</f>
        <v>88</v>
      </c>
      <c r="AL32" s="169">
        <f>'2. Consolidated'!AZ75</f>
        <v>28</v>
      </c>
      <c r="AM32" s="170">
        <f>'2. Consolidated'!BA75</f>
        <v>196</v>
      </c>
      <c r="AN32" s="169">
        <f>'2. Consolidated'!BB75</f>
        <v>-18</v>
      </c>
      <c r="AO32" s="169">
        <f>'2. Consolidated'!BC75</f>
        <v>-18</v>
      </c>
      <c r="AP32" s="169">
        <f>'2. Consolidated'!BD75</f>
        <v>1</v>
      </c>
      <c r="AQ32" s="169">
        <f>'2. Consolidated'!BE75</f>
        <v>-31</v>
      </c>
      <c r="AR32" s="170">
        <f>'2. Consolidated'!BF75</f>
        <v>-66</v>
      </c>
      <c r="AS32" s="169">
        <f>'2. Consolidated'!BG75</f>
        <v>-53</v>
      </c>
      <c r="AT32" s="169">
        <f>'2. Consolidated'!BH75</f>
        <v>48</v>
      </c>
      <c r="AU32" s="169">
        <f>'2. Consolidated'!BI75</f>
        <v>55</v>
      </c>
      <c r="AV32" s="169">
        <f>'2. Consolidated'!BJ75</f>
        <v>28</v>
      </c>
      <c r="AW32" s="170">
        <f>'2. Consolidated'!BK75</f>
        <v>78</v>
      </c>
      <c r="AX32" s="169">
        <f>'2. Consolidated'!BL75</f>
        <v>33</v>
      </c>
      <c r="AY32" s="169">
        <f>'2. Consolidated'!BM75</f>
        <v>41</v>
      </c>
      <c r="AZ32" s="169">
        <f>'2. Consolidated'!BN75</f>
        <v>103</v>
      </c>
      <c r="BA32" s="169">
        <f>'2. Consolidated'!BO75</f>
        <v>84</v>
      </c>
      <c r="BB32" s="170">
        <f>'2. Consolidated'!BP75</f>
        <v>261</v>
      </c>
      <c r="BC32" s="169">
        <f>'2. Consolidated'!BQ75</f>
        <v>14</v>
      </c>
      <c r="BD32" s="169">
        <f>'2. Consolidated'!BR75</f>
        <v>-54</v>
      </c>
      <c r="BE32" s="169">
        <f>'2. Consolidated'!BS75</f>
        <v>22</v>
      </c>
      <c r="BF32" s="169">
        <f>'2. Consolidated'!BT75</f>
        <v>4</v>
      </c>
      <c r="BG32" s="170">
        <f>'2. Consolidated'!BU75</f>
        <v>-14</v>
      </c>
      <c r="BH32" s="169">
        <f>'2. Consolidated'!BV75</f>
        <v>39</v>
      </c>
      <c r="BI32" s="169">
        <f>'2. Consolidated'!BW75</f>
        <v>102</v>
      </c>
      <c r="BJ32" s="169">
        <f>'2. Consolidated'!BX75</f>
        <v>94</v>
      </c>
      <c r="BK32" s="169">
        <f>'2. Consolidated'!BY75</f>
        <v>-54</v>
      </c>
      <c r="BL32" s="170">
        <f>'2. Consolidated'!BZ75</f>
        <v>181</v>
      </c>
      <c r="BM32" s="169">
        <f>'2. Consolidated'!CA75</f>
        <v>146</v>
      </c>
      <c r="BN32" s="169">
        <f>'2. Consolidated'!CB75</f>
        <v>79</v>
      </c>
      <c r="BO32" s="169">
        <f>'2. Consolidated'!CC75</f>
        <v>58</v>
      </c>
      <c r="BP32" s="169">
        <f>'2. Consolidated'!CD75</f>
        <v>-3</v>
      </c>
      <c r="BQ32" s="170">
        <f>'2. Consolidated'!CE75</f>
        <v>280</v>
      </c>
      <c r="BR32" s="169">
        <f>'2. Consolidated'!CF75</f>
        <v>10</v>
      </c>
      <c r="BS32" s="169">
        <f>'2. Consolidated'!CG75</f>
        <v>75</v>
      </c>
      <c r="BT32" s="169">
        <f>'2. Consolidated'!CH75</f>
        <v>16</v>
      </c>
      <c r="BU32" s="169">
        <f>'2. Consolidated'!CI75</f>
        <v>127</v>
      </c>
      <c r="BV32" s="170">
        <f>'2. Consolidated'!CJ75</f>
        <v>228</v>
      </c>
      <c r="BW32" s="169">
        <f>'2. Consolidated'!CK75</f>
        <v>55</v>
      </c>
      <c r="BX32" s="169">
        <f>'2. Consolidated'!CL75</f>
        <v>8</v>
      </c>
      <c r="BY32" s="169">
        <f>'2. Consolidated'!CM75</f>
        <v>38</v>
      </c>
      <c r="BZ32" s="169">
        <f>'2. Consolidated'!CN75</f>
        <v>-25</v>
      </c>
      <c r="CA32" s="170">
        <f>'2. Consolidated'!CO75</f>
        <v>76</v>
      </c>
      <c r="CB32" s="169">
        <f>'2. Consolidated'!CP75</f>
        <v>-23</v>
      </c>
      <c r="CC32" s="169">
        <f>'2. Consolidated'!CQ75</f>
        <v>-16</v>
      </c>
      <c r="CD32" s="169">
        <f>'2. Consolidated'!CR75</f>
        <v>82</v>
      </c>
      <c r="CE32" s="169">
        <f>'2. Consolidated'!CS75</f>
        <v>10</v>
      </c>
      <c r="CF32" s="170">
        <f>'2. Consolidated'!CT75</f>
        <v>53</v>
      </c>
      <c r="CG32" s="169">
        <f>'2. Consolidated'!CU75</f>
        <v>19</v>
      </c>
      <c r="CH32" s="169">
        <f>'2. Consolidated'!CV75</f>
        <v>15</v>
      </c>
      <c r="CI32" s="169">
        <f>'2. Consolidated'!CW75</f>
        <v>15</v>
      </c>
      <c r="CJ32" s="169">
        <f>'2. Consolidated'!CX75</f>
        <v>15</v>
      </c>
      <c r="CK32" s="170">
        <f>'2. Consolidated'!CY75</f>
        <v>64</v>
      </c>
      <c r="CL32" s="169">
        <f>'2. Consolidated'!CZ75</f>
        <v>10</v>
      </c>
      <c r="CM32" s="169">
        <f>'2. Consolidated'!DA75</f>
        <v>10</v>
      </c>
      <c r="CN32" s="169">
        <f>'2. Consolidated'!DB75</f>
        <v>10</v>
      </c>
      <c r="CO32" s="169">
        <f>'2. Consolidated'!DC75</f>
        <v>10</v>
      </c>
      <c r="CP32" s="170">
        <f>'2. Consolidated'!DD75</f>
        <v>40</v>
      </c>
      <c r="CQ32" s="169">
        <f>'2. Consolidated'!DE75</f>
        <v>10</v>
      </c>
      <c r="CR32" s="169">
        <f>'2. Consolidated'!DF75</f>
        <v>10</v>
      </c>
      <c r="CS32" s="169">
        <f>'2. Consolidated'!DG75</f>
        <v>10</v>
      </c>
      <c r="CT32" s="169">
        <f>'2. Consolidated'!DH75</f>
        <v>10</v>
      </c>
      <c r="CU32" s="170">
        <f>'2. Consolidated'!DI75</f>
        <v>40</v>
      </c>
    </row>
    <row r="33" spans="2:99" ht="15" customHeight="1" thickTop="1">
      <c r="B33" s="119" t="s">
        <v>87</v>
      </c>
      <c r="C33" s="119"/>
      <c r="D33" s="123">
        <f>'2. Consolidated'!R20</f>
        <v>443</v>
      </c>
      <c r="E33" s="124">
        <f>'2. Consolidated'!S20</f>
        <v>356</v>
      </c>
      <c r="F33" s="124">
        <f>'2. Consolidated'!T20</f>
        <v>419</v>
      </c>
      <c r="G33" s="124">
        <f>'2. Consolidated'!U20</f>
        <v>518</v>
      </c>
      <c r="H33" s="125">
        <f>'2. Consolidated'!V20</f>
        <v>1736</v>
      </c>
      <c r="I33" s="124">
        <f>'2. Consolidated'!W20</f>
        <v>534</v>
      </c>
      <c r="J33" s="124">
        <f>'2. Consolidated'!X20</f>
        <v>418</v>
      </c>
      <c r="K33" s="124">
        <f>'2. Consolidated'!Y20</f>
        <v>496</v>
      </c>
      <c r="L33" s="124">
        <f>'2. Consolidated'!Z20</f>
        <v>559</v>
      </c>
      <c r="M33" s="125">
        <f>'2. Consolidated'!AA20</f>
        <v>2007</v>
      </c>
      <c r="N33" s="125"/>
      <c r="O33" s="124">
        <f>'2. Consolidated'!AC20</f>
        <v>645</v>
      </c>
      <c r="P33" s="124">
        <f>'2. Consolidated'!AD20</f>
        <v>565</v>
      </c>
      <c r="Q33" s="124">
        <f>'2. Consolidated'!AE20</f>
        <v>653</v>
      </c>
      <c r="R33" s="124">
        <f>'2. Consolidated'!AF20</f>
        <v>778</v>
      </c>
      <c r="S33" s="125">
        <f>'2. Consolidated'!AG20</f>
        <v>2641</v>
      </c>
      <c r="T33" s="124">
        <f>'2. Consolidated'!AH20</f>
        <v>813</v>
      </c>
      <c r="U33" s="124">
        <f>'2. Consolidated'!AI20</f>
        <v>649</v>
      </c>
      <c r="V33" s="124">
        <f>'2. Consolidated'!AJ20</f>
        <v>729</v>
      </c>
      <c r="W33" s="124">
        <f>'2. Consolidated'!AK20</f>
        <v>888</v>
      </c>
      <c r="X33" s="125">
        <f>'2. Consolidated'!AL20</f>
        <v>3079</v>
      </c>
      <c r="Y33" s="124">
        <f>'2. Consolidated'!AM20</f>
        <v>970</v>
      </c>
      <c r="Z33" s="124">
        <f>'2. Consolidated'!AN20</f>
        <v>785</v>
      </c>
      <c r="AA33" s="124">
        <f>'2. Consolidated'!AO20</f>
        <v>830</v>
      </c>
      <c r="AB33" s="124">
        <f>'2. Consolidated'!AP20</f>
        <v>1060</v>
      </c>
      <c r="AC33" s="125">
        <f>'2. Consolidated'!AQ20</f>
        <v>3645</v>
      </c>
      <c r="AD33" s="124">
        <f>'2. Consolidated'!AR20</f>
        <v>1042</v>
      </c>
      <c r="AE33" s="124">
        <f>'2. Consolidated'!AS20</f>
        <v>882</v>
      </c>
      <c r="AF33" s="124">
        <f>'2. Consolidated'!AT20</f>
        <v>903</v>
      </c>
      <c r="AG33" s="124">
        <f>'2. Consolidated'!AU20</f>
        <v>936</v>
      </c>
      <c r="AH33" s="125">
        <f>'2. Consolidated'!AV20</f>
        <v>3763</v>
      </c>
      <c r="AI33" s="124">
        <f>'2. Consolidated'!AW20</f>
        <v>1004</v>
      </c>
      <c r="AJ33" s="124">
        <f>'2. Consolidated'!AX20</f>
        <v>912</v>
      </c>
      <c r="AK33" s="124">
        <f>'2. Consolidated'!AY20</f>
        <v>980</v>
      </c>
      <c r="AL33" s="124">
        <f>'2. Consolidated'!AZ20</f>
        <v>979</v>
      </c>
      <c r="AM33" s="125">
        <f>'2. Consolidated'!BA20</f>
        <v>3875</v>
      </c>
      <c r="AN33" s="124">
        <f>'2. Consolidated'!BB20</f>
        <v>1002</v>
      </c>
      <c r="AO33" s="124">
        <f>'2. Consolidated'!BC20</f>
        <v>783</v>
      </c>
      <c r="AP33" s="124">
        <f>'2. Consolidated'!BD20</f>
        <v>840</v>
      </c>
      <c r="AQ33" s="124">
        <f>'2. Consolidated'!BE20</f>
        <v>975</v>
      </c>
      <c r="AR33" s="125">
        <f>'2. Consolidated'!BF20</f>
        <v>3600</v>
      </c>
      <c r="AS33" s="124">
        <f>'2. Consolidated'!BG20</f>
        <v>1077</v>
      </c>
      <c r="AT33" s="124">
        <f>'2. Consolidated'!BH20</f>
        <v>884</v>
      </c>
      <c r="AU33" s="124">
        <f>'2. Consolidated'!BI20</f>
        <v>916</v>
      </c>
      <c r="AV33" s="124">
        <f>'2. Consolidated'!BJ20</f>
        <v>1048</v>
      </c>
      <c r="AW33" s="125">
        <f>'2. Consolidated'!BK20</f>
        <v>3925</v>
      </c>
      <c r="AX33" s="124">
        <f>'2. Consolidated'!BL20</f>
        <v>1100</v>
      </c>
      <c r="AY33" s="124">
        <f>'2. Consolidated'!BM20</f>
        <v>875</v>
      </c>
      <c r="AZ33" s="124">
        <f>'2. Consolidated'!BN20</f>
        <v>937</v>
      </c>
      <c r="BA33" s="124">
        <f>'2. Consolidated'!BO20</f>
        <v>-13</v>
      </c>
      <c r="BB33" s="125">
        <f>'2. Consolidated'!BP20</f>
        <v>2899</v>
      </c>
      <c r="BC33" s="124">
        <f>'2. Consolidated'!BQ20</f>
        <v>1302</v>
      </c>
      <c r="BD33" s="124">
        <f>'2. Consolidated'!BR20</f>
        <v>1023</v>
      </c>
      <c r="BE33" s="124">
        <f>'2. Consolidated'!BS20</f>
        <v>970</v>
      </c>
      <c r="BF33" s="124">
        <f>'2. Consolidated'!BT20</f>
        <v>1794</v>
      </c>
      <c r="BG33" s="125">
        <f>'2. Consolidated'!BU20</f>
        <v>5089</v>
      </c>
      <c r="BH33" s="124">
        <f>'2. Consolidated'!BV20</f>
        <v>1434</v>
      </c>
      <c r="BI33" s="124">
        <f>'2. Consolidated'!BW20</f>
        <v>1235</v>
      </c>
      <c r="BJ33" s="124">
        <f>'2. Consolidated'!BX20</f>
        <v>967</v>
      </c>
      <c r="BK33" s="124">
        <f>'2. Consolidated'!BY20</f>
        <v>1478</v>
      </c>
      <c r="BL33" s="125">
        <f>'2. Consolidated'!BZ20</f>
        <v>5114</v>
      </c>
      <c r="BM33" s="124">
        <f>'2. Consolidated'!CA20</f>
        <v>1377</v>
      </c>
      <c r="BN33" s="124">
        <f>'2. Consolidated'!CB20</f>
        <v>1497</v>
      </c>
      <c r="BO33" s="124">
        <f>'2. Consolidated'!CC20</f>
        <v>1190</v>
      </c>
      <c r="BP33" s="124">
        <f>'2. Consolidated'!CD20</f>
        <v>1390</v>
      </c>
      <c r="BQ33" s="125">
        <f>'2. Consolidated'!CE20</f>
        <v>5454</v>
      </c>
      <c r="BR33" s="124">
        <f>'2. Consolidated'!CF20</f>
        <v>1434</v>
      </c>
      <c r="BS33" s="124">
        <f>'2. Consolidated'!CG20</f>
        <v>1526</v>
      </c>
      <c r="BT33" s="124">
        <f>'2. Consolidated'!CH20</f>
        <v>1400</v>
      </c>
      <c r="BU33" s="124">
        <f>'2. Consolidated'!CI20</f>
        <v>1462</v>
      </c>
      <c r="BV33" s="125">
        <f>'2. Consolidated'!CJ20</f>
        <v>5822</v>
      </c>
      <c r="BW33" s="124">
        <f>'2. Consolidated'!CK20</f>
        <v>1216</v>
      </c>
      <c r="BX33" s="124">
        <f>'2. Consolidated'!CL20</f>
        <v>1371</v>
      </c>
      <c r="BY33" s="124">
        <f>'2. Consolidated'!CM20</f>
        <v>1103</v>
      </c>
      <c r="BZ33" s="124">
        <f>'2. Consolidated'!CN20</f>
        <v>1045</v>
      </c>
      <c r="CA33" s="125">
        <f>'2. Consolidated'!CO20</f>
        <v>4735</v>
      </c>
      <c r="CB33" s="124">
        <f>'2. Consolidated'!CP20</f>
        <v>1134</v>
      </c>
      <c r="CC33" s="124">
        <f>'2. Consolidated'!CQ20</f>
        <v>1261</v>
      </c>
      <c r="CD33" s="124">
        <f>'2. Consolidated'!CR20</f>
        <v>981</v>
      </c>
      <c r="CE33" s="124">
        <f>'2. Consolidated'!CS20</f>
        <v>2000</v>
      </c>
      <c r="CF33" s="125">
        <f>'2. Consolidated'!CT20</f>
        <v>5376</v>
      </c>
      <c r="CG33" s="124">
        <f>'2. Consolidated'!CU20</f>
        <v>1170</v>
      </c>
      <c r="CH33" s="124">
        <f>'2. Consolidated'!CV20</f>
        <v>1181.2083968388604</v>
      </c>
      <c r="CI33" s="124">
        <f>'2. Consolidated'!CW20</f>
        <v>1032.6907707027453</v>
      </c>
      <c r="CJ33" s="124">
        <f>'2. Consolidated'!CX20</f>
        <v>1517.0296329715227</v>
      </c>
      <c r="CK33" s="125">
        <f>'2. Consolidated'!CY20</f>
        <v>4900.9288005131284</v>
      </c>
      <c r="CL33" s="124">
        <f>'2. Consolidated'!CZ20</f>
        <v>1173.335514799634</v>
      </c>
      <c r="CM33" s="124">
        <f>'2. Consolidated'!DA20</f>
        <v>1203.7650525688339</v>
      </c>
      <c r="CN33" s="124">
        <f>'2. Consolidated'!DB20</f>
        <v>1075.3248591824945</v>
      </c>
      <c r="CO33" s="124">
        <f>'2. Consolidated'!DC20</f>
        <v>1542.4439216557942</v>
      </c>
      <c r="CP33" s="125">
        <f>'2. Consolidated'!DD20</f>
        <v>4994.8693482067565</v>
      </c>
      <c r="CQ33" s="124">
        <f>'2. Consolidated'!DE20</f>
        <v>1233.0281374246338</v>
      </c>
      <c r="CR33" s="124">
        <f>'2. Consolidated'!DF20</f>
        <v>1264.2291666800838</v>
      </c>
      <c r="CS33" s="124">
        <f>'2. Consolidated'!DG20</f>
        <v>1133.7194484574945</v>
      </c>
      <c r="CT33" s="124">
        <f>'2. Consolidated'!DH20</f>
        <v>1597.3105959007942</v>
      </c>
      <c r="CU33" s="125">
        <f>'2. Consolidated'!DI20</f>
        <v>5228.2873484630063</v>
      </c>
    </row>
    <row r="34" spans="2:99" ht="15" customHeight="1">
      <c r="B34" s="119" t="s">
        <v>156</v>
      </c>
      <c r="C34" s="119"/>
      <c r="D34" s="123">
        <f>'2. Consolidated'!R21</f>
        <v>353</v>
      </c>
      <c r="E34" s="124">
        <f>'2. Consolidated'!S21</f>
        <v>190</v>
      </c>
      <c r="F34" s="124">
        <f>'2. Consolidated'!T21</f>
        <v>222</v>
      </c>
      <c r="G34" s="124">
        <f>'2. Consolidated'!U21</f>
        <v>209</v>
      </c>
      <c r="H34" s="125">
        <f>'2. Consolidated'!V21</f>
        <v>974</v>
      </c>
      <c r="I34" s="124">
        <f>'2. Consolidated'!W21</f>
        <v>293</v>
      </c>
      <c r="J34" s="124">
        <f>'2. Consolidated'!X21</f>
        <v>125</v>
      </c>
      <c r="K34" s="124">
        <f>'2. Consolidated'!Y21</f>
        <v>209</v>
      </c>
      <c r="L34" s="124">
        <f>'2. Consolidated'!Z21</f>
        <v>204</v>
      </c>
      <c r="M34" s="125">
        <f>'2. Consolidated'!AA21</f>
        <v>831</v>
      </c>
      <c r="N34" s="125"/>
      <c r="O34" s="124">
        <f>'2. Consolidated'!AC21</f>
        <v>266</v>
      </c>
      <c r="P34" s="124">
        <f>'2. Consolidated'!AD21</f>
        <v>147</v>
      </c>
      <c r="Q34" s="124">
        <f>'2. Consolidated'!AE21</f>
        <v>243</v>
      </c>
      <c r="R34" s="124">
        <f>'2. Consolidated'!AF21</f>
        <v>221</v>
      </c>
      <c r="S34" s="125">
        <f>'2. Consolidated'!AG21</f>
        <v>877</v>
      </c>
      <c r="T34" s="124">
        <f>'2. Consolidated'!AH21</f>
        <v>346</v>
      </c>
      <c r="U34" s="124">
        <f>'2. Consolidated'!AI21</f>
        <v>171</v>
      </c>
      <c r="V34" s="124">
        <f>'2. Consolidated'!AJ21</f>
        <v>354</v>
      </c>
      <c r="W34" s="124">
        <f>'2. Consolidated'!AK21</f>
        <v>263</v>
      </c>
      <c r="X34" s="125">
        <f>'2. Consolidated'!AL21</f>
        <v>1134</v>
      </c>
      <c r="Y34" s="124">
        <f>'2. Consolidated'!AM21</f>
        <v>472</v>
      </c>
      <c r="Z34" s="124">
        <f>'2. Consolidated'!AN21</f>
        <v>318</v>
      </c>
      <c r="AA34" s="124">
        <f>'2. Consolidated'!AO21</f>
        <v>385</v>
      </c>
      <c r="AB34" s="124">
        <f>'2. Consolidated'!AP21</f>
        <v>348</v>
      </c>
      <c r="AC34" s="125">
        <f>'2. Consolidated'!AQ21</f>
        <v>1523</v>
      </c>
      <c r="AD34" s="124">
        <f>'2. Consolidated'!AR21</f>
        <v>597</v>
      </c>
      <c r="AE34" s="124">
        <f>'2. Consolidated'!AS21</f>
        <v>407</v>
      </c>
      <c r="AF34" s="124">
        <f>'2. Consolidated'!AT21</f>
        <v>415</v>
      </c>
      <c r="AG34" s="124">
        <f>'2. Consolidated'!AU21</f>
        <v>368</v>
      </c>
      <c r="AH34" s="125">
        <f>'2. Consolidated'!AV21</f>
        <v>1787</v>
      </c>
      <c r="AI34" s="124">
        <f>'2. Consolidated'!AW21</f>
        <v>485</v>
      </c>
      <c r="AJ34" s="124">
        <f>'2. Consolidated'!AX21</f>
        <v>313</v>
      </c>
      <c r="AK34" s="124">
        <f>'2. Consolidated'!AY21</f>
        <v>361</v>
      </c>
      <c r="AL34" s="124">
        <f>'2. Consolidated'!AZ21</f>
        <v>348</v>
      </c>
      <c r="AM34" s="125">
        <f>'2. Consolidated'!BA21</f>
        <v>1507</v>
      </c>
      <c r="AN34" s="124">
        <f>'2. Consolidated'!BB21</f>
        <v>451</v>
      </c>
      <c r="AO34" s="124">
        <f>'2. Consolidated'!BC21</f>
        <v>337</v>
      </c>
      <c r="AP34" s="124">
        <f>'2. Consolidated'!BD21</f>
        <v>417</v>
      </c>
      <c r="AQ34" s="124">
        <f>'2. Consolidated'!BE21</f>
        <v>382</v>
      </c>
      <c r="AR34" s="125">
        <f>'2. Consolidated'!BF21</f>
        <v>1587</v>
      </c>
      <c r="AS34" s="124">
        <f>'2. Consolidated'!BG21</f>
        <v>501</v>
      </c>
      <c r="AT34" s="124">
        <f>'2. Consolidated'!BH21</f>
        <v>450</v>
      </c>
      <c r="AU34" s="124">
        <f>'2. Consolidated'!BI21</f>
        <v>538</v>
      </c>
      <c r="AV34" s="124">
        <f>'2. Consolidated'!BJ21</f>
        <v>506</v>
      </c>
      <c r="AW34" s="125">
        <f>'2. Consolidated'!BK21</f>
        <v>1995</v>
      </c>
      <c r="AX34" s="124">
        <f>'2. Consolidated'!BL21</f>
        <v>609</v>
      </c>
      <c r="AY34" s="124">
        <f>'2. Consolidated'!BM21</f>
        <v>510</v>
      </c>
      <c r="AZ34" s="124">
        <f>'2. Consolidated'!BN21</f>
        <v>575</v>
      </c>
      <c r="BA34" s="124">
        <f>'2. Consolidated'!BO21</f>
        <v>-153</v>
      </c>
      <c r="BB34" s="125">
        <f>'2. Consolidated'!BP21</f>
        <v>1541</v>
      </c>
      <c r="BC34" s="124">
        <f>'2. Consolidated'!BQ21</f>
        <v>692</v>
      </c>
      <c r="BD34" s="124">
        <f>'2. Consolidated'!BR21</f>
        <v>660</v>
      </c>
      <c r="BE34" s="124">
        <f>'2. Consolidated'!BS21</f>
        <v>533</v>
      </c>
      <c r="BF34" s="124">
        <f>'2. Consolidated'!BT21</f>
        <v>550</v>
      </c>
      <c r="BG34" s="125">
        <f>'2. Consolidated'!BU21</f>
        <v>2435</v>
      </c>
      <c r="BH34" s="124">
        <f>'2. Consolidated'!BV21</f>
        <v>875</v>
      </c>
      <c r="BI34" s="124">
        <f>'2. Consolidated'!BW21</f>
        <v>806</v>
      </c>
      <c r="BJ34" s="124">
        <f>'2. Consolidated'!BX21</f>
        <v>713</v>
      </c>
      <c r="BK34" s="124">
        <f>'2. Consolidated'!BY21</f>
        <v>899</v>
      </c>
      <c r="BL34" s="125">
        <f>'2. Consolidated'!BZ21</f>
        <v>3293</v>
      </c>
      <c r="BM34" s="124">
        <f>'2. Consolidated'!CA21</f>
        <v>975</v>
      </c>
      <c r="BN34" s="124">
        <f>'2. Consolidated'!CB21</f>
        <v>990</v>
      </c>
      <c r="BO34" s="124">
        <f>'2. Consolidated'!CC21</f>
        <v>785</v>
      </c>
      <c r="BP34" s="124">
        <f>'2. Consolidated'!CD21</f>
        <v>781</v>
      </c>
      <c r="BQ34" s="125">
        <f>'2. Consolidated'!CE21</f>
        <v>3531</v>
      </c>
      <c r="BR34" s="124">
        <f>'2. Consolidated'!CF21</f>
        <v>930</v>
      </c>
      <c r="BS34" s="124">
        <f>'2. Consolidated'!CG21</f>
        <v>927</v>
      </c>
      <c r="BT34" s="124">
        <f>'2. Consolidated'!CH21</f>
        <v>734</v>
      </c>
      <c r="BU34" s="124">
        <f>'2. Consolidated'!CI21</f>
        <v>797</v>
      </c>
      <c r="BV34" s="125">
        <f>'2. Consolidated'!CJ21</f>
        <v>3388</v>
      </c>
      <c r="BW34" s="124">
        <f>'2. Consolidated'!CK21</f>
        <v>792</v>
      </c>
      <c r="BX34" s="124">
        <f>'2. Consolidated'!CL21</f>
        <v>831</v>
      </c>
      <c r="BY34" s="124">
        <f>'2. Consolidated'!CM21</f>
        <v>480</v>
      </c>
      <c r="BZ34" s="124">
        <f>'2. Consolidated'!CN21</f>
        <v>472</v>
      </c>
      <c r="CA34" s="125">
        <f>'2. Consolidated'!CO21</f>
        <v>2575</v>
      </c>
      <c r="CB34" s="124">
        <f>'2. Consolidated'!CP21</f>
        <v>735</v>
      </c>
      <c r="CC34" s="124">
        <f>'2. Consolidated'!CQ21</f>
        <v>733</v>
      </c>
      <c r="CD34" s="124">
        <f>'2. Consolidated'!CR21</f>
        <v>515</v>
      </c>
      <c r="CE34" s="124">
        <f>'2. Consolidated'!CS21</f>
        <v>434</v>
      </c>
      <c r="CF34" s="125">
        <f>'2. Consolidated'!CT21</f>
        <v>2417</v>
      </c>
      <c r="CG34" s="124">
        <f>'2. Consolidated'!CU21</f>
        <v>728</v>
      </c>
      <c r="CH34" s="124">
        <f>'2. Consolidated'!CV21</f>
        <v>653.12018691367939</v>
      </c>
      <c r="CI34" s="124">
        <f>'2. Consolidated'!CW21</f>
        <v>495.00329960000005</v>
      </c>
      <c r="CJ34" s="124">
        <f>'2. Consolidated'!CX21</f>
        <v>419.15693795294112</v>
      </c>
      <c r="CK34" s="125">
        <f>'2. Consolidated'!CY21</f>
        <v>2295.2804244666204</v>
      </c>
      <c r="CL34" s="124">
        <f>'2. Consolidated'!CZ21</f>
        <v>744.70282988413089</v>
      </c>
      <c r="CM34" s="124">
        <f>'2. Consolidated'!DA21</f>
        <v>694.95466035082086</v>
      </c>
      <c r="CN34" s="124">
        <f>'2. Consolidated'!DB21</f>
        <v>540.90316617971973</v>
      </c>
      <c r="CO34" s="124">
        <f>'2. Consolidated'!DC21</f>
        <v>468.10477501411754</v>
      </c>
      <c r="CP34" s="125">
        <f>'2. Consolidated'!DD21</f>
        <v>2448.6654314287889</v>
      </c>
      <c r="CQ34" s="124">
        <f>'2. Consolidated'!DE21</f>
        <v>774.28750188413096</v>
      </c>
      <c r="CR34" s="124">
        <f>'2. Consolidated'!DF21</f>
        <v>722.90976456682097</v>
      </c>
      <c r="CS34" s="124">
        <f>'2. Consolidated'!DG21</f>
        <v>572.74332153955697</v>
      </c>
      <c r="CT34" s="124">
        <f>'2. Consolidated'!DH21</f>
        <v>499.66662205185889</v>
      </c>
      <c r="CU34" s="125">
        <f>'2. Consolidated'!DI21</f>
        <v>2569.607210042368</v>
      </c>
    </row>
    <row r="35" spans="2:99" ht="15" customHeight="1">
      <c r="B35" s="119" t="s">
        <v>99</v>
      </c>
      <c r="C35" s="119"/>
      <c r="D35" s="123">
        <f>'2. Consolidated'!R22</f>
        <v>164</v>
      </c>
      <c r="E35" s="124">
        <f>'2. Consolidated'!S22</f>
        <v>174</v>
      </c>
      <c r="F35" s="124">
        <f>'2. Consolidated'!T22</f>
        <v>213</v>
      </c>
      <c r="G35" s="124">
        <f>'2. Consolidated'!U22</f>
        <v>226</v>
      </c>
      <c r="H35" s="125">
        <f>'2. Consolidated'!V22</f>
        <v>777</v>
      </c>
      <c r="I35" s="124">
        <f>'2. Consolidated'!W22</f>
        <v>171</v>
      </c>
      <c r="J35" s="124">
        <f>'2. Consolidated'!X22</f>
        <v>220</v>
      </c>
      <c r="K35" s="124">
        <f>'2. Consolidated'!Y22</f>
        <v>273</v>
      </c>
      <c r="L35" s="124">
        <f>'2. Consolidated'!Z22</f>
        <v>247</v>
      </c>
      <c r="M35" s="125">
        <f>'2. Consolidated'!AA22</f>
        <v>911</v>
      </c>
      <c r="N35" s="125"/>
      <c r="O35" s="124">
        <f>'2. Consolidated'!AC22</f>
        <v>165</v>
      </c>
      <c r="P35" s="124">
        <f>'2. Consolidated'!AD22</f>
        <v>187</v>
      </c>
      <c r="Q35" s="124">
        <f>'2. Consolidated'!AE22</f>
        <v>218</v>
      </c>
      <c r="R35" s="124">
        <f>'2. Consolidated'!AF22</f>
        <v>243</v>
      </c>
      <c r="S35" s="125">
        <f>'2. Consolidated'!AG22</f>
        <v>813</v>
      </c>
      <c r="T35" s="124">
        <f>'2. Consolidated'!AH22</f>
        <v>170</v>
      </c>
      <c r="U35" s="124">
        <f>'2. Consolidated'!AI22</f>
        <v>197</v>
      </c>
      <c r="V35" s="124">
        <f>'2. Consolidated'!AJ22</f>
        <v>234</v>
      </c>
      <c r="W35" s="124">
        <f>'2. Consolidated'!AK22</f>
        <v>223</v>
      </c>
      <c r="X35" s="125">
        <f>'2. Consolidated'!AL22</f>
        <v>824</v>
      </c>
      <c r="Y35" s="124">
        <f>'2. Consolidated'!AM22</f>
        <v>218</v>
      </c>
      <c r="Z35" s="124">
        <f>'2. Consolidated'!AN22</f>
        <v>258</v>
      </c>
      <c r="AA35" s="124">
        <f>'2. Consolidated'!AO22</f>
        <v>251</v>
      </c>
      <c r="AB35" s="124">
        <f>'2. Consolidated'!AP22</f>
        <v>266</v>
      </c>
      <c r="AC35" s="125">
        <f>'2. Consolidated'!AQ22</f>
        <v>993</v>
      </c>
      <c r="AD35" s="124">
        <f>'2. Consolidated'!AR22</f>
        <v>330</v>
      </c>
      <c r="AE35" s="124">
        <f>'2. Consolidated'!AS22</f>
        <v>327</v>
      </c>
      <c r="AF35" s="124">
        <f>'2. Consolidated'!AT22</f>
        <v>358</v>
      </c>
      <c r="AG35" s="124">
        <f>'2. Consolidated'!AU22</f>
        <v>357</v>
      </c>
      <c r="AH35" s="125">
        <f>'2. Consolidated'!AV22</f>
        <v>1372</v>
      </c>
      <c r="AI35" s="124">
        <f>'2. Consolidated'!AW22</f>
        <v>371</v>
      </c>
      <c r="AJ35" s="124">
        <f>'2. Consolidated'!AX22</f>
        <v>375</v>
      </c>
      <c r="AK35" s="124">
        <f>'2. Consolidated'!AY22</f>
        <v>381</v>
      </c>
      <c r="AL35" s="124">
        <f>'2. Consolidated'!AZ22</f>
        <v>380</v>
      </c>
      <c r="AM35" s="125">
        <f>'2. Consolidated'!BA22</f>
        <v>1507</v>
      </c>
      <c r="AN35" s="124">
        <f>'2. Consolidated'!BB22</f>
        <v>394</v>
      </c>
      <c r="AO35" s="124">
        <f>'2. Consolidated'!BC22</f>
        <v>378</v>
      </c>
      <c r="AP35" s="124">
        <f>'2. Consolidated'!BD22</f>
        <v>496</v>
      </c>
      <c r="AQ35" s="124">
        <f>'2. Consolidated'!BE22</f>
        <v>539</v>
      </c>
      <c r="AR35" s="125">
        <f>'2. Consolidated'!BF22</f>
        <v>1807</v>
      </c>
      <c r="AS35" s="124">
        <f>'2. Consolidated'!BG22</f>
        <v>502</v>
      </c>
      <c r="AT35" s="124">
        <f>'2. Consolidated'!BH22</f>
        <v>561</v>
      </c>
      <c r="AU35" s="124">
        <f>'2. Consolidated'!BI22</f>
        <v>639</v>
      </c>
      <c r="AV35" s="124">
        <f>'2. Consolidated'!BJ22</f>
        <v>674</v>
      </c>
      <c r="AW35" s="125">
        <f>'2. Consolidated'!BK22</f>
        <v>2376</v>
      </c>
      <c r="AX35" s="124">
        <f>'2. Consolidated'!BL22</f>
        <v>669</v>
      </c>
      <c r="AY35" s="124">
        <f>'2. Consolidated'!BM22</f>
        <v>694</v>
      </c>
      <c r="AZ35" s="124">
        <f>'2. Consolidated'!BN22</f>
        <v>556</v>
      </c>
      <c r="BA35" s="124">
        <f>'2. Consolidated'!BO22</f>
        <v>571</v>
      </c>
      <c r="BB35" s="125">
        <f>'2. Consolidated'!BP22</f>
        <v>2490</v>
      </c>
      <c r="BC35" s="124">
        <f>'2. Consolidated'!BQ22</f>
        <v>688</v>
      </c>
      <c r="BD35" s="124">
        <f>'2. Consolidated'!BR22</f>
        <v>891</v>
      </c>
      <c r="BE35" s="124">
        <f>'2. Consolidated'!BS22</f>
        <v>973</v>
      </c>
      <c r="BF35" s="124">
        <f>'2. Consolidated'!BT22</f>
        <v>691</v>
      </c>
      <c r="BG35" s="125">
        <f>'2. Consolidated'!BU22</f>
        <v>3243</v>
      </c>
      <c r="BH35" s="124">
        <f>'2. Consolidated'!BV22</f>
        <v>701</v>
      </c>
      <c r="BI35" s="124">
        <f>'2. Consolidated'!BW22</f>
        <v>569</v>
      </c>
      <c r="BJ35" s="124">
        <f>'2. Consolidated'!BX22</f>
        <v>784</v>
      </c>
      <c r="BK35" s="124">
        <f>'2. Consolidated'!BY22</f>
        <v>311</v>
      </c>
      <c r="BL35" s="125">
        <f>'2. Consolidated'!BZ22</f>
        <v>2365</v>
      </c>
      <c r="BM35" s="124">
        <f>'2. Consolidated'!CA22</f>
        <v>541</v>
      </c>
      <c r="BN35" s="124">
        <f>'2. Consolidated'!CB22</f>
        <v>511</v>
      </c>
      <c r="BO35" s="124">
        <f>'2. Consolidated'!CC22</f>
        <v>702</v>
      </c>
      <c r="BP35" s="124">
        <f>'2. Consolidated'!CD22</f>
        <v>529</v>
      </c>
      <c r="BQ35" s="125">
        <f>'2. Consolidated'!CE22</f>
        <v>2283</v>
      </c>
      <c r="BR35" s="124">
        <f>'2. Consolidated'!CF22</f>
        <v>525</v>
      </c>
      <c r="BS35" s="124">
        <f>'2. Consolidated'!CG22</f>
        <v>514</v>
      </c>
      <c r="BT35" s="124">
        <f>'2. Consolidated'!CH22</f>
        <v>722</v>
      </c>
      <c r="BU35" s="124">
        <f>'2. Consolidated'!CI22</f>
        <v>548</v>
      </c>
      <c r="BV35" s="125">
        <f>'2. Consolidated'!CJ22</f>
        <v>2309</v>
      </c>
      <c r="BW35" s="124">
        <f>'2. Consolidated'!CK22</f>
        <v>502</v>
      </c>
      <c r="BX35" s="124">
        <f>'2. Consolidated'!CL22</f>
        <v>375</v>
      </c>
      <c r="BY35" s="124">
        <f>'2. Consolidated'!CM22</f>
        <v>421</v>
      </c>
      <c r="BZ35" s="124">
        <f>'2. Consolidated'!CN22</f>
        <v>304</v>
      </c>
      <c r="CA35" s="125">
        <f>'2. Consolidated'!CO22</f>
        <v>1602</v>
      </c>
      <c r="CB35" s="124">
        <f>'2. Consolidated'!CP22</f>
        <v>377</v>
      </c>
      <c r="CC35" s="124">
        <f>'2. Consolidated'!CQ22</f>
        <v>191</v>
      </c>
      <c r="CD35" s="124">
        <f>'2. Consolidated'!CR22</f>
        <v>467</v>
      </c>
      <c r="CE35" s="124">
        <f>'2. Consolidated'!CS22</f>
        <v>243</v>
      </c>
      <c r="CF35" s="125">
        <f>'2. Consolidated'!CT22</f>
        <v>1278</v>
      </c>
      <c r="CG35" s="124">
        <f>'2. Consolidated'!CU22</f>
        <v>248</v>
      </c>
      <c r="CH35" s="124">
        <f>'2. Consolidated'!CV22</f>
        <v>160.83240551816587</v>
      </c>
      <c r="CI35" s="124">
        <f>'2. Consolidated'!CW22</f>
        <v>315.48280786377705</v>
      </c>
      <c r="CJ35" s="124">
        <f>'2. Consolidated'!CX22</f>
        <v>172.30457073039702</v>
      </c>
      <c r="CK35" s="125">
        <f>'2. Consolidated'!CY22</f>
        <v>896.61978411233986</v>
      </c>
      <c r="CL35" s="124">
        <f>'2. Consolidated'!CZ22</f>
        <v>205.53329999999997</v>
      </c>
      <c r="CM35" s="124">
        <f>'2. Consolidated'!DA22</f>
        <v>145.91065449453268</v>
      </c>
      <c r="CN35" s="124">
        <f>'2. Consolidated'!DB22</f>
        <v>311.41721043467498</v>
      </c>
      <c r="CO35" s="124">
        <f>'2. Consolidated'!DC22</f>
        <v>175.21924816796525</v>
      </c>
      <c r="CP35" s="125">
        <f>'2. Consolidated'!DD22</f>
        <v>838.08041309717294</v>
      </c>
      <c r="CQ35" s="124">
        <f>'2. Consolidated'!DE22</f>
        <v>216.82334303389825</v>
      </c>
      <c r="CR35" s="124">
        <f>'2. Consolidated'!DF22</f>
        <v>159.92480099177709</v>
      </c>
      <c r="CS35" s="124">
        <f>'2. Consolidated'!DG22</f>
        <v>335.85184333983909</v>
      </c>
      <c r="CT35" s="124">
        <f>'2. Consolidated'!DH22</f>
        <v>193.80023007976155</v>
      </c>
      <c r="CU35" s="125">
        <f>'2. Consolidated'!DI22</f>
        <v>906.40021744527598</v>
      </c>
    </row>
    <row r="36" spans="2:99" ht="15" customHeight="1">
      <c r="B36" s="119" t="s">
        <v>160</v>
      </c>
      <c r="C36" s="119"/>
      <c r="D36" s="123">
        <f>'2. Consolidated'!R23</f>
        <v>151</v>
      </c>
      <c r="E36" s="124">
        <f>'2. Consolidated'!S23</f>
        <v>230</v>
      </c>
      <c r="F36" s="124">
        <f>'2. Consolidated'!T23</f>
        <v>204</v>
      </c>
      <c r="G36" s="124">
        <f>'2. Consolidated'!U23</f>
        <v>217</v>
      </c>
      <c r="H36" s="125">
        <f>'2. Consolidated'!V23</f>
        <v>802</v>
      </c>
      <c r="I36" s="124">
        <f>'2. Consolidated'!W23</f>
        <v>224</v>
      </c>
      <c r="J36" s="124">
        <f>'2. Consolidated'!X23</f>
        <v>282</v>
      </c>
      <c r="K36" s="124">
        <f>'2. Consolidated'!Y23</f>
        <v>239</v>
      </c>
      <c r="L36" s="124">
        <f>'2. Consolidated'!Z23</f>
        <v>244</v>
      </c>
      <c r="M36" s="125">
        <f>'2. Consolidated'!AA23</f>
        <v>989</v>
      </c>
      <c r="N36" s="125"/>
      <c r="O36" s="124">
        <f>'2. Consolidated'!AC23</f>
        <v>244</v>
      </c>
      <c r="P36" s="124">
        <f>'2. Consolidated'!AD23</f>
        <v>343</v>
      </c>
      <c r="Q36" s="124">
        <f>'2. Consolidated'!AE23</f>
        <v>240</v>
      </c>
      <c r="R36" s="124">
        <f>'2. Consolidated'!AF23</f>
        <v>300</v>
      </c>
      <c r="S36" s="125">
        <f>'2. Consolidated'!AG23</f>
        <v>1127</v>
      </c>
      <c r="T36" s="124">
        <f>'2. Consolidated'!AH23</f>
        <v>234</v>
      </c>
      <c r="U36" s="124">
        <f>'2. Consolidated'!AI23</f>
        <v>290</v>
      </c>
      <c r="V36" s="124">
        <f>'2. Consolidated'!AJ23</f>
        <v>249</v>
      </c>
      <c r="W36" s="124">
        <f>'2. Consolidated'!AK23</f>
        <v>310</v>
      </c>
      <c r="X36" s="125">
        <f>'2. Consolidated'!AL23</f>
        <v>1083</v>
      </c>
      <c r="Y36" s="124">
        <f>'2. Consolidated'!AM23</f>
        <v>167</v>
      </c>
      <c r="Z36" s="124">
        <f>'2. Consolidated'!AN23</f>
        <v>265</v>
      </c>
      <c r="AA36" s="124">
        <f>'2. Consolidated'!AO23</f>
        <v>256</v>
      </c>
      <c r="AB36" s="124">
        <f>'2. Consolidated'!AP23</f>
        <v>230</v>
      </c>
      <c r="AC36" s="125">
        <f>'2. Consolidated'!AQ23</f>
        <v>918</v>
      </c>
      <c r="AD36" s="124">
        <f>'2. Consolidated'!AR23</f>
        <v>280</v>
      </c>
      <c r="AE36" s="124">
        <f>'2. Consolidated'!AS23</f>
        <v>264</v>
      </c>
      <c r="AF36" s="124">
        <f>'2. Consolidated'!AT23</f>
        <v>226</v>
      </c>
      <c r="AG36" s="124">
        <f>'2. Consolidated'!AU23</f>
        <v>232</v>
      </c>
      <c r="AH36" s="125">
        <f>'2. Consolidated'!AV23</f>
        <v>1002</v>
      </c>
      <c r="AI36" s="124">
        <f>'2. Consolidated'!AW23</f>
        <v>209</v>
      </c>
      <c r="AJ36" s="124">
        <f>'2. Consolidated'!AX23</f>
        <v>266</v>
      </c>
      <c r="AK36" s="124">
        <f>'2. Consolidated'!AY23</f>
        <v>228</v>
      </c>
      <c r="AL36" s="124">
        <f>'2. Consolidated'!AZ23</f>
        <v>277</v>
      </c>
      <c r="AM36" s="125">
        <f>'2. Consolidated'!BA23</f>
        <v>980</v>
      </c>
      <c r="AN36" s="124">
        <f>'2. Consolidated'!BB23</f>
        <v>260</v>
      </c>
      <c r="AO36" s="124">
        <f>'2. Consolidated'!BC23</f>
        <v>291</v>
      </c>
      <c r="AP36" s="124">
        <f>'2. Consolidated'!BD23</f>
        <v>298</v>
      </c>
      <c r="AQ36" s="124">
        <f>'2. Consolidated'!BE23</f>
        <v>340</v>
      </c>
      <c r="AR36" s="125">
        <f>'2. Consolidated'!BF23</f>
        <v>1189</v>
      </c>
      <c r="AS36" s="124">
        <f>'2. Consolidated'!BG23</f>
        <v>323</v>
      </c>
      <c r="AT36" s="124">
        <f>'2. Consolidated'!BH23</f>
        <v>321</v>
      </c>
      <c r="AU36" s="124">
        <f>'2. Consolidated'!BI23</f>
        <v>339</v>
      </c>
      <c r="AV36" s="124">
        <f>'2. Consolidated'!BJ23</f>
        <v>340</v>
      </c>
      <c r="AW36" s="125">
        <f>'2. Consolidated'!BK23</f>
        <v>1323</v>
      </c>
      <c r="AX36" s="124">
        <f>'2. Consolidated'!BL23</f>
        <v>341</v>
      </c>
      <c r="AY36" s="124">
        <f>'2. Consolidated'!BM23</f>
        <v>377</v>
      </c>
      <c r="AZ36" s="124">
        <f>'2. Consolidated'!BN23</f>
        <v>387</v>
      </c>
      <c r="BA36" s="124">
        <f>'2. Consolidated'!BO23</f>
        <v>79</v>
      </c>
      <c r="BB36" s="125">
        <f>'2. Consolidated'!BP23</f>
        <v>1184</v>
      </c>
      <c r="BC36" s="124">
        <f>'2. Consolidated'!BQ23</f>
        <v>280</v>
      </c>
      <c r="BD36" s="124">
        <f>'2. Consolidated'!BR23</f>
        <v>424</v>
      </c>
      <c r="BE36" s="124">
        <f>'2. Consolidated'!BS23</f>
        <v>408</v>
      </c>
      <c r="BF36" s="124">
        <f>'2. Consolidated'!BT23</f>
        <v>418</v>
      </c>
      <c r="BG36" s="125">
        <f>'2. Consolidated'!BU23</f>
        <v>1530</v>
      </c>
      <c r="BH36" s="124">
        <f>'2. Consolidated'!BV23</f>
        <v>481</v>
      </c>
      <c r="BI36" s="124">
        <f>'2. Consolidated'!BW23</f>
        <v>388</v>
      </c>
      <c r="BJ36" s="124">
        <f>'2. Consolidated'!BX23</f>
        <v>478</v>
      </c>
      <c r="BK36" s="124">
        <f>'2. Consolidated'!BY23</f>
        <v>549</v>
      </c>
      <c r="BL36" s="125">
        <f>'2. Consolidated'!BZ23</f>
        <v>1896</v>
      </c>
      <c r="BM36" s="124">
        <f>'2. Consolidated'!CA23</f>
        <v>500</v>
      </c>
      <c r="BN36" s="124">
        <f>'2. Consolidated'!CB23</f>
        <v>485</v>
      </c>
      <c r="BO36" s="124">
        <f>'2. Consolidated'!CC23</f>
        <v>485</v>
      </c>
      <c r="BP36" s="124">
        <f>'2. Consolidated'!CD23</f>
        <v>462</v>
      </c>
      <c r="BQ36" s="125">
        <f>'2. Consolidated'!CE23</f>
        <v>1932</v>
      </c>
      <c r="BR36" s="124">
        <f>'2. Consolidated'!CF23</f>
        <v>414</v>
      </c>
      <c r="BS36" s="124">
        <f>'2. Consolidated'!CG23</f>
        <v>521</v>
      </c>
      <c r="BT36" s="124">
        <f>'2. Consolidated'!CH23</f>
        <v>471</v>
      </c>
      <c r="BU36" s="124">
        <f>'2. Consolidated'!CI23</f>
        <v>479</v>
      </c>
      <c r="BV36" s="125">
        <f>'2. Consolidated'!CJ23</f>
        <v>1885</v>
      </c>
      <c r="BW36" s="124">
        <f>'2. Consolidated'!CK23</f>
        <v>402</v>
      </c>
      <c r="BX36" s="124">
        <f>'2. Consolidated'!CL23</f>
        <v>460</v>
      </c>
      <c r="BY36" s="124">
        <f>'2. Consolidated'!CM23</f>
        <v>346</v>
      </c>
      <c r="BZ36" s="124">
        <f>'2. Consolidated'!CN23</f>
        <v>319</v>
      </c>
      <c r="CA36" s="125">
        <f>'2. Consolidated'!CO23</f>
        <v>1527</v>
      </c>
      <c r="CB36" s="124">
        <f>'2. Consolidated'!CP23</f>
        <v>350</v>
      </c>
      <c r="CC36" s="124">
        <f>'2. Consolidated'!CQ23</f>
        <v>389</v>
      </c>
      <c r="CD36" s="124">
        <f>'2. Consolidated'!CR23</f>
        <v>332</v>
      </c>
      <c r="CE36" s="124">
        <f>'2. Consolidated'!CS23</f>
        <v>316</v>
      </c>
      <c r="CF36" s="125">
        <f>'2. Consolidated'!CT23</f>
        <v>1387</v>
      </c>
      <c r="CG36" s="124">
        <f>'2. Consolidated'!CU23</f>
        <v>324</v>
      </c>
      <c r="CH36" s="124">
        <f>'2. Consolidated'!CV23</f>
        <v>387.72743969999999</v>
      </c>
      <c r="CI36" s="124">
        <f>'2. Consolidated'!CW23</f>
        <v>337.72058131610731</v>
      </c>
      <c r="CJ36" s="124">
        <f>'2. Consolidated'!CX23</f>
        <v>314.55606102255638</v>
      </c>
      <c r="CK36" s="125">
        <f>'2. Consolidated'!CY23</f>
        <v>1364.0040820386637</v>
      </c>
      <c r="CL36" s="124">
        <f>'2. Consolidated'!CZ23</f>
        <v>352.658105593985</v>
      </c>
      <c r="CM36" s="124">
        <f>'2. Consolidated'!DA23</f>
        <v>428.42110635495982</v>
      </c>
      <c r="CN36" s="124">
        <f>'2. Consolidated'!DB23</f>
        <v>373.91682909129361</v>
      </c>
      <c r="CO36" s="124">
        <f>'2. Consolidated'!DC23</f>
        <v>351.93003763857632</v>
      </c>
      <c r="CP36" s="125">
        <f>'2. Consolidated'!DD23</f>
        <v>1506.9260786788147</v>
      </c>
      <c r="CQ36" s="124">
        <f>'2. Consolidated'!DE23</f>
        <v>393.73111299193994</v>
      </c>
      <c r="CR36" s="124">
        <f>'2. Consolidated'!DF23</f>
        <v>475.7953346953401</v>
      </c>
      <c r="CS36" s="124">
        <f>'2. Consolidated'!DG23</f>
        <v>415.89605076421299</v>
      </c>
      <c r="CT36" s="124">
        <f>'2. Consolidated'!DH23</f>
        <v>394.88058591402239</v>
      </c>
      <c r="CU36" s="125">
        <f>'2. Consolidated'!DI23</f>
        <v>1680.3030843655156</v>
      </c>
    </row>
    <row r="37" spans="2:99" ht="15" customHeight="1">
      <c r="B37" s="119" t="s">
        <v>159</v>
      </c>
      <c r="C37" s="119"/>
      <c r="D37" s="123">
        <f>'2. Consolidated'!R24</f>
        <v>-245</v>
      </c>
      <c r="E37" s="124">
        <f>'2. Consolidated'!S24</f>
        <v>-221</v>
      </c>
      <c r="F37" s="124">
        <f>'2. Consolidated'!T24</f>
        <v>-237</v>
      </c>
      <c r="G37" s="124">
        <f>'2. Consolidated'!U24</f>
        <v>-268</v>
      </c>
      <c r="H37" s="125">
        <f>'2. Consolidated'!V24</f>
        <v>-971</v>
      </c>
      <c r="I37" s="124">
        <f>'2. Consolidated'!W24</f>
        <v>-261</v>
      </c>
      <c r="J37" s="124">
        <f>'2. Consolidated'!X24</f>
        <v>-273</v>
      </c>
      <c r="K37" s="124">
        <f>'2. Consolidated'!Y24</f>
        <v>-292</v>
      </c>
      <c r="L37" s="124">
        <f>'2. Consolidated'!Z24</f>
        <v>-351</v>
      </c>
      <c r="M37" s="125">
        <f>'2. Consolidated'!AA24</f>
        <v>-1177</v>
      </c>
      <c r="N37" s="125"/>
      <c r="O37" s="124">
        <f>'2. Consolidated'!AC24</f>
        <v>-456</v>
      </c>
      <c r="P37" s="124">
        <f>'2. Consolidated'!AD24</f>
        <v>-410</v>
      </c>
      <c r="Q37" s="124">
        <f>'2. Consolidated'!AE24</f>
        <v>-414</v>
      </c>
      <c r="R37" s="124">
        <f>'2. Consolidated'!AF24</f>
        <v>-466</v>
      </c>
      <c r="S37" s="125">
        <f>'2. Consolidated'!AG24</f>
        <v>-1746</v>
      </c>
      <c r="T37" s="124">
        <f>'2. Consolidated'!AH24</f>
        <v>-466</v>
      </c>
      <c r="U37" s="124">
        <f>'2. Consolidated'!AI24</f>
        <v>-462</v>
      </c>
      <c r="V37" s="124">
        <f>'2. Consolidated'!AJ24</f>
        <v>-528</v>
      </c>
      <c r="W37" s="124">
        <f>'2. Consolidated'!AK24</f>
        <v>-549</v>
      </c>
      <c r="X37" s="125">
        <f>'2. Consolidated'!AL24</f>
        <v>-2005</v>
      </c>
      <c r="Y37" s="124">
        <f>'2. Consolidated'!AM24</f>
        <v>-533</v>
      </c>
      <c r="Z37" s="124">
        <f>'2. Consolidated'!AN24</f>
        <v>-554</v>
      </c>
      <c r="AA37" s="124">
        <f>'2. Consolidated'!AO24</f>
        <v>-552</v>
      </c>
      <c r="AB37" s="124">
        <f>'2. Consolidated'!AP24</f>
        <v>-627</v>
      </c>
      <c r="AC37" s="125">
        <f>'2. Consolidated'!AQ24</f>
        <v>-2266</v>
      </c>
      <c r="AD37" s="124">
        <f>'2. Consolidated'!AR24</f>
        <v>-624</v>
      </c>
      <c r="AE37" s="124">
        <f>'2. Consolidated'!AS24</f>
        <v>-625</v>
      </c>
      <c r="AF37" s="124">
        <f>'2. Consolidated'!AT24</f>
        <v>-625</v>
      </c>
      <c r="AG37" s="124">
        <f>'2. Consolidated'!AU24</f>
        <v>-722</v>
      </c>
      <c r="AH37" s="125">
        <f>'2. Consolidated'!AV24</f>
        <v>-2596</v>
      </c>
      <c r="AI37" s="124">
        <f>'2. Consolidated'!AW24</f>
        <v>-771</v>
      </c>
      <c r="AJ37" s="124">
        <f>'2. Consolidated'!AX24</f>
        <v>-619</v>
      </c>
      <c r="AK37" s="124">
        <f>'2. Consolidated'!AY24</f>
        <v>-598</v>
      </c>
      <c r="AL37" s="124">
        <f>'2. Consolidated'!AZ24</f>
        <v>-689</v>
      </c>
      <c r="AM37" s="125">
        <f>'2. Consolidated'!BA24</f>
        <v>-2677</v>
      </c>
      <c r="AN37" s="124">
        <f>'2. Consolidated'!BB24</f>
        <v>-675</v>
      </c>
      <c r="AO37" s="124">
        <f>'2. Consolidated'!BC24</f>
        <v>-602</v>
      </c>
      <c r="AP37" s="124">
        <f>'2. Consolidated'!BD24</f>
        <v>-649</v>
      </c>
      <c r="AQ37" s="124">
        <f>'2. Consolidated'!BE24</f>
        <v>-732</v>
      </c>
      <c r="AR37" s="125">
        <f>'2. Consolidated'!BF24</f>
        <v>-2658</v>
      </c>
      <c r="AS37" s="124">
        <f>'2. Consolidated'!BG24</f>
        <v>-818</v>
      </c>
      <c r="AT37" s="124">
        <f>'2. Consolidated'!BH24</f>
        <v>-826</v>
      </c>
      <c r="AU37" s="124">
        <f>'2. Consolidated'!BI24</f>
        <v>-788</v>
      </c>
      <c r="AV37" s="124">
        <f>'2. Consolidated'!BJ24</f>
        <v>-830</v>
      </c>
      <c r="AW37" s="125">
        <f>'2. Consolidated'!BK24</f>
        <v>-3262</v>
      </c>
      <c r="AX37" s="124">
        <f>'2. Consolidated'!BL24</f>
        <v>-857</v>
      </c>
      <c r="AY37" s="124">
        <f>'2. Consolidated'!BM24</f>
        <v>-872</v>
      </c>
      <c r="AZ37" s="124">
        <f>'2. Consolidated'!BN24</f>
        <v>-895</v>
      </c>
      <c r="BA37" s="124">
        <f>'2. Consolidated'!BO24</f>
        <v>-844</v>
      </c>
      <c r="BB37" s="125">
        <f>'2. Consolidated'!BP24</f>
        <v>-3468</v>
      </c>
      <c r="BC37" s="124">
        <f>'2. Consolidated'!BQ24</f>
        <v>-853</v>
      </c>
      <c r="BD37" s="124">
        <f>'2. Consolidated'!BR24</f>
        <v>-841</v>
      </c>
      <c r="BE37" s="124">
        <f>'2. Consolidated'!BS24</f>
        <v>-852</v>
      </c>
      <c r="BF37" s="124">
        <f>'2. Consolidated'!BT24</f>
        <v>-1110</v>
      </c>
      <c r="BG37" s="125">
        <f>'2. Consolidated'!BU24</f>
        <v>-3656</v>
      </c>
      <c r="BH37" s="124">
        <f>'2. Consolidated'!BV24</f>
        <v>-987</v>
      </c>
      <c r="BI37" s="124">
        <f>'2. Consolidated'!BW24</f>
        <v>-1071</v>
      </c>
      <c r="BJ37" s="124">
        <f>'2. Consolidated'!BX24</f>
        <v>-975</v>
      </c>
      <c r="BK37" s="124">
        <f>'2. Consolidated'!BY24</f>
        <v>-1229</v>
      </c>
      <c r="BL37" s="125">
        <f>'2. Consolidated'!BZ24</f>
        <v>-4262</v>
      </c>
      <c r="BM37" s="124">
        <f>'2. Consolidated'!CA24</f>
        <v>-1187</v>
      </c>
      <c r="BN37" s="124">
        <f>'2. Consolidated'!CB24</f>
        <v>-1226</v>
      </c>
      <c r="BO37" s="124">
        <f>'2. Consolidated'!CC24</f>
        <v>-1160</v>
      </c>
      <c r="BP37" s="124">
        <f>'2. Consolidated'!CD24</f>
        <v>-1268</v>
      </c>
      <c r="BQ37" s="125">
        <f>'2. Consolidated'!CE24</f>
        <v>-4841</v>
      </c>
      <c r="BR37" s="124">
        <f>'2. Consolidated'!CF24</f>
        <v>-1205</v>
      </c>
      <c r="BS37" s="124">
        <f>'2. Consolidated'!CG24</f>
        <v>-1168</v>
      </c>
      <c r="BT37" s="124">
        <f>'2. Consolidated'!CH24</f>
        <v>-1199</v>
      </c>
      <c r="BU37" s="124">
        <f>'2. Consolidated'!CI24</f>
        <v>-1148</v>
      </c>
      <c r="BV37" s="125">
        <f>'2. Consolidated'!CJ24</f>
        <v>-4720</v>
      </c>
      <c r="BW37" s="124">
        <f>'2. Consolidated'!CK24</f>
        <v>-1227</v>
      </c>
      <c r="BX37" s="124">
        <f>'2. Consolidated'!CL24</f>
        <v>-1133</v>
      </c>
      <c r="BY37" s="124">
        <f>'2. Consolidated'!CM24</f>
        <v>-1093</v>
      </c>
      <c r="BZ37" s="124">
        <f>'2. Consolidated'!CN24</f>
        <v>-1246</v>
      </c>
      <c r="CA37" s="125">
        <f>'2. Consolidated'!CO24</f>
        <v>-4699</v>
      </c>
      <c r="CB37" s="124">
        <f>'2. Consolidated'!CP24</f>
        <v>-1192</v>
      </c>
      <c r="CC37" s="124">
        <f>'2. Consolidated'!CQ24</f>
        <v>-1072</v>
      </c>
      <c r="CD37" s="124">
        <f>'2. Consolidated'!CR24</f>
        <v>-1209</v>
      </c>
      <c r="CE37" s="124">
        <f>'2. Consolidated'!CS24</f>
        <v>-1130</v>
      </c>
      <c r="CF37" s="125">
        <f>'2. Consolidated'!CT24</f>
        <v>-4603</v>
      </c>
      <c r="CG37" s="124">
        <f>'2. Consolidated'!CU24</f>
        <v>-1275.3382629865166</v>
      </c>
      <c r="CH37" s="124">
        <f>'2. Consolidated'!CV24</f>
        <v>-1108.5981701084349</v>
      </c>
      <c r="CI37" s="124">
        <f>'2. Consolidated'!CW24</f>
        <v>-1203.4161138912618</v>
      </c>
      <c r="CJ37" s="124">
        <f>'2. Consolidated'!CX24</f>
        <v>-1084.0151740373096</v>
      </c>
      <c r="CK37" s="125">
        <f>'2. Consolidated'!CY24</f>
        <v>-4671.3677210235228</v>
      </c>
      <c r="CL37" s="124">
        <f>'2. Consolidated'!CZ24</f>
        <v>-1320.7079906302233</v>
      </c>
      <c r="CM37" s="124">
        <f>'2. Consolidated'!DA24</f>
        <v>-1152.6469706212206</v>
      </c>
      <c r="CN37" s="124">
        <f>'2. Consolidated'!DB24</f>
        <v>-1252.2689682118157</v>
      </c>
      <c r="CO37" s="124">
        <f>'2. Consolidated'!DC24</f>
        <v>-1130.0040774520692</v>
      </c>
      <c r="CP37" s="125">
        <f>'2. Consolidated'!DD24</f>
        <v>-4855.628006915329</v>
      </c>
      <c r="CQ37" s="124">
        <f>'2. Consolidated'!DE24</f>
        <v>-1367.6917309999685</v>
      </c>
      <c r="CR37" s="124">
        <f>'2. Consolidated'!DF24</f>
        <v>-1198.4459966701222</v>
      </c>
      <c r="CS37" s="124">
        <f>'2. Consolidated'!DG24</f>
        <v>-1303.1050113460444</v>
      </c>
      <c r="CT37" s="124">
        <f>'2. Consolidated'!DH24</f>
        <v>-1177.9440414127941</v>
      </c>
      <c r="CU37" s="125">
        <f>'2. Consolidated'!DI24</f>
        <v>-5047.1867804289286</v>
      </c>
    </row>
    <row r="38" spans="2:99" s="4" customFormat="1" ht="15" customHeight="1">
      <c r="B38" s="75" t="s">
        <v>301</v>
      </c>
      <c r="C38" s="75"/>
      <c r="D38" s="126">
        <f>'2. Consolidated'!R25</f>
        <v>866</v>
      </c>
      <c r="E38" s="127">
        <f>'2. Consolidated'!S25</f>
        <v>729</v>
      </c>
      <c r="F38" s="127">
        <f>'2. Consolidated'!T25</f>
        <v>821</v>
      </c>
      <c r="G38" s="127">
        <f>'2. Consolidated'!U25</f>
        <v>902</v>
      </c>
      <c r="H38" s="128">
        <f>'2. Consolidated'!V25</f>
        <v>3318</v>
      </c>
      <c r="I38" s="127">
        <f>'2. Consolidated'!W25</f>
        <v>961</v>
      </c>
      <c r="J38" s="127">
        <f>'2. Consolidated'!X25</f>
        <v>772</v>
      </c>
      <c r="K38" s="127">
        <f>'2. Consolidated'!Y25</f>
        <v>925</v>
      </c>
      <c r="L38" s="127">
        <f>'2. Consolidated'!Z25</f>
        <v>903</v>
      </c>
      <c r="M38" s="128">
        <f>'2. Consolidated'!AA25</f>
        <v>3561</v>
      </c>
      <c r="N38" s="128"/>
      <c r="O38" s="127">
        <f>'2. Consolidated'!AC25</f>
        <v>864</v>
      </c>
      <c r="P38" s="127">
        <f>'2. Consolidated'!AD25</f>
        <v>832</v>
      </c>
      <c r="Q38" s="127">
        <f>'2. Consolidated'!AE25</f>
        <v>940</v>
      </c>
      <c r="R38" s="127">
        <f>'2. Consolidated'!AF25</f>
        <v>1076</v>
      </c>
      <c r="S38" s="128">
        <f>'2. Consolidated'!AG25</f>
        <v>3712</v>
      </c>
      <c r="T38" s="127">
        <f>'2. Consolidated'!AH25</f>
        <v>1097</v>
      </c>
      <c r="U38" s="127">
        <f>'2. Consolidated'!AI25</f>
        <v>845</v>
      </c>
      <c r="V38" s="127">
        <f>'2. Consolidated'!AJ25</f>
        <v>1038</v>
      </c>
      <c r="W38" s="127">
        <f>'2. Consolidated'!AK25</f>
        <v>1135</v>
      </c>
      <c r="X38" s="128">
        <f>'2. Consolidated'!AL25</f>
        <v>4115</v>
      </c>
      <c r="Y38" s="127">
        <f>'2. Consolidated'!AM25</f>
        <v>1294</v>
      </c>
      <c r="Z38" s="127">
        <f>'2. Consolidated'!AN25</f>
        <v>1072</v>
      </c>
      <c r="AA38" s="127">
        <f>'2. Consolidated'!AO25</f>
        <v>1170</v>
      </c>
      <c r="AB38" s="127">
        <f>'2. Consolidated'!AP25</f>
        <v>1277</v>
      </c>
      <c r="AC38" s="128">
        <f>'2. Consolidated'!AQ25</f>
        <v>4813</v>
      </c>
      <c r="AD38" s="127">
        <f>'2. Consolidated'!AR25</f>
        <v>1625</v>
      </c>
      <c r="AE38" s="127">
        <f>'2. Consolidated'!AS25</f>
        <v>1255</v>
      </c>
      <c r="AF38" s="127">
        <f>'2. Consolidated'!AT25</f>
        <v>1277</v>
      </c>
      <c r="AG38" s="127">
        <f>'2. Consolidated'!AU25</f>
        <v>1171</v>
      </c>
      <c r="AH38" s="128">
        <f>'2. Consolidated'!AV25</f>
        <v>5328</v>
      </c>
      <c r="AI38" s="127">
        <f>'2. Consolidated'!AW25</f>
        <v>1298</v>
      </c>
      <c r="AJ38" s="127">
        <f>'2. Consolidated'!AX25</f>
        <v>1247</v>
      </c>
      <c r="AK38" s="127">
        <f>'2. Consolidated'!AY25</f>
        <v>1352</v>
      </c>
      <c r="AL38" s="127">
        <f>'2. Consolidated'!AZ25</f>
        <v>1295</v>
      </c>
      <c r="AM38" s="128">
        <f>'2. Consolidated'!BA25</f>
        <v>5192</v>
      </c>
      <c r="AN38" s="127">
        <f>'2. Consolidated'!BB25</f>
        <v>1432</v>
      </c>
      <c r="AO38" s="127">
        <f>'2. Consolidated'!BC25</f>
        <v>1187</v>
      </c>
      <c r="AP38" s="127">
        <f>'2. Consolidated'!BD25</f>
        <v>1402</v>
      </c>
      <c r="AQ38" s="127">
        <f>'2. Consolidated'!BE25</f>
        <v>1504</v>
      </c>
      <c r="AR38" s="128">
        <f>'2. Consolidated'!BF25</f>
        <v>5525</v>
      </c>
      <c r="AS38" s="127">
        <f>'2. Consolidated'!BG25</f>
        <v>1585</v>
      </c>
      <c r="AT38" s="127">
        <f>'2. Consolidated'!BH25</f>
        <v>1390</v>
      </c>
      <c r="AU38" s="127">
        <f>'2. Consolidated'!BI25</f>
        <v>1644</v>
      </c>
      <c r="AV38" s="127">
        <f>'2. Consolidated'!BJ25</f>
        <v>1738</v>
      </c>
      <c r="AW38" s="128">
        <f>'2. Consolidated'!BK25</f>
        <v>6357</v>
      </c>
      <c r="AX38" s="127">
        <f>'2. Consolidated'!BL25</f>
        <v>1862</v>
      </c>
      <c r="AY38" s="127">
        <f>'2. Consolidated'!BM25</f>
        <v>1584</v>
      </c>
      <c r="AZ38" s="127">
        <f>'2. Consolidated'!BN25</f>
        <v>1560</v>
      </c>
      <c r="BA38" s="127">
        <f>'2. Consolidated'!BO25</f>
        <v>-360</v>
      </c>
      <c r="BB38" s="128">
        <f>'2. Consolidated'!BP25</f>
        <v>4646</v>
      </c>
      <c r="BC38" s="127">
        <f>'2. Consolidated'!BQ25</f>
        <v>2109</v>
      </c>
      <c r="BD38" s="127">
        <f>'2. Consolidated'!BR25</f>
        <v>2157</v>
      </c>
      <c r="BE38" s="127">
        <f>'2. Consolidated'!BS25</f>
        <v>2032</v>
      </c>
      <c r="BF38" s="127">
        <f>'2. Consolidated'!BT25</f>
        <v>2343</v>
      </c>
      <c r="BG38" s="128">
        <f>'2. Consolidated'!BU25</f>
        <v>8641</v>
      </c>
      <c r="BH38" s="127">
        <f>'2. Consolidated'!BV25</f>
        <v>2504</v>
      </c>
      <c r="BI38" s="127">
        <f>'2. Consolidated'!BW25</f>
        <v>1927</v>
      </c>
      <c r="BJ38" s="127">
        <f>'2. Consolidated'!BX25</f>
        <v>1967</v>
      </c>
      <c r="BK38" s="127">
        <f>'2. Consolidated'!BY25</f>
        <v>2008</v>
      </c>
      <c r="BL38" s="128">
        <f>'2. Consolidated'!BZ25</f>
        <v>8406</v>
      </c>
      <c r="BM38" s="127">
        <f>'2. Consolidated'!CA25</f>
        <v>2206</v>
      </c>
      <c r="BN38" s="127">
        <f>'2. Consolidated'!CB25</f>
        <v>2257</v>
      </c>
      <c r="BO38" s="127">
        <f>'2. Consolidated'!CC25</f>
        <v>2002</v>
      </c>
      <c r="BP38" s="127">
        <f>'2. Consolidated'!CD25</f>
        <v>1894</v>
      </c>
      <c r="BQ38" s="128">
        <f>'2. Consolidated'!CE25</f>
        <v>8359</v>
      </c>
      <c r="BR38" s="127">
        <f>'2. Consolidated'!CF25</f>
        <v>2098</v>
      </c>
      <c r="BS38" s="127">
        <f>'2. Consolidated'!CG25</f>
        <v>2320</v>
      </c>
      <c r="BT38" s="127">
        <f>'2. Consolidated'!CH25</f>
        <v>2128</v>
      </c>
      <c r="BU38" s="127">
        <f>'2. Consolidated'!CI25</f>
        <v>2138</v>
      </c>
      <c r="BV38" s="128">
        <f>'2. Consolidated'!CJ25</f>
        <v>8684</v>
      </c>
      <c r="BW38" s="127">
        <f>'2. Consolidated'!CK25</f>
        <v>1685</v>
      </c>
      <c r="BX38" s="127">
        <f>'2. Consolidated'!CL25</f>
        <v>1904</v>
      </c>
      <c r="BY38" s="127">
        <f>'2. Consolidated'!CM25</f>
        <v>1257</v>
      </c>
      <c r="BZ38" s="127">
        <f>'2. Consolidated'!CN25</f>
        <v>894</v>
      </c>
      <c r="CA38" s="128">
        <f>'2. Consolidated'!CO25</f>
        <v>5740</v>
      </c>
      <c r="CB38" s="127">
        <f>'2. Consolidated'!CP25</f>
        <v>1404</v>
      </c>
      <c r="CC38" s="127">
        <f>'2. Consolidated'!CQ25</f>
        <v>1502</v>
      </c>
      <c r="CD38" s="127">
        <f>'2. Consolidated'!CR25</f>
        <v>1086</v>
      </c>
      <c r="CE38" s="127">
        <f>'2. Consolidated'!CS25</f>
        <v>1863</v>
      </c>
      <c r="CF38" s="128">
        <f>'2. Consolidated'!CT25</f>
        <v>5855</v>
      </c>
      <c r="CG38" s="127">
        <f>'2. Consolidated'!CU25</f>
        <v>1194.6617370134834</v>
      </c>
      <c r="CH38" s="127">
        <f>'2. Consolidated'!CV25</f>
        <v>1274.2902588622708</v>
      </c>
      <c r="CI38" s="127">
        <f>'2. Consolidated'!CW25</f>
        <v>977.4813455913677</v>
      </c>
      <c r="CJ38" s="127">
        <f>'2. Consolidated'!CX25</f>
        <v>1339.0320286401081</v>
      </c>
      <c r="CK38" s="128">
        <f>'2. Consolidated'!CY25</f>
        <v>4785.4653701072302</v>
      </c>
      <c r="CL38" s="127">
        <f>'2. Consolidated'!CZ25</f>
        <v>1155.5217596475268</v>
      </c>
      <c r="CM38" s="127">
        <f>'2. Consolidated'!DA25</f>
        <v>1320.4045031479268</v>
      </c>
      <c r="CN38" s="127">
        <f>'2. Consolidated'!DB25</f>
        <v>1049.293096676367</v>
      </c>
      <c r="CO38" s="127">
        <f>'2. Consolidated'!DC25</f>
        <v>1407.6939050243843</v>
      </c>
      <c r="CP38" s="128">
        <f>'2. Consolidated'!DD25</f>
        <v>4932.9132644962046</v>
      </c>
      <c r="CQ38" s="127">
        <f>'2. Consolidated'!DE25</f>
        <v>1250.1783643346344</v>
      </c>
      <c r="CR38" s="127">
        <f>'2. Consolidated'!DF25</f>
        <v>1424.4130702638997</v>
      </c>
      <c r="CS38" s="127">
        <f>'2. Consolidated'!DG25</f>
        <v>1155.1056527550588</v>
      </c>
      <c r="CT38" s="127">
        <f>'2. Consolidated'!DH25</f>
        <v>1507.713992533643</v>
      </c>
      <c r="CU38" s="128">
        <f>'2. Consolidated'!DI25</f>
        <v>5337.4110798872371</v>
      </c>
    </row>
    <row r="39" spans="2:99" ht="15" customHeight="1">
      <c r="B39" s="120" t="s">
        <v>100</v>
      </c>
      <c r="C39" s="120"/>
      <c r="D39" s="123">
        <f>'2. Consolidated'!R26</f>
        <v>109</v>
      </c>
      <c r="E39" s="124">
        <f>'2. Consolidated'!S26</f>
        <v>59</v>
      </c>
      <c r="F39" s="124">
        <f>'2. Consolidated'!T26</f>
        <v>85</v>
      </c>
      <c r="G39" s="124">
        <f>'2. Consolidated'!U26</f>
        <v>82</v>
      </c>
      <c r="H39" s="125">
        <f>'2. Consolidated'!V26</f>
        <v>335</v>
      </c>
      <c r="I39" s="124">
        <f>'2. Consolidated'!W26</f>
        <v>86</v>
      </c>
      <c r="J39" s="124">
        <f>'2. Consolidated'!X26</f>
        <v>57</v>
      </c>
      <c r="K39" s="124">
        <f>'2. Consolidated'!Y26</f>
        <v>87</v>
      </c>
      <c r="L39" s="124">
        <f>'2. Consolidated'!Z26</f>
        <v>111</v>
      </c>
      <c r="M39" s="125">
        <f>'2. Consolidated'!AA26</f>
        <v>341</v>
      </c>
      <c r="N39" s="125"/>
      <c r="O39" s="124">
        <f>'2. Consolidated'!AC26</f>
        <v>124</v>
      </c>
      <c r="P39" s="124">
        <f>'2. Consolidated'!AD26</f>
        <v>91</v>
      </c>
      <c r="Q39" s="124">
        <f>'2. Consolidated'!AE26</f>
        <v>121</v>
      </c>
      <c r="R39" s="124">
        <f>'2. Consolidated'!AF26</f>
        <v>89</v>
      </c>
      <c r="S39" s="125">
        <f>'2. Consolidated'!AG26</f>
        <v>425</v>
      </c>
      <c r="T39" s="124">
        <f>'2. Consolidated'!AH26</f>
        <v>169</v>
      </c>
      <c r="U39" s="124">
        <f>'2. Consolidated'!AI26</f>
        <v>100</v>
      </c>
      <c r="V39" s="124">
        <f>'2. Consolidated'!AJ26</f>
        <v>133</v>
      </c>
      <c r="W39" s="124">
        <f>'2. Consolidated'!AK26</f>
        <v>94</v>
      </c>
      <c r="X39" s="125">
        <f>'2. Consolidated'!AL26</f>
        <v>496</v>
      </c>
      <c r="Y39" s="124">
        <f>'2. Consolidated'!AM26</f>
        <v>186</v>
      </c>
      <c r="Z39" s="124">
        <f>'2. Consolidated'!AN26</f>
        <v>88</v>
      </c>
      <c r="AA39" s="124">
        <f>'2. Consolidated'!AO26</f>
        <v>163</v>
      </c>
      <c r="AB39" s="124">
        <f>'2. Consolidated'!AP26</f>
        <v>80</v>
      </c>
      <c r="AC39" s="125">
        <f>'2. Consolidated'!AQ26</f>
        <v>517</v>
      </c>
      <c r="AD39" s="124">
        <f>'2. Consolidated'!AR26</f>
        <v>147</v>
      </c>
      <c r="AE39" s="124">
        <f>'2. Consolidated'!AS26</f>
        <v>85</v>
      </c>
      <c r="AF39" s="124">
        <f>'2. Consolidated'!AT26</f>
        <v>127</v>
      </c>
      <c r="AG39" s="124">
        <f>'2. Consolidated'!AU26</f>
        <v>128</v>
      </c>
      <c r="AH39" s="125">
        <f>'2. Consolidated'!AV26</f>
        <v>487</v>
      </c>
      <c r="AI39" s="124">
        <f>'2. Consolidated'!AW26</f>
        <v>153</v>
      </c>
      <c r="AJ39" s="124">
        <f>'2. Consolidated'!AX26</f>
        <v>78</v>
      </c>
      <c r="AK39" s="124">
        <f>'2. Consolidated'!AY26</f>
        <v>109</v>
      </c>
      <c r="AL39" s="124">
        <f>'2. Consolidated'!AZ26</f>
        <v>137</v>
      </c>
      <c r="AM39" s="125">
        <f>'2. Consolidated'!BA26</f>
        <v>477</v>
      </c>
      <c r="AN39" s="124">
        <f>'2. Consolidated'!BB26</f>
        <v>89</v>
      </c>
      <c r="AO39" s="124">
        <f>'2. Consolidated'!BC26</f>
        <v>48</v>
      </c>
      <c r="AP39" s="124">
        <f>'2. Consolidated'!BD26</f>
        <v>69</v>
      </c>
      <c r="AQ39" s="124">
        <f>'2. Consolidated'!BE26</f>
        <v>104</v>
      </c>
      <c r="AR39" s="125">
        <f>'2. Consolidated'!BF26</f>
        <v>310</v>
      </c>
      <c r="AS39" s="124">
        <f>'2. Consolidated'!BG26</f>
        <v>98</v>
      </c>
      <c r="AT39" s="124">
        <f>'2. Consolidated'!BH26</f>
        <v>44</v>
      </c>
      <c r="AU39" s="124">
        <f>'2. Consolidated'!BI26</f>
        <v>79</v>
      </c>
      <c r="AV39" s="124">
        <f>'2. Consolidated'!BJ26</f>
        <v>82</v>
      </c>
      <c r="AW39" s="125">
        <f>'2. Consolidated'!BK26</f>
        <v>303</v>
      </c>
      <c r="AX39" s="124">
        <f>'2. Consolidated'!BL26</f>
        <v>138</v>
      </c>
      <c r="AY39" s="124">
        <f>'2. Consolidated'!BM26</f>
        <v>90</v>
      </c>
      <c r="AZ39" s="124">
        <f>'2. Consolidated'!BN26</f>
        <v>96</v>
      </c>
      <c r="BA39" s="124">
        <f>'2. Consolidated'!BO26</f>
        <v>-27</v>
      </c>
      <c r="BB39" s="125">
        <f>'2. Consolidated'!BP26</f>
        <v>297</v>
      </c>
      <c r="BC39" s="124">
        <f>'2. Consolidated'!BQ26</f>
        <v>168</v>
      </c>
      <c r="BD39" s="124">
        <f>'2. Consolidated'!BR26</f>
        <v>87</v>
      </c>
      <c r="BE39" s="124">
        <f>'2. Consolidated'!BS26</f>
        <v>150</v>
      </c>
      <c r="BF39" s="124">
        <f>'2. Consolidated'!BT26</f>
        <v>138</v>
      </c>
      <c r="BG39" s="125">
        <f>'2. Consolidated'!BU26</f>
        <v>543</v>
      </c>
      <c r="BH39" s="124">
        <f>'2. Consolidated'!BV26</f>
        <v>204</v>
      </c>
      <c r="BI39" s="124">
        <f>'2. Consolidated'!BW26</f>
        <v>132</v>
      </c>
      <c r="BJ39" s="124">
        <f>'2. Consolidated'!BX26</f>
        <v>168</v>
      </c>
      <c r="BK39" s="124">
        <f>'2. Consolidated'!BY26</f>
        <v>165</v>
      </c>
      <c r="BL39" s="125">
        <f>'2. Consolidated'!BZ26</f>
        <v>669</v>
      </c>
      <c r="BM39" s="124">
        <f>'2. Consolidated'!CA26</f>
        <v>209</v>
      </c>
      <c r="BN39" s="124">
        <f>'2. Consolidated'!CB26</f>
        <v>153</v>
      </c>
      <c r="BO39" s="124">
        <f>'2. Consolidated'!CC26</f>
        <v>164</v>
      </c>
      <c r="BP39" s="124">
        <f>'2. Consolidated'!CD26</f>
        <v>150</v>
      </c>
      <c r="BQ39" s="125">
        <f>'2. Consolidated'!CE26</f>
        <v>676</v>
      </c>
      <c r="BR39" s="124">
        <f>'2. Consolidated'!CF26</f>
        <v>167</v>
      </c>
      <c r="BS39" s="124">
        <f>'2. Consolidated'!CG26</f>
        <v>115</v>
      </c>
      <c r="BT39" s="124">
        <f>'2. Consolidated'!CH26</f>
        <v>98</v>
      </c>
      <c r="BU39" s="124">
        <f>'2. Consolidated'!CI26</f>
        <v>94</v>
      </c>
      <c r="BV39" s="125">
        <f>'2. Consolidated'!CJ26</f>
        <v>474</v>
      </c>
      <c r="BW39" s="124">
        <f>'2. Consolidated'!CK26</f>
        <v>121</v>
      </c>
      <c r="BX39" s="124">
        <f>'2. Consolidated'!CL26</f>
        <v>53</v>
      </c>
      <c r="BY39" s="124">
        <f>'2. Consolidated'!CM26</f>
        <v>39</v>
      </c>
      <c r="BZ39" s="124">
        <f>'2. Consolidated'!CN26</f>
        <v>27</v>
      </c>
      <c r="CA39" s="125">
        <f>'2. Consolidated'!CO26</f>
        <v>240</v>
      </c>
      <c r="CB39" s="124">
        <f>'2. Consolidated'!CP26</f>
        <v>39</v>
      </c>
      <c r="CC39" s="124">
        <f>'2. Consolidated'!CQ26</f>
        <v>-4</v>
      </c>
      <c r="CD39" s="124">
        <f>'2. Consolidated'!CR26</f>
        <v>-40</v>
      </c>
      <c r="CE39" s="124">
        <f>'2. Consolidated'!CS26</f>
        <v>23</v>
      </c>
      <c r="CF39" s="125">
        <f>'2. Consolidated'!CT26</f>
        <v>18</v>
      </c>
      <c r="CG39" s="124">
        <f>'2. Consolidated'!CU26</f>
        <v>25</v>
      </c>
      <c r="CH39" s="124">
        <f>'2. Consolidated'!CV26</f>
        <v>-4.125</v>
      </c>
      <c r="CI39" s="124">
        <f>'2. Consolidated'!CW26</f>
        <v>-33.056000000000004</v>
      </c>
      <c r="CJ39" s="124">
        <f>'2. Consolidated'!CX26</f>
        <v>17.423999999999999</v>
      </c>
      <c r="CK39" s="125">
        <f>'2. Consolidated'!CY26</f>
        <v>5.242999999999995</v>
      </c>
      <c r="CL39" s="124">
        <f>'2. Consolidated'!CZ26</f>
        <v>23.749999999999996</v>
      </c>
      <c r="CM39" s="124">
        <f>'2. Consolidated'!DA26</f>
        <v>-3.9187500000000002</v>
      </c>
      <c r="CN39" s="124">
        <f>'2. Consolidated'!DB26</f>
        <v>-32.394880000000001</v>
      </c>
      <c r="CO39" s="124">
        <f>'2. Consolidated'!DC26</f>
        <v>17.075520000000001</v>
      </c>
      <c r="CP39" s="125">
        <f>'2. Consolidated'!DD26</f>
        <v>4.5118899999999975</v>
      </c>
      <c r="CQ39" s="124">
        <f>'2. Consolidated'!DE26</f>
        <v>23.749999999999996</v>
      </c>
      <c r="CR39" s="124">
        <f>'2. Consolidated'!DF26</f>
        <v>-3.9187500000000002</v>
      </c>
      <c r="CS39" s="124">
        <f>'2. Consolidated'!DG26</f>
        <v>-32.394880000000001</v>
      </c>
      <c r="CT39" s="124">
        <f>'2. Consolidated'!DH26</f>
        <v>17.075520000000001</v>
      </c>
      <c r="CU39" s="125">
        <f>'2. Consolidated'!DI26</f>
        <v>4.5118899999999975</v>
      </c>
    </row>
    <row r="40" spans="2:99" ht="15" customHeight="1">
      <c r="B40" s="119" t="s">
        <v>94</v>
      </c>
      <c r="C40" s="119"/>
      <c r="D40" s="123">
        <f>'2. Consolidated'!R27</f>
        <v>-221</v>
      </c>
      <c r="E40" s="124">
        <f>'2. Consolidated'!S27</f>
        <v>-178</v>
      </c>
      <c r="F40" s="124">
        <f>'2. Consolidated'!T27</f>
        <v>-199</v>
      </c>
      <c r="G40" s="124">
        <f>'2. Consolidated'!U27</f>
        <v>-207</v>
      </c>
      <c r="H40" s="125">
        <f>'2. Consolidated'!V27</f>
        <v>-805</v>
      </c>
      <c r="I40" s="124">
        <f>'2. Consolidated'!W27</f>
        <v>-195</v>
      </c>
      <c r="J40" s="124">
        <f>'2. Consolidated'!X27</f>
        <v>-208</v>
      </c>
      <c r="K40" s="124">
        <f>'2. Consolidated'!Y27</f>
        <v>-242</v>
      </c>
      <c r="L40" s="124">
        <f>'2. Consolidated'!Z27</f>
        <v>-271</v>
      </c>
      <c r="M40" s="125">
        <f>'2. Consolidated'!AA27</f>
        <v>-916</v>
      </c>
      <c r="N40" s="125"/>
      <c r="O40" s="124">
        <f>'2. Consolidated'!AC27</f>
        <v>-196</v>
      </c>
      <c r="P40" s="124">
        <f>'2. Consolidated'!AD27</f>
        <v>-214</v>
      </c>
      <c r="Q40" s="124">
        <f>'2. Consolidated'!AE27</f>
        <v>-207</v>
      </c>
      <c r="R40" s="124">
        <f>'2. Consolidated'!AF27</f>
        <v>-267</v>
      </c>
      <c r="S40" s="125">
        <f>'2. Consolidated'!AG27</f>
        <v>-884</v>
      </c>
      <c r="T40" s="124">
        <f>'2. Consolidated'!AH27</f>
        <v>-218</v>
      </c>
      <c r="U40" s="124">
        <f>'2. Consolidated'!AI27</f>
        <v>-220</v>
      </c>
      <c r="V40" s="124">
        <f>'2. Consolidated'!AJ27</f>
        <v>-282</v>
      </c>
      <c r="W40" s="124">
        <f>'2. Consolidated'!AK27</f>
        <v>-301</v>
      </c>
      <c r="X40" s="125">
        <f>'2. Consolidated'!AL27</f>
        <v>-1021</v>
      </c>
      <c r="Y40" s="124">
        <f>'2. Consolidated'!AM27</f>
        <v>-242</v>
      </c>
      <c r="Z40" s="124">
        <f>'2. Consolidated'!AN27</f>
        <v>-273</v>
      </c>
      <c r="AA40" s="124">
        <f>'2. Consolidated'!AO27</f>
        <v>-281</v>
      </c>
      <c r="AB40" s="124">
        <f>'2. Consolidated'!AP27</f>
        <v>-301</v>
      </c>
      <c r="AC40" s="125">
        <f>'2. Consolidated'!AQ27</f>
        <v>-1097</v>
      </c>
      <c r="AD40" s="124">
        <f>'2. Consolidated'!AR27</f>
        <v>-323</v>
      </c>
      <c r="AE40" s="124">
        <f>'2. Consolidated'!AS27</f>
        <v>-365</v>
      </c>
      <c r="AF40" s="124">
        <f>'2. Consolidated'!AT27</f>
        <v>-264</v>
      </c>
      <c r="AG40" s="124">
        <f>'2. Consolidated'!AU27</f>
        <v>-221</v>
      </c>
      <c r="AH40" s="125">
        <f>'2. Consolidated'!AV27</f>
        <v>-1173</v>
      </c>
      <c r="AI40" s="124">
        <f>'2. Consolidated'!AW27</f>
        <v>-163</v>
      </c>
      <c r="AJ40" s="124">
        <f>'2. Consolidated'!AX27</f>
        <v>-196</v>
      </c>
      <c r="AK40" s="124">
        <f>'2. Consolidated'!AY27</f>
        <v>-119</v>
      </c>
      <c r="AL40" s="124">
        <f>'2. Consolidated'!AZ27</f>
        <v>-246</v>
      </c>
      <c r="AM40" s="125">
        <f>'2. Consolidated'!BA27</f>
        <v>-724</v>
      </c>
      <c r="AN40" s="124">
        <f>'2. Consolidated'!BB27</f>
        <v>-433</v>
      </c>
      <c r="AO40" s="124">
        <f>'2. Consolidated'!BC27</f>
        <v>-343</v>
      </c>
      <c r="AP40" s="124">
        <f>'2. Consolidated'!BD27</f>
        <v>-299</v>
      </c>
      <c r="AQ40" s="124">
        <f>'2. Consolidated'!BE27</f>
        <v>-381</v>
      </c>
      <c r="AR40" s="125">
        <f>'2. Consolidated'!BF27</f>
        <v>-1456</v>
      </c>
      <c r="AS40" s="124">
        <f>'2. Consolidated'!BG27</f>
        <v>-402</v>
      </c>
      <c r="AT40" s="124">
        <f>'2. Consolidated'!BH27</f>
        <v>-423</v>
      </c>
      <c r="AU40" s="124">
        <f>'2. Consolidated'!BI27</f>
        <v>-420</v>
      </c>
      <c r="AV40" s="124">
        <f>'2. Consolidated'!BJ27</f>
        <v>-565</v>
      </c>
      <c r="AW40" s="125">
        <f>'2. Consolidated'!BK27</f>
        <v>-1810</v>
      </c>
      <c r="AX40" s="124">
        <f>'2. Consolidated'!BL27</f>
        <v>-424</v>
      </c>
      <c r="AY40" s="124">
        <f>'2. Consolidated'!BM27</f>
        <v>-413</v>
      </c>
      <c r="AZ40" s="124">
        <f>'2. Consolidated'!BN27</f>
        <v>-763</v>
      </c>
      <c r="BA40" s="124">
        <f>'2. Consolidated'!BO27</f>
        <v>-367</v>
      </c>
      <c r="BB40" s="125">
        <f>'2. Consolidated'!BP27</f>
        <v>-1967</v>
      </c>
      <c r="BC40" s="124">
        <f>'2. Consolidated'!BQ27</f>
        <v>-497</v>
      </c>
      <c r="BD40" s="124">
        <f>'2. Consolidated'!BR27</f>
        <v>-718</v>
      </c>
      <c r="BE40" s="124">
        <f>'2. Consolidated'!BS27</f>
        <v>-482</v>
      </c>
      <c r="BF40" s="124">
        <f>'2. Consolidated'!BT27</f>
        <v>-564</v>
      </c>
      <c r="BG40" s="125">
        <f>'2. Consolidated'!BU27</f>
        <v>-2261</v>
      </c>
      <c r="BH40" s="124">
        <f>'2. Consolidated'!BV27</f>
        <v>-545</v>
      </c>
      <c r="BI40" s="124">
        <f>'2. Consolidated'!BW27</f>
        <v>-503</v>
      </c>
      <c r="BJ40" s="124">
        <f>'2. Consolidated'!BX27</f>
        <v>-412</v>
      </c>
      <c r="BK40" s="124">
        <f>'2. Consolidated'!BY27</f>
        <v>-759</v>
      </c>
      <c r="BL40" s="125">
        <f>'2. Consolidated'!BZ27</f>
        <v>-2219</v>
      </c>
      <c r="BM40" s="124">
        <f>'2. Consolidated'!CA27</f>
        <v>-574</v>
      </c>
      <c r="BN40" s="124">
        <f>'2. Consolidated'!CB27</f>
        <v>-744</v>
      </c>
      <c r="BO40" s="124">
        <f>'2. Consolidated'!CC27</f>
        <v>-696</v>
      </c>
      <c r="BP40" s="124">
        <f>'2. Consolidated'!CD27</f>
        <v>-826</v>
      </c>
      <c r="BQ40" s="125">
        <f>'2. Consolidated'!CE27</f>
        <v>-2840</v>
      </c>
      <c r="BR40" s="124">
        <f>'2. Consolidated'!CF27</f>
        <v>-651</v>
      </c>
      <c r="BS40" s="124">
        <f>'2. Consolidated'!CG27</f>
        <v>-535</v>
      </c>
      <c r="BT40" s="124">
        <f>'2. Consolidated'!CH27</f>
        <v>-471</v>
      </c>
      <c r="BU40" s="124">
        <f>'2. Consolidated'!CI27</f>
        <v>-519</v>
      </c>
      <c r="BV40" s="125">
        <f>'2. Consolidated'!CJ27</f>
        <v>-2176</v>
      </c>
      <c r="BW40" s="124">
        <f>'2. Consolidated'!CK27</f>
        <v>-542</v>
      </c>
      <c r="BX40" s="124">
        <f>'2. Consolidated'!CL27</f>
        <v>-565</v>
      </c>
      <c r="BY40" s="124">
        <f>'2. Consolidated'!CM27</f>
        <v>-470</v>
      </c>
      <c r="BZ40" s="124">
        <f>'2. Consolidated'!CN27</f>
        <v>-625</v>
      </c>
      <c r="CA40" s="125">
        <f>'2. Consolidated'!CO27</f>
        <v>-2202</v>
      </c>
      <c r="CB40" s="124">
        <f>'2. Consolidated'!CP27</f>
        <v>-539</v>
      </c>
      <c r="CC40" s="124">
        <f>'2. Consolidated'!CQ27</f>
        <v>-508</v>
      </c>
      <c r="CD40" s="124">
        <f>'2. Consolidated'!CR27</f>
        <v>-411</v>
      </c>
      <c r="CE40" s="124">
        <f>'2. Consolidated'!CS27</f>
        <v>-565</v>
      </c>
      <c r="CF40" s="125">
        <f>'2. Consolidated'!CT27</f>
        <v>-2023</v>
      </c>
      <c r="CG40" s="124">
        <f>'2. Consolidated'!CU27</f>
        <v>-312.66173701348339</v>
      </c>
      <c r="CH40" s="124">
        <f>'2. Consolidated'!CV27</f>
        <v>-559.4808269854268</v>
      </c>
      <c r="CI40" s="124">
        <f>'2. Consolidated'!CW27</f>
        <v>-398.36659244889279</v>
      </c>
      <c r="CJ40" s="124">
        <f>'2. Consolidated'!CX27</f>
        <v>-1084.6797928610652</v>
      </c>
      <c r="CK40" s="125">
        <f>'2. Consolidated'!CY27</f>
        <v>-2355.1889493088684</v>
      </c>
      <c r="CL40" s="124">
        <f>'2. Consolidated'!CZ27</f>
        <v>-325.51924724885339</v>
      </c>
      <c r="CM40" s="124">
        <f>'2. Consolidated'!DA27</f>
        <v>-697.80657727441599</v>
      </c>
      <c r="CN40" s="124">
        <f>'2. Consolidated'!DB27</f>
        <v>-490.28495190350054</v>
      </c>
      <c r="CO40" s="124">
        <f>'2. Consolidated'!DC27</f>
        <v>-1164.5793670544626</v>
      </c>
      <c r="CP40" s="125">
        <f>'2. Consolidated'!DD27</f>
        <v>-2678.1901434812326</v>
      </c>
      <c r="CQ40" s="124">
        <f>'2. Consolidated'!DE27</f>
        <v>-362.86296585741911</v>
      </c>
      <c r="CR40" s="124">
        <f>'2. Consolidated'!DF27</f>
        <v>-743.56911057182333</v>
      </c>
      <c r="CS40" s="124">
        <f>'2. Consolidated'!DG27</f>
        <v>-537.01879005176397</v>
      </c>
      <c r="CT40" s="124">
        <f>'2. Consolidated'!DH27</f>
        <v>-1209.4804045372857</v>
      </c>
      <c r="CU40" s="125">
        <f>'2. Consolidated'!DI27</f>
        <v>-2852.9312710182921</v>
      </c>
    </row>
    <row r="41" spans="2:99" ht="15" customHeight="1">
      <c r="B41" s="75" t="s">
        <v>5</v>
      </c>
      <c r="C41" s="75"/>
      <c r="D41" s="129">
        <f>'2. Consolidated'!R76</f>
        <v>753.99999999999977</v>
      </c>
      <c r="E41" s="130">
        <f>'2. Consolidated'!S76</f>
        <v>610.00000000000023</v>
      </c>
      <c r="F41" s="130">
        <f>'2. Consolidated'!T76</f>
        <v>707</v>
      </c>
      <c r="G41" s="130">
        <f>'2. Consolidated'!U76</f>
        <v>777</v>
      </c>
      <c r="H41" s="131">
        <f>'2. Consolidated'!V76</f>
        <v>2848</v>
      </c>
      <c r="I41" s="130">
        <f>'2. Consolidated'!W76</f>
        <v>852</v>
      </c>
      <c r="J41" s="130">
        <f>'2. Consolidated'!X76</f>
        <v>621</v>
      </c>
      <c r="K41" s="130">
        <f>'2. Consolidated'!Y76</f>
        <v>770</v>
      </c>
      <c r="L41" s="130">
        <f>'2. Consolidated'!Z76</f>
        <v>743</v>
      </c>
      <c r="M41" s="131">
        <f>'2. Consolidated'!AA76</f>
        <v>2986</v>
      </c>
      <c r="N41" s="131" t="str">
        <f>'2. Consolidated'!AB76</f>
        <v>--</v>
      </c>
      <c r="O41" s="130">
        <f>'2. Consolidated'!AC76</f>
        <v>792</v>
      </c>
      <c r="P41" s="130">
        <f>'2. Consolidated'!AD76</f>
        <v>709</v>
      </c>
      <c r="Q41" s="130">
        <f>'2. Consolidated'!AE76</f>
        <v>854</v>
      </c>
      <c r="R41" s="130">
        <f>'2. Consolidated'!AF76</f>
        <v>898</v>
      </c>
      <c r="S41" s="131">
        <f>'2. Consolidated'!AG76</f>
        <v>3253</v>
      </c>
      <c r="T41" s="130">
        <f>'2. Consolidated'!AH76</f>
        <v>1046</v>
      </c>
      <c r="U41" s="130">
        <f>'2. Consolidated'!AI76</f>
        <v>722</v>
      </c>
      <c r="V41" s="130">
        <f>'2. Consolidated'!AJ76</f>
        <v>889</v>
      </c>
      <c r="W41" s="130">
        <f>'2. Consolidated'!AK76</f>
        <v>920</v>
      </c>
      <c r="X41" s="131">
        <f>'2. Consolidated'!AL76</f>
        <v>3577</v>
      </c>
      <c r="Y41" s="130">
        <f>'2. Consolidated'!AM76</f>
        <v>1238</v>
      </c>
      <c r="Z41" s="130">
        <f>'2. Consolidated'!AN76</f>
        <v>887</v>
      </c>
      <c r="AA41" s="130">
        <f>'2. Consolidated'!AO76</f>
        <v>1052</v>
      </c>
      <c r="AB41" s="130">
        <f>'2. Consolidated'!AP76</f>
        <v>1056</v>
      </c>
      <c r="AC41" s="131">
        <f>'2. Consolidated'!AQ76</f>
        <v>4233</v>
      </c>
      <c r="AD41" s="130">
        <f>'2. Consolidated'!AR76</f>
        <v>1449</v>
      </c>
      <c r="AE41" s="130">
        <f>'2. Consolidated'!AS76</f>
        <v>975</v>
      </c>
      <c r="AF41" s="130">
        <f>'2. Consolidated'!AT76</f>
        <v>1140</v>
      </c>
      <c r="AG41" s="130">
        <f>'2. Consolidated'!AU76</f>
        <v>1078</v>
      </c>
      <c r="AH41" s="131">
        <f>'2. Consolidated'!AV76</f>
        <v>4642</v>
      </c>
      <c r="AI41" s="130">
        <f>'2. Consolidated'!AW76</f>
        <v>1288</v>
      </c>
      <c r="AJ41" s="130">
        <f>'2. Consolidated'!AX76</f>
        <v>1129</v>
      </c>
      <c r="AK41" s="130">
        <f>'2. Consolidated'!AY76</f>
        <v>1342</v>
      </c>
      <c r="AL41" s="130">
        <f>'2. Consolidated'!AZ76</f>
        <v>1186</v>
      </c>
      <c r="AM41" s="131">
        <f>'2. Consolidated'!BA76</f>
        <v>4945</v>
      </c>
      <c r="AN41" s="130">
        <f>'2. Consolidated'!BB76</f>
        <v>1088</v>
      </c>
      <c r="AO41" s="130">
        <f>'2. Consolidated'!BC76</f>
        <v>892</v>
      </c>
      <c r="AP41" s="130">
        <f>'2. Consolidated'!BD76</f>
        <v>1172</v>
      </c>
      <c r="AQ41" s="130">
        <f>'2. Consolidated'!BE76</f>
        <v>1227</v>
      </c>
      <c r="AR41" s="131">
        <f>'2. Consolidated'!BF76</f>
        <v>4379</v>
      </c>
      <c r="AS41" s="130">
        <f>'2. Consolidated'!BG76</f>
        <v>1281</v>
      </c>
      <c r="AT41" s="130">
        <f>'2. Consolidated'!BH76</f>
        <v>1011</v>
      </c>
      <c r="AU41" s="130">
        <f>'2. Consolidated'!BI76</f>
        <v>1303</v>
      </c>
      <c r="AV41" s="130">
        <f>'2. Consolidated'!BJ76</f>
        <v>1255</v>
      </c>
      <c r="AW41" s="131">
        <f>'2. Consolidated'!BK76</f>
        <v>4850</v>
      </c>
      <c r="AX41" s="130">
        <f>'2. Consolidated'!BL76</f>
        <v>1576</v>
      </c>
      <c r="AY41" s="130">
        <f>'2. Consolidated'!BM76</f>
        <v>1261</v>
      </c>
      <c r="AZ41" s="130">
        <f>'2. Consolidated'!BN76</f>
        <v>1293</v>
      </c>
      <c r="BA41" s="130">
        <f>'2. Consolidated'!BO76</f>
        <v>-754</v>
      </c>
      <c r="BB41" s="131">
        <f>'2. Consolidated'!BP76</f>
        <v>3376</v>
      </c>
      <c r="BC41" s="130">
        <f>'2. Consolidated'!BQ76</f>
        <v>1780</v>
      </c>
      <c r="BD41" s="130">
        <f>'2. Consolidated'!BR76</f>
        <v>1526</v>
      </c>
      <c r="BE41" s="130">
        <f>'2. Consolidated'!BS76</f>
        <v>1700</v>
      </c>
      <c r="BF41" s="130">
        <f>'2. Consolidated'!BT76</f>
        <v>1917</v>
      </c>
      <c r="BG41" s="131">
        <f>'2. Consolidated'!BU76</f>
        <v>6923</v>
      </c>
      <c r="BH41" s="130">
        <f>'2. Consolidated'!BV76</f>
        <v>2163</v>
      </c>
      <c r="BI41" s="130">
        <f>'2. Consolidated'!BW76</f>
        <v>1556</v>
      </c>
      <c r="BJ41" s="130">
        <f>'2. Consolidated'!BX76</f>
        <v>1723</v>
      </c>
      <c r="BK41" s="130">
        <f>'2. Consolidated'!BY76</f>
        <v>1414</v>
      </c>
      <c r="BL41" s="131">
        <f>'2. Consolidated'!BZ76</f>
        <v>6856</v>
      </c>
      <c r="BM41" s="130">
        <f>'2. Consolidated'!CA76</f>
        <v>1841</v>
      </c>
      <c r="BN41" s="130">
        <f>'2. Consolidated'!CB76</f>
        <v>1666</v>
      </c>
      <c r="BO41" s="130">
        <f>'2. Consolidated'!CC76</f>
        <v>1470</v>
      </c>
      <c r="BP41" s="130">
        <f>'2. Consolidated'!CD76</f>
        <v>1218</v>
      </c>
      <c r="BQ41" s="131">
        <f>'2. Consolidated'!CE76</f>
        <v>6195</v>
      </c>
      <c r="BR41" s="130">
        <f>'2. Consolidated'!CF76</f>
        <v>1614</v>
      </c>
      <c r="BS41" s="130">
        <f>'2. Consolidated'!CG76</f>
        <v>1900</v>
      </c>
      <c r="BT41" s="130">
        <f>'2. Consolidated'!CH76</f>
        <v>1755</v>
      </c>
      <c r="BU41" s="130">
        <f>'2. Consolidated'!CI76</f>
        <v>1713</v>
      </c>
      <c r="BV41" s="131">
        <f>'2. Consolidated'!CJ76</f>
        <v>6982</v>
      </c>
      <c r="BW41" s="130">
        <f>'2. Consolidated'!CK76</f>
        <v>1264</v>
      </c>
      <c r="BX41" s="130">
        <f>'2. Consolidated'!CL76</f>
        <v>1392</v>
      </c>
      <c r="BY41" s="130">
        <f>'2. Consolidated'!CM76</f>
        <v>826</v>
      </c>
      <c r="BZ41" s="130">
        <f>'2. Consolidated'!CN76</f>
        <v>296</v>
      </c>
      <c r="CA41" s="131">
        <f>'2. Consolidated'!CO76</f>
        <v>3778</v>
      </c>
      <c r="CB41" s="130">
        <f>'2. Consolidated'!CP76</f>
        <v>904</v>
      </c>
      <c r="CC41" s="130">
        <f>'2. Consolidated'!CQ76</f>
        <v>990</v>
      </c>
      <c r="CD41" s="130">
        <f>'2. Consolidated'!CR76</f>
        <v>635</v>
      </c>
      <c r="CE41" s="130">
        <f>'2. Consolidated'!CS76</f>
        <v>1321</v>
      </c>
      <c r="CF41" s="131">
        <f>'2. Consolidated'!CT76</f>
        <v>3850</v>
      </c>
      <c r="CG41" s="130">
        <f>'2. Consolidated'!CU76</f>
        <v>907</v>
      </c>
      <c r="CH41" s="130">
        <f>'2. Consolidated'!CV76</f>
        <v>710.68443187684397</v>
      </c>
      <c r="CI41" s="130">
        <f>'2. Consolidated'!CW76</f>
        <v>546.05875314247487</v>
      </c>
      <c r="CJ41" s="130">
        <f>'2. Consolidated'!CX76</f>
        <v>271.77623577904296</v>
      </c>
      <c r="CK41" s="131">
        <f>'2. Consolidated'!CY76</f>
        <v>2435.5194207983618</v>
      </c>
      <c r="CL41" s="130">
        <f>'2. Consolidated'!CZ76</f>
        <v>853.75251239867339</v>
      </c>
      <c r="CM41" s="130">
        <f>'2. Consolidated'!DA76</f>
        <v>618.67917587351076</v>
      </c>
      <c r="CN41" s="130">
        <f>'2. Consolidated'!DB76</f>
        <v>526.61326477286639</v>
      </c>
      <c r="CO41" s="130">
        <f>'2. Consolidated'!DC76</f>
        <v>260.19005796992178</v>
      </c>
      <c r="CP41" s="131">
        <f>'2. Consolidated'!DD76</f>
        <v>2259.2350110149723</v>
      </c>
      <c r="CQ41" s="130">
        <f>'2. Consolidated'!DE76</f>
        <v>911.06539847721524</v>
      </c>
      <c r="CR41" s="130">
        <f>'2. Consolidated'!DF76</f>
        <v>676.92520969207635</v>
      </c>
      <c r="CS41" s="130">
        <f>'2. Consolidated'!DG76</f>
        <v>585.6919827032948</v>
      </c>
      <c r="CT41" s="130">
        <f>'2. Consolidated'!DH76</f>
        <v>315.3091079963574</v>
      </c>
      <c r="CU41" s="131">
        <f>'2. Consolidated'!DI76</f>
        <v>2488.9916988689438</v>
      </c>
    </row>
    <row r="42" spans="2:99" ht="15" customHeight="1">
      <c r="B42" s="21" t="s">
        <v>215</v>
      </c>
      <c r="C42" s="21"/>
      <c r="D42" s="132" t="str">
        <f>'2. Consolidated'!R77</f>
        <v>--</v>
      </c>
      <c r="E42" s="133" t="str">
        <f>'2. Consolidated'!S77</f>
        <v>--</v>
      </c>
      <c r="F42" s="133" t="str">
        <f>'2. Consolidated'!T77</f>
        <v>--</v>
      </c>
      <c r="G42" s="133" t="str">
        <f>'2. Consolidated'!U77</f>
        <v>--</v>
      </c>
      <c r="H42" s="134">
        <f>'2. Consolidated'!V77</f>
        <v>0.12872542802790043</v>
      </c>
      <c r="I42" s="133">
        <f>'2. Consolidated'!W77</f>
        <v>0.12997347480106125</v>
      </c>
      <c r="J42" s="133">
        <f>'2. Consolidated'!X77</f>
        <v>1.8032786885245455E-2</v>
      </c>
      <c r="K42" s="133">
        <f>'2. Consolidated'!Y77</f>
        <v>8.9108910891089188E-2</v>
      </c>
      <c r="L42" s="133">
        <f>'2. Consolidated'!Z77</f>
        <v>-4.3758043758043708E-2</v>
      </c>
      <c r="M42" s="134">
        <f>'2. Consolidated'!AA77</f>
        <v>4.8455056179775191E-2</v>
      </c>
      <c r="N42" s="134">
        <f>'2. Consolidated'!AB77</f>
        <v>0</v>
      </c>
      <c r="O42" s="133">
        <f>'2. Consolidated'!AC77</f>
        <v>-7.0422535211267623E-2</v>
      </c>
      <c r="P42" s="133">
        <f>'2. Consolidated'!AD77</f>
        <v>0.14170692431561993</v>
      </c>
      <c r="Q42" s="133">
        <f>'2. Consolidated'!AE77</f>
        <v>0.10909090909090913</v>
      </c>
      <c r="R42" s="133">
        <f>'2. Consolidated'!AF77</f>
        <v>0.20861372812920598</v>
      </c>
      <c r="S42" s="134">
        <f>'2. Consolidated'!AG77</f>
        <v>8.9417280643000696E-2</v>
      </c>
      <c r="T42" s="133">
        <f>'2. Consolidated'!AH77</f>
        <v>0.32070707070707072</v>
      </c>
      <c r="U42" s="133">
        <f>'2. Consolidated'!AI77</f>
        <v>1.833568406205921E-2</v>
      </c>
      <c r="V42" s="133">
        <f>'2. Consolidated'!AJ77</f>
        <v>4.0983606557376984E-2</v>
      </c>
      <c r="W42" s="133">
        <f>'2. Consolidated'!AK77</f>
        <v>2.4498886414253906E-2</v>
      </c>
      <c r="X42" s="134">
        <f>'2. Consolidated'!AL77</f>
        <v>9.9600368890255142E-2</v>
      </c>
      <c r="Y42" s="133">
        <f>'2. Consolidated'!AM77</f>
        <v>0.18355640535372841</v>
      </c>
      <c r="Z42" s="133">
        <f>'2. Consolidated'!AN77</f>
        <v>0.2285318559556786</v>
      </c>
      <c r="AA42" s="133">
        <f>'2. Consolidated'!AO77</f>
        <v>0.18335208098987632</v>
      </c>
      <c r="AB42" s="133">
        <f>'2. Consolidated'!AP77</f>
        <v>0.14782608695652177</v>
      </c>
      <c r="AC42" s="134">
        <f>'2. Consolidated'!AQ77</f>
        <v>0.18339390550740853</v>
      </c>
      <c r="AD42" s="133">
        <f>'2. Consolidated'!AR77</f>
        <v>0.17043618739903077</v>
      </c>
      <c r="AE42" s="133">
        <f>'2. Consolidated'!AS77</f>
        <v>9.9210822998872628E-2</v>
      </c>
      <c r="AF42" s="133">
        <f>'2. Consolidated'!AT77</f>
        <v>8.365019011406849E-2</v>
      </c>
      <c r="AG42" s="133">
        <f>'2. Consolidated'!AU77</f>
        <v>2.0833333333333259E-2</v>
      </c>
      <c r="AH42" s="134">
        <f>'2. Consolidated'!AV77</f>
        <v>9.6621781242617555E-2</v>
      </c>
      <c r="AI42" s="133">
        <f>'2. Consolidated'!AW77</f>
        <v>-0.11111111111111116</v>
      </c>
      <c r="AJ42" s="133">
        <f>'2. Consolidated'!AX77</f>
        <v>0.15794871794871801</v>
      </c>
      <c r="AK42" s="133">
        <f>'2. Consolidated'!AY77</f>
        <v>0.17719298245614046</v>
      </c>
      <c r="AL42" s="133">
        <f>'2. Consolidated'!AZ77</f>
        <v>0.1001855287569573</v>
      </c>
      <c r="AM42" s="134">
        <f>'2. Consolidated'!BA77</f>
        <v>6.5273588970271357E-2</v>
      </c>
      <c r="AN42" s="133">
        <f>'2. Consolidated'!BB77</f>
        <v>-0.15527950310559002</v>
      </c>
      <c r="AO42" s="133">
        <f>'2. Consolidated'!BC77</f>
        <v>-0.20992028343666957</v>
      </c>
      <c r="AP42" s="133">
        <f>'2. Consolidated'!BD77</f>
        <v>-0.12667660208643816</v>
      </c>
      <c r="AQ42" s="133">
        <f>'2. Consolidated'!BE77</f>
        <v>3.4569983136593541E-2</v>
      </c>
      <c r="AR42" s="134">
        <f>'2. Consolidated'!BF77</f>
        <v>-0.11445904954499497</v>
      </c>
      <c r="AS42" s="133">
        <f>'2. Consolidated'!BG77</f>
        <v>0.17738970588235303</v>
      </c>
      <c r="AT42" s="133">
        <f>'2. Consolidated'!BH77</f>
        <v>0.13340807174887903</v>
      </c>
      <c r="AU42" s="133">
        <f>'2. Consolidated'!BI77</f>
        <v>0.11177474402730381</v>
      </c>
      <c r="AV42" s="133">
        <f>'2. Consolidated'!BJ77</f>
        <v>2.2819885900570602E-2</v>
      </c>
      <c r="AW42" s="134">
        <f>'2. Consolidated'!BK77</f>
        <v>0.10755880337976698</v>
      </c>
      <c r="AX42" s="133">
        <f>'2. Consolidated'!BL77</f>
        <v>0.23028883684621393</v>
      </c>
      <c r="AY42" s="133">
        <f>'2. Consolidated'!BM77</f>
        <v>0.24727992087042527</v>
      </c>
      <c r="AZ42" s="133">
        <f>'2. Consolidated'!BN77</f>
        <v>-7.6745970836531452E-3</v>
      </c>
      <c r="BA42" s="133">
        <f>'2. Consolidated'!BO77</f>
        <v>-1.600796812749004</v>
      </c>
      <c r="BB42" s="134">
        <f>'2. Consolidated'!BP77</f>
        <v>-0.30391752577319586</v>
      </c>
      <c r="BC42" s="133">
        <f>'2. Consolidated'!BQ77</f>
        <v>0.12944162436548234</v>
      </c>
      <c r="BD42" s="133">
        <f>'2. Consolidated'!BR77</f>
        <v>0.21015067406819976</v>
      </c>
      <c r="BE42" s="133">
        <f>'2. Consolidated'!BS77</f>
        <v>0.31477184841453987</v>
      </c>
      <c r="BF42" s="133">
        <f>'2. Consolidated'!BT77</f>
        <v>-3.5424403183023871</v>
      </c>
      <c r="BG42" s="134">
        <f>'2. Consolidated'!BU77</f>
        <v>1.0506516587677726</v>
      </c>
      <c r="BH42" s="133">
        <f>'2. Consolidated'!BV77</f>
        <v>0.21516853932584268</v>
      </c>
      <c r="BI42" s="133">
        <f>'2. Consolidated'!BW77</f>
        <v>1.9659239842725995E-2</v>
      </c>
      <c r="BJ42" s="133">
        <f>'2. Consolidated'!BX77</f>
        <v>1.352941176470579E-2</v>
      </c>
      <c r="BK42" s="133">
        <f>'2. Consolidated'!BY77</f>
        <v>-0.26238914971309335</v>
      </c>
      <c r="BL42" s="134">
        <f>'2. Consolidated'!BZ77</f>
        <v>-9.67788530983682E-3</v>
      </c>
      <c r="BM42" s="133">
        <f>'2. Consolidated'!CA77</f>
        <v>-0.14886731391585761</v>
      </c>
      <c r="BN42" s="133">
        <f>'2. Consolidated'!CB77</f>
        <v>7.069408740359906E-2</v>
      </c>
      <c r="BO42" s="133">
        <f>'2. Consolidated'!CC77</f>
        <v>-0.14683691236215901</v>
      </c>
      <c r="BP42" s="133">
        <f>'2. Consolidated'!CD77</f>
        <v>-0.13861386138613863</v>
      </c>
      <c r="BQ42" s="134">
        <f>'2. Consolidated'!CE77</f>
        <v>-9.6411901983663895E-2</v>
      </c>
      <c r="BR42" s="133">
        <f>'2. Consolidated'!CF77</f>
        <v>-0.12330255296034764</v>
      </c>
      <c r="BS42" s="133">
        <f>'2. Consolidated'!CG77</f>
        <v>0.1404561824729893</v>
      </c>
      <c r="BT42" s="133">
        <f>'2. Consolidated'!CH77</f>
        <v>0.19387755102040827</v>
      </c>
      <c r="BU42" s="133">
        <f>'2. Consolidated'!CI77</f>
        <v>0.40640394088669951</v>
      </c>
      <c r="BV42" s="134">
        <f>'2. Consolidated'!CJ77</f>
        <v>0.12703793381759487</v>
      </c>
      <c r="BW42" s="133">
        <f>'2. Consolidated'!CK77</f>
        <v>-0.21685254027261458</v>
      </c>
      <c r="BX42" s="133">
        <f>'2. Consolidated'!CL77</f>
        <v>-0.26736842105263159</v>
      </c>
      <c r="BY42" s="133">
        <f>'2. Consolidated'!CM77</f>
        <v>-0.52934472934472931</v>
      </c>
      <c r="BZ42" s="133">
        <f>'2. Consolidated'!CN77</f>
        <v>-0.82720373613543496</v>
      </c>
      <c r="CA42" s="134">
        <f>'2. Consolidated'!CO77</f>
        <v>-0.45889429962761386</v>
      </c>
      <c r="CB42" s="133">
        <f>'2. Consolidated'!CP77</f>
        <v>-0.28481012658227844</v>
      </c>
      <c r="CC42" s="133">
        <f>'2. Consolidated'!CQ77</f>
        <v>-0.28879310344827591</v>
      </c>
      <c r="CD42" s="133">
        <f>'2. Consolidated'!CR77</f>
        <v>-0.23123486682808714</v>
      </c>
      <c r="CE42" s="133">
        <f>'2. Consolidated'!CS77</f>
        <v>3.4628378378378377</v>
      </c>
      <c r="CF42" s="134">
        <f>'2. Consolidated'!CT77</f>
        <v>1.9057702488088912E-2</v>
      </c>
      <c r="CG42" s="133">
        <f>'2. Consolidated'!CU77</f>
        <v>3.3185840707965486E-3</v>
      </c>
      <c r="CH42" s="133">
        <f>'2. Consolidated'!CV77</f>
        <v>-0.2821369374981374</v>
      </c>
      <c r="CI42" s="133">
        <f>'2. Consolidated'!CW77</f>
        <v>-0.14006495568114197</v>
      </c>
      <c r="CJ42" s="133">
        <f>'2. Consolidated'!CX77</f>
        <v>-0.79426477230958137</v>
      </c>
      <c r="CK42" s="134">
        <f>'2. Consolidated'!CY77</f>
        <v>-0.36739755303938659</v>
      </c>
      <c r="CL42" s="133">
        <f>'2. Consolidated'!CZ77</f>
        <v>-5.8707263066512305E-2</v>
      </c>
      <c r="CM42" s="133">
        <f>'2. Consolidated'!DA77</f>
        <v>-0.12946006958441014</v>
      </c>
      <c r="CN42" s="133">
        <f>'2. Consolidated'!DB77</f>
        <v>-3.5610615630100262E-2</v>
      </c>
      <c r="CO42" s="133">
        <f>'2. Consolidated'!DC77</f>
        <v>-4.2631313131221926E-2</v>
      </c>
      <c r="CP42" s="134">
        <f>'2. Consolidated'!DD77</f>
        <v>-7.2380621676834567E-2</v>
      </c>
      <c r="CQ42" s="133">
        <f>'2. Consolidated'!DE77</f>
        <v>6.7130562131545002E-2</v>
      </c>
      <c r="CR42" s="133">
        <f>'2. Consolidated'!DF77</f>
        <v>9.414578038177579E-2</v>
      </c>
      <c r="CS42" s="133">
        <f>'2. Consolidated'!DG77</f>
        <v>0.11218615610814453</v>
      </c>
      <c r="CT42" s="133">
        <f>'2. Consolidated'!DH77</f>
        <v>0.21184149177908806</v>
      </c>
      <c r="CU42" s="134">
        <f>'2. Consolidated'!DI77</f>
        <v>0.10169667464154264</v>
      </c>
    </row>
    <row r="43" spans="2:99" ht="15" customHeight="1">
      <c r="B43" s="21" t="s">
        <v>217</v>
      </c>
      <c r="C43" s="21">
        <f>'2. Consolidated'!Q78</f>
        <v>0.13270221941727156</v>
      </c>
      <c r="D43" s="132">
        <f>'2. Consolidated'!R78</f>
        <v>0.1457004830917874</v>
      </c>
      <c r="E43" s="133">
        <f>'2. Consolidated'!S78</f>
        <v>0.12598099958694758</v>
      </c>
      <c r="F43" s="133">
        <f>'2. Consolidated'!T78</f>
        <v>0.13920063004528452</v>
      </c>
      <c r="G43" s="133">
        <f>'2. Consolidated'!U78</f>
        <v>0.13475546305931321</v>
      </c>
      <c r="H43" s="134">
        <f>'2. Consolidated'!V78</f>
        <v>0.13651615377240917</v>
      </c>
      <c r="I43" s="133">
        <f>'2. Consolidated'!W78</f>
        <v>0.14010853478046373</v>
      </c>
      <c r="J43" s="133">
        <f>'2. Consolidated'!X78</f>
        <v>0.1083580526958646</v>
      </c>
      <c r="K43" s="133">
        <f>'2. Consolidated'!Y78</f>
        <v>0.13171399247348614</v>
      </c>
      <c r="L43" s="133">
        <f>'2. Consolidated'!Z78</f>
        <v>0.11483771251931994</v>
      </c>
      <c r="M43" s="134">
        <f>'2. Consolidated'!AA78</f>
        <v>0.12375663129973474</v>
      </c>
      <c r="N43" s="134" t="str">
        <f>'2. Consolidated'!AB78</f>
        <v>--</v>
      </c>
      <c r="O43" s="133">
        <f>'2. Consolidated'!AC78</f>
        <v>0.12233549582947173</v>
      </c>
      <c r="P43" s="133">
        <f>'2. Consolidated'!AD78</f>
        <v>0.11905961376994123</v>
      </c>
      <c r="Q43" s="133">
        <f>'2. Consolidated'!AE78</f>
        <v>0.1380313560691773</v>
      </c>
      <c r="R43" s="133">
        <f>'2. Consolidated'!AF78</f>
        <v>0.13408989099596835</v>
      </c>
      <c r="S43" s="134">
        <f>'2. Consolidated'!AG78</f>
        <v>0.12851104175719985</v>
      </c>
      <c r="T43" s="133">
        <f>'2. Consolidated'!AH78</f>
        <v>0.15005020800459046</v>
      </c>
      <c r="U43" s="133">
        <f>'2. Consolidated'!AI78</f>
        <v>0.11226869849168092</v>
      </c>
      <c r="V43" s="133">
        <f>'2. Consolidated'!AJ78</f>
        <v>0.12751004016064257</v>
      </c>
      <c r="W43" s="133">
        <f>'2. Consolidated'!AK78</f>
        <v>0.12390572390572391</v>
      </c>
      <c r="X43" s="134">
        <f>'2. Consolidated'!AL78</f>
        <v>0.1286736932983201</v>
      </c>
      <c r="Y43" s="133">
        <f>'2. Consolidated'!AM78</f>
        <v>0.15509897268854925</v>
      </c>
      <c r="Z43" s="133">
        <f>'2. Consolidated'!AN78</f>
        <v>0.12018970189701897</v>
      </c>
      <c r="AA43" s="133">
        <f>'2. Consolidated'!AO78</f>
        <v>0.14101876675603217</v>
      </c>
      <c r="AB43" s="133">
        <f>'2. Consolidated'!AP78</f>
        <v>0.13575009641342076</v>
      </c>
      <c r="AC43" s="134">
        <f>'2. Consolidated'!AQ78</f>
        <v>0.13832881278389594</v>
      </c>
      <c r="AD43" s="133">
        <f>'2. Consolidated'!AR78</f>
        <v>0.17221297836938437</v>
      </c>
      <c r="AE43" s="133">
        <f>'2. Consolidated'!AS78</f>
        <v>0.12685402029664325</v>
      </c>
      <c r="AF43" s="133">
        <f>'2. Consolidated'!AT78</f>
        <v>0.14193227091633467</v>
      </c>
      <c r="AG43" s="133">
        <f>'2. Consolidated'!AU78</f>
        <v>0.13076176613294518</v>
      </c>
      <c r="AH43" s="134">
        <f>'2. Consolidated'!AV78</f>
        <v>0.14337781072399308</v>
      </c>
      <c r="AI43" s="133">
        <f>'2. Consolidated'!AW78</f>
        <v>0.14214766582054961</v>
      </c>
      <c r="AJ43" s="133">
        <f>'2. Consolidated'!AX78</f>
        <v>0.13801955990220049</v>
      </c>
      <c r="AK43" s="133">
        <f>'2. Consolidated'!AY78</f>
        <v>0.15915559772296015</v>
      </c>
      <c r="AL43" s="133">
        <f>'2. Consolidated'!AZ78</f>
        <v>0.13668318543275326</v>
      </c>
      <c r="AM43" s="134">
        <f>'2. Consolidated'!BA78</f>
        <v>0.14395924308588065</v>
      </c>
      <c r="AN43" s="133">
        <f>'2. Consolidated'!BB78</f>
        <v>0.11995589856670341</v>
      </c>
      <c r="AO43" s="133">
        <f>'2. Consolidated'!BC78</f>
        <v>0.10427870002338087</v>
      </c>
      <c r="AP43" s="133">
        <f>'2. Consolidated'!BD78</f>
        <v>0.13045414069456812</v>
      </c>
      <c r="AQ43" s="133">
        <f>'2. Consolidated'!BE78</f>
        <v>0.12534477474716518</v>
      </c>
      <c r="AR43" s="134">
        <f>'2. Consolidated'!BF78</f>
        <v>0.12031211363573921</v>
      </c>
      <c r="AS43" s="133">
        <f>'2. Consolidated'!BG78</f>
        <v>0.1287696019300362</v>
      </c>
      <c r="AT43" s="133">
        <f>'2. Consolidated'!BH78</f>
        <v>0.10785150416044378</v>
      </c>
      <c r="AU43" s="133">
        <f>'2. Consolidated'!BI78</f>
        <v>0.13557382166267817</v>
      </c>
      <c r="AV43" s="133">
        <f>'2. Consolidated'!BJ78</f>
        <v>0.12323252160251374</v>
      </c>
      <c r="AW43" s="134">
        <f>'2. Consolidated'!BK78</f>
        <v>0.12398701331901731</v>
      </c>
      <c r="AX43" s="133">
        <f>'2. Consolidated'!BL78</f>
        <v>0.14784240150093808</v>
      </c>
      <c r="AY43" s="133">
        <f>'2. Consolidated'!BM78</f>
        <v>0.1221189231067209</v>
      </c>
      <c r="AZ43" s="133">
        <f>'2. Consolidated'!BN78</f>
        <v>0.12796912114014253</v>
      </c>
      <c r="BA43" s="133">
        <f>'2. Consolidated'!BO78</f>
        <v>-0.11943608427055283</v>
      </c>
      <c r="BB43" s="134">
        <f>'2. Consolidated'!BP78</f>
        <v>9.0260139560997779E-2</v>
      </c>
      <c r="BC43" s="133">
        <f>'2. Consolidated'!BQ78</f>
        <v>0.16801963375495563</v>
      </c>
      <c r="BD43" s="133">
        <f>'2. Consolidated'!BR78</f>
        <v>0.13572889798096593</v>
      </c>
      <c r="BE43" s="133">
        <f>'2. Consolidated'!BS78</f>
        <v>0.16414019503717292</v>
      </c>
      <c r="BF43" s="133">
        <f>'2. Consolidated'!BT78</f>
        <v>0.15529812054439404</v>
      </c>
      <c r="BG43" s="134">
        <f>'2. Consolidated'!BU78</f>
        <v>0.1554402981723472</v>
      </c>
      <c r="BH43" s="133">
        <f>'2. Consolidated'!BV78</f>
        <v>0.17660026126714565</v>
      </c>
      <c r="BI43" s="133">
        <f>'2. Consolidated'!BW78</f>
        <v>0.13700801267940477</v>
      </c>
      <c r="BJ43" s="133">
        <f>'2. Consolidated'!BX78</f>
        <v>0.15849507864961826</v>
      </c>
      <c r="BK43" s="133">
        <f>'2. Consolidated'!BY78</f>
        <v>0.11557953245054765</v>
      </c>
      <c r="BL43" s="134">
        <f>'2. Consolidated'!BZ78</f>
        <v>0.14677799186469706</v>
      </c>
      <c r="BM43" s="133">
        <f>'2. Consolidated'!CA78</f>
        <v>0.14510916686371877</v>
      </c>
      <c r="BN43" s="133">
        <f>'2. Consolidated'!CB78</f>
        <v>0.12512204280886219</v>
      </c>
      <c r="BO43" s="133">
        <f>'2. Consolidated'!CC78</f>
        <v>0.11864406779661017</v>
      </c>
      <c r="BP43" s="133">
        <f>'2. Consolidated'!CD78</f>
        <v>9.4970760233918122E-2</v>
      </c>
      <c r="BQ43" s="134">
        <f>'2. Consolidated'!CE78</f>
        <v>0.12095593260050373</v>
      </c>
      <c r="BR43" s="133">
        <f>'2. Consolidated'!CF78</f>
        <v>0.12473916067702295</v>
      </c>
      <c r="BS43" s="133">
        <f>'2. Consolidated'!CG78</f>
        <v>0.14191813564386016</v>
      </c>
      <c r="BT43" s="133">
        <f>'2. Consolidated'!CH78</f>
        <v>0.14120202751629254</v>
      </c>
      <c r="BU43" s="133">
        <f>'2. Consolidated'!CI78</f>
        <v>0.13588767253688719</v>
      </c>
      <c r="BV43" s="134">
        <f>'2. Consolidated'!CJ78</f>
        <v>0.13593707410147579</v>
      </c>
      <c r="BW43" s="133">
        <f>'2. Consolidated'!CK78</f>
        <v>0.10906894468892915</v>
      </c>
      <c r="BX43" s="133">
        <f>'2. Consolidated'!CL78</f>
        <v>0.11267605633802817</v>
      </c>
      <c r="BY43" s="133">
        <f>'2. Consolidated'!CM78</f>
        <v>7.3298429319371722E-2</v>
      </c>
      <c r="BZ43" s="133">
        <f>'2. Consolidated'!CN78</f>
        <v>2.6673875822294312E-2</v>
      </c>
      <c r="CA43" s="134">
        <f>'2. Consolidated'!CO78</f>
        <v>8.1582413785657212E-2</v>
      </c>
      <c r="CB43" s="133">
        <f>'2. Consolidated'!CP78</f>
        <v>7.7133105802047783E-2</v>
      </c>
      <c r="CC43" s="133">
        <f>'2. Consolidated'!CQ78</f>
        <v>7.9665245030980922E-2</v>
      </c>
      <c r="CD43" s="133">
        <f>'2. Consolidated'!CR78</f>
        <v>5.629931731536484E-2</v>
      </c>
      <c r="CE43" s="133">
        <f>'2. Consolidated'!CS78</f>
        <v>0.12039737513671163</v>
      </c>
      <c r="CF43" s="134">
        <f>'2. Consolidated'!CT78</f>
        <v>8.2977714556661919E-2</v>
      </c>
      <c r="CG43" s="133">
        <f>'2. Consolidated'!CU78</f>
        <v>8.0888254704361007E-2</v>
      </c>
      <c r="CH43" s="133">
        <f>'2. Consolidated'!CV78</f>
        <v>6.533168167787648E-2</v>
      </c>
      <c r="CI43" s="133">
        <f>'2. Consolidated'!CW78</f>
        <v>5.2984634460943869E-2</v>
      </c>
      <c r="CJ43" s="133">
        <f>'2. Consolidated'!CX78</f>
        <v>2.7503976494143732E-2</v>
      </c>
      <c r="CK43" s="134">
        <f>'2. Consolidated'!CY78</f>
        <v>5.7606674053008497E-2</v>
      </c>
      <c r="CL43" s="133">
        <f>'2. Consolidated'!CZ78</f>
        <v>8.2662012766797174E-2</v>
      </c>
      <c r="CM43" s="133">
        <f>'2. Consolidated'!DA78</f>
        <v>5.9718014252525889E-2</v>
      </c>
      <c r="CN43" s="133">
        <f>'2. Consolidated'!DB78</f>
        <v>5.2526611106418875E-2</v>
      </c>
      <c r="CO43" s="133">
        <f>'2. Consolidated'!DC78</f>
        <v>2.7024613229553091E-2</v>
      </c>
      <c r="CP43" s="134">
        <f>'2. Consolidated'!DD78</f>
        <v>5.6002361588081327E-2</v>
      </c>
      <c r="CQ43" s="133">
        <f>'2. Consolidated'!DE78</f>
        <v>8.8161467330427665E-2</v>
      </c>
      <c r="CR43" s="133">
        <f>'2. Consolidated'!DF78</f>
        <v>6.5216181977289095E-2</v>
      </c>
      <c r="CS43" s="133">
        <f>'2. Consolidated'!DG78</f>
        <v>5.8019788732558926E-2</v>
      </c>
      <c r="CT43" s="133">
        <f>'2. Consolidated'!DH78</f>
        <v>3.251724579846732E-2</v>
      </c>
      <c r="CU43" s="134">
        <f>'2. Consolidated'!DI78</f>
        <v>6.1448796359033983E-2</v>
      </c>
    </row>
    <row r="44" spans="2:99" s="22" customFormat="1" ht="15" customHeight="1" thickBot="1">
      <c r="B44" s="171" t="s">
        <v>312</v>
      </c>
      <c r="C44" s="171"/>
      <c r="D44" s="157" t="s">
        <v>126</v>
      </c>
      <c r="E44" s="158" t="s">
        <v>126</v>
      </c>
      <c r="F44" s="158" t="s">
        <v>126</v>
      </c>
      <c r="G44" s="158" t="s">
        <v>126</v>
      </c>
      <c r="H44" s="191">
        <f t="shared" ref="H44:M44" si="0">(H43-C43)*100*100</f>
        <v>38.139343551376051</v>
      </c>
      <c r="I44" s="192">
        <f t="shared" si="0"/>
        <v>-55.919483113236744</v>
      </c>
      <c r="J44" s="192">
        <f t="shared" si="0"/>
        <v>-176.22946891082987</v>
      </c>
      <c r="K44" s="192">
        <f t="shared" si="0"/>
        <v>-74.866375717983772</v>
      </c>
      <c r="L44" s="192">
        <f t="shared" si="0"/>
        <v>-199.1775053999327</v>
      </c>
      <c r="M44" s="191">
        <f t="shared" si="0"/>
        <v>-127.59522472674422</v>
      </c>
      <c r="N44" s="191"/>
      <c r="O44" s="192">
        <f>(O43-I43)*100*100</f>
        <v>-177.73038950992</v>
      </c>
      <c r="P44" s="192">
        <f>(P43-J43)*100*100</f>
        <v>107.01561074076631</v>
      </c>
      <c r="Q44" s="192">
        <f>(Q43-K43)*100*100</f>
        <v>63.173635956911554</v>
      </c>
      <c r="R44" s="192">
        <f>(R43-L43)*100*100</f>
        <v>192.5217847664841</v>
      </c>
      <c r="S44" s="191">
        <f>(S43-M43)*100*100</f>
        <v>47.54410457465108</v>
      </c>
      <c r="T44" s="192">
        <f>(T43-O43)*100*100</f>
        <v>277.14712175118723</v>
      </c>
      <c r="U44" s="192">
        <f t="shared" ref="U44:BG44" si="1">(U43-P43)*100*100</f>
        <v>-67.909152782603115</v>
      </c>
      <c r="V44" s="192">
        <f t="shared" si="1"/>
        <v>-105.21315908534723</v>
      </c>
      <c r="W44" s="192">
        <f t="shared" si="1"/>
        <v>-101.84167090244445</v>
      </c>
      <c r="X44" s="191">
        <f t="shared" si="1"/>
        <v>1.626515411202456</v>
      </c>
      <c r="Y44" s="192">
        <f t="shared" si="1"/>
        <v>50.487646839587896</v>
      </c>
      <c r="Z44" s="192">
        <f t="shared" si="1"/>
        <v>79.210034053380511</v>
      </c>
      <c r="AA44" s="192">
        <f t="shared" si="1"/>
        <v>135.08726595389598</v>
      </c>
      <c r="AB44" s="192">
        <f t="shared" si="1"/>
        <v>118.44372507696849</v>
      </c>
      <c r="AC44" s="191">
        <f t="shared" si="1"/>
        <v>96.551194855758467</v>
      </c>
      <c r="AD44" s="192">
        <f t="shared" si="1"/>
        <v>171.14005680835126</v>
      </c>
      <c r="AE44" s="192">
        <f t="shared" si="1"/>
        <v>66.643183996242811</v>
      </c>
      <c r="AF44" s="192">
        <f t="shared" si="1"/>
        <v>9.1350416030250301</v>
      </c>
      <c r="AG44" s="192">
        <f t="shared" si="1"/>
        <v>-49.883302804755722</v>
      </c>
      <c r="AH44" s="191">
        <f t="shared" si="1"/>
        <v>50.489979400971386</v>
      </c>
      <c r="AI44" s="192">
        <f t="shared" si="1"/>
        <v>-300.65312548834765</v>
      </c>
      <c r="AJ44" s="192">
        <f t="shared" si="1"/>
        <v>111.65539605557244</v>
      </c>
      <c r="AK44" s="192">
        <f t="shared" si="1"/>
        <v>172.23326806625471</v>
      </c>
      <c r="AL44" s="192">
        <f t="shared" si="1"/>
        <v>59.214192998080783</v>
      </c>
      <c r="AM44" s="191">
        <f t="shared" si="1"/>
        <v>5.8143236188756831</v>
      </c>
      <c r="AN44" s="192">
        <f t="shared" si="1"/>
        <v>-221.91767253846194</v>
      </c>
      <c r="AO44" s="192">
        <f t="shared" si="1"/>
        <v>-337.40859878819623</v>
      </c>
      <c r="AP44" s="192">
        <f t="shared" si="1"/>
        <v>-287.01457028392025</v>
      </c>
      <c r="AQ44" s="192">
        <f t="shared" si="1"/>
        <v>-113.38410685588079</v>
      </c>
      <c r="AR44" s="191">
        <f t="shared" si="1"/>
        <v>-236.47129450141443</v>
      </c>
      <c r="AS44" s="192">
        <f t="shared" si="1"/>
        <v>88.13703363332786</v>
      </c>
      <c r="AT44" s="192">
        <f t="shared" si="1"/>
        <v>35.728041370629157</v>
      </c>
      <c r="AU44" s="192">
        <f t="shared" si="1"/>
        <v>51.196809681100518</v>
      </c>
      <c r="AV44" s="192">
        <f t="shared" si="1"/>
        <v>-21.12253144651438</v>
      </c>
      <c r="AW44" s="191">
        <f t="shared" si="1"/>
        <v>36.748996832780961</v>
      </c>
      <c r="AX44" s="192">
        <f t="shared" si="1"/>
        <v>190.72799570901884</v>
      </c>
      <c r="AY44" s="192">
        <f t="shared" si="1"/>
        <v>142.67418946277118</v>
      </c>
      <c r="AZ44" s="192">
        <f t="shared" si="1"/>
        <v>-76.047005225356457</v>
      </c>
      <c r="BA44" s="192">
        <f t="shared" si="1"/>
        <v>-2426.6860587306655</v>
      </c>
      <c r="BB44" s="191">
        <f t="shared" si="1"/>
        <v>-337.26873758019525</v>
      </c>
      <c r="BC44" s="192">
        <f t="shared" si="1"/>
        <v>201.77232254017548</v>
      </c>
      <c r="BD44" s="192">
        <f t="shared" si="1"/>
        <v>136.09974874245034</v>
      </c>
      <c r="BE44" s="192">
        <f t="shared" si="1"/>
        <v>361.71073897030396</v>
      </c>
      <c r="BF44" s="192">
        <f t="shared" si="1"/>
        <v>2747.3420481494691</v>
      </c>
      <c r="BG44" s="191">
        <f t="shared" si="1"/>
        <v>651.80158611349418</v>
      </c>
      <c r="BH44" s="192">
        <f t="shared" ref="BH44:BQ44" si="2">(BH43-BC43)*100*100</f>
        <v>85.8062751219002</v>
      </c>
      <c r="BI44" s="192">
        <f t="shared" si="2"/>
        <v>12.791146984388323</v>
      </c>
      <c r="BJ44" s="192">
        <f t="shared" si="2"/>
        <v>-56.451163875546605</v>
      </c>
      <c r="BK44" s="192">
        <f t="shared" si="2"/>
        <v>-397.18588093846392</v>
      </c>
      <c r="BL44" s="191">
        <f t="shared" si="2"/>
        <v>-86.623063076501367</v>
      </c>
      <c r="BM44" s="192">
        <f t="shared" si="2"/>
        <v>-314.91094403426871</v>
      </c>
      <c r="BN44" s="192">
        <f t="shared" si="2"/>
        <v>-118.85969870542579</v>
      </c>
      <c r="BO44" s="192">
        <f t="shared" si="2"/>
        <v>-398.51010853008091</v>
      </c>
      <c r="BP44" s="192">
        <f t="shared" si="2"/>
        <v>-206.08772216629529</v>
      </c>
      <c r="BQ44" s="191">
        <f t="shared" si="2"/>
        <v>-258.22059264193331</v>
      </c>
      <c r="BR44" s="192">
        <f t="shared" ref="BR44" si="3">(BR43-BM43)*100*100</f>
        <v>-203.70006186695821</v>
      </c>
      <c r="BS44" s="192">
        <f t="shared" ref="BS44" si="4">(BS43-BN43)*100*100</f>
        <v>167.96092834997972</v>
      </c>
      <c r="BT44" s="192">
        <f t="shared" ref="BT44" si="5">(BT43-BO43)*100*100</f>
        <v>225.5795971968237</v>
      </c>
      <c r="BU44" s="192">
        <f t="shared" ref="BU44" si="6">(BU43-BP43)*100*100</f>
        <v>409.1691230296907</v>
      </c>
      <c r="BV44" s="191">
        <f t="shared" ref="BV44" si="7">(BV43-BQ43)*100*100</f>
        <v>149.8114150097206</v>
      </c>
      <c r="BW44" s="192">
        <f t="shared" ref="BW44" si="8">(BW43-BR43)*100*100</f>
        <v>-156.70215988093804</v>
      </c>
      <c r="BX44" s="192">
        <f t="shared" ref="BX44" si="9">(BX43-BS43)*100*100</f>
        <v>-292.42079305831987</v>
      </c>
      <c r="BY44" s="192">
        <f t="shared" ref="BY44" si="10">(BY43-BT43)*100*100</f>
        <v>-679.03598196920814</v>
      </c>
      <c r="BZ44" s="192">
        <f t="shared" ref="BZ44" si="11">(BZ43-BU43)*100*100</f>
        <v>-1092.1379671459288</v>
      </c>
      <c r="CA44" s="191">
        <f t="shared" ref="CA44" si="12">(CA43-BV43)*100*100</f>
        <v>-543.5466031581858</v>
      </c>
      <c r="CB44" s="192">
        <f t="shared" ref="CB44" si="13">(CB43-BW43)*100*100</f>
        <v>-319.35838886881368</v>
      </c>
      <c r="CC44" s="192">
        <f t="shared" ref="CC44" si="14">(CC43-BX43)*100*100</f>
        <v>-330.10811307047254</v>
      </c>
      <c r="CD44" s="192">
        <f t="shared" ref="CD44" si="15">(CD43-BY43)*100*100</f>
        <v>-169.99112004006884</v>
      </c>
      <c r="CE44" s="192">
        <f t="shared" ref="CE44" si="16">(CE43-BZ43)*100*100</f>
        <v>937.23499314417302</v>
      </c>
      <c r="CF44" s="191">
        <f t="shared" ref="CF44" si="17">(CF43-CA43)*100*100</f>
        <v>13.953007710047066</v>
      </c>
      <c r="CG44" s="192">
        <f t="shared" ref="CG44" si="18">(CG43-CB43)*100*100</f>
        <v>37.551489023132241</v>
      </c>
      <c r="CH44" s="192">
        <f t="shared" ref="CH44" si="19">(CH43-CC43)*100*100</f>
        <v>-143.33563353104441</v>
      </c>
      <c r="CI44" s="192">
        <f t="shared" ref="CI44" si="20">(CI43-CD43)*100*100</f>
        <v>-33.146828544209704</v>
      </c>
      <c r="CJ44" s="192">
        <f t="shared" ref="CJ44" si="21">(CJ43-CE43)*100*100</f>
        <v>-928.93398642567911</v>
      </c>
      <c r="CK44" s="191">
        <f t="shared" ref="CK44" si="22">(CK43-CF43)*100*100</f>
        <v>-253.71040503653424</v>
      </c>
      <c r="CL44" s="192">
        <f t="shared" ref="CL44" si="23">(CL43-CG43)*100*100</f>
        <v>17.737580624361676</v>
      </c>
      <c r="CM44" s="192">
        <f t="shared" ref="CM44" si="24">(CM43-CH43)*100*100</f>
        <v>-56.136674253505902</v>
      </c>
      <c r="CN44" s="192">
        <f t="shared" ref="CN44" si="25">(CN43-CI43)*100*100</f>
        <v>-4.5802335452499454</v>
      </c>
      <c r="CO44" s="192">
        <f t="shared" ref="CO44" si="26">(CO43-CJ43)*100*100</f>
        <v>-4.7936326459064107</v>
      </c>
      <c r="CP44" s="191">
        <f t="shared" ref="CP44" si="27">(CP43-CK43)*100*100</f>
        <v>-16.043124649271697</v>
      </c>
      <c r="CQ44" s="192">
        <f t="shared" ref="CQ44" si="28">(CQ43-CL43)*100*100</f>
        <v>54.994545636304906</v>
      </c>
      <c r="CR44" s="192">
        <f t="shared" ref="CR44" si="29">(CR43-CM43)*100*100</f>
        <v>54.981677247632057</v>
      </c>
      <c r="CS44" s="192">
        <f t="shared" ref="CS44" si="30">(CS43-CN43)*100*100</f>
        <v>54.931776261400515</v>
      </c>
      <c r="CT44" s="192">
        <f t="shared" ref="CT44" si="31">(CT43-CO43)*100*100</f>
        <v>54.926325689142288</v>
      </c>
      <c r="CU44" s="191">
        <f t="shared" ref="CU44" si="32">(CU43-CP43)*100*100</f>
        <v>54.464347709526564</v>
      </c>
    </row>
    <row r="45" spans="2:99" ht="15" customHeight="1" thickTop="1">
      <c r="B45" s="74" t="s">
        <v>106</v>
      </c>
      <c r="C45" s="74"/>
      <c r="D45" s="135">
        <f>'2. Consolidated'!R81</f>
        <v>1</v>
      </c>
      <c r="E45" s="136">
        <f>'2. Consolidated'!S81</f>
        <v>-1</v>
      </c>
      <c r="F45" s="136">
        <f>'2. Consolidated'!T81</f>
        <v>0</v>
      </c>
      <c r="G45" s="136">
        <f>'2. Consolidated'!U81</f>
        <v>-4</v>
      </c>
      <c r="H45" s="137">
        <f>'2. Consolidated'!V81</f>
        <v>-4</v>
      </c>
      <c r="I45" s="136">
        <f>'2. Consolidated'!W81</f>
        <v>0</v>
      </c>
      <c r="J45" s="136">
        <f>'2. Consolidated'!X81</f>
        <v>-3</v>
      </c>
      <c r="K45" s="136">
        <f>'2. Consolidated'!Y81</f>
        <v>0</v>
      </c>
      <c r="L45" s="136">
        <f>'2. Consolidated'!Z81</f>
        <v>0</v>
      </c>
      <c r="M45" s="137">
        <f>'2. Consolidated'!AA81</f>
        <v>-3</v>
      </c>
      <c r="N45" s="137" t="str">
        <f>'2. Consolidated'!AB81</f>
        <v>--</v>
      </c>
      <c r="O45" s="136">
        <f>'2. Consolidated'!AC81</f>
        <v>3</v>
      </c>
      <c r="P45" s="136">
        <f>'2. Consolidated'!AD81</f>
        <v>1</v>
      </c>
      <c r="Q45" s="136">
        <f>'2. Consolidated'!AE81</f>
        <v>2</v>
      </c>
      <c r="R45" s="136">
        <f>'2. Consolidated'!AF81</f>
        <v>-3</v>
      </c>
      <c r="S45" s="137">
        <f>'2. Consolidated'!AG81</f>
        <v>3</v>
      </c>
      <c r="T45" s="136">
        <f>'2. Consolidated'!AH81</f>
        <v>-8</v>
      </c>
      <c r="U45" s="136">
        <f>'2. Consolidated'!AI81</f>
        <v>-8</v>
      </c>
      <c r="V45" s="136">
        <f>'2. Consolidated'!AJ81</f>
        <v>-9</v>
      </c>
      <c r="W45" s="136">
        <f>'2. Consolidated'!AK81</f>
        <v>-8</v>
      </c>
      <c r="X45" s="137">
        <f>'2. Consolidated'!AL81</f>
        <v>-33</v>
      </c>
      <c r="Y45" s="136">
        <f>'2. Consolidated'!AM81</f>
        <v>-9</v>
      </c>
      <c r="Z45" s="136">
        <f>'2. Consolidated'!AN81</f>
        <v>-9</v>
      </c>
      <c r="AA45" s="136">
        <f>'2. Consolidated'!AO81</f>
        <v>-6</v>
      </c>
      <c r="AB45" s="136">
        <f>'2. Consolidated'!AP81</f>
        <v>-4</v>
      </c>
      <c r="AC45" s="137">
        <f>'2. Consolidated'!AQ81</f>
        <v>-28</v>
      </c>
      <c r="AD45" s="136">
        <f>'2. Consolidated'!AR81</f>
        <v>-4</v>
      </c>
      <c r="AE45" s="136">
        <f>'2. Consolidated'!AS81</f>
        <v>-5</v>
      </c>
      <c r="AF45" s="136">
        <f>'2. Consolidated'!AT81</f>
        <v>-5</v>
      </c>
      <c r="AG45" s="136">
        <f>'2. Consolidated'!AU81</f>
        <v>-5</v>
      </c>
      <c r="AH45" s="137">
        <f>'2. Consolidated'!AV81</f>
        <v>-19</v>
      </c>
      <c r="AI45" s="136">
        <f>'2. Consolidated'!AW81</f>
        <v>-7</v>
      </c>
      <c r="AJ45" s="136">
        <f>'2. Consolidated'!AX81</f>
        <v>-15</v>
      </c>
      <c r="AK45" s="136">
        <f>'2. Consolidated'!AY81</f>
        <v>-19</v>
      </c>
      <c r="AL45" s="136">
        <f>'2. Consolidated'!AZ81</f>
        <v>-18</v>
      </c>
      <c r="AM45" s="137">
        <f>'2. Consolidated'!BA81</f>
        <v>-59</v>
      </c>
      <c r="AN45" s="136">
        <f>'2. Consolidated'!BB81</f>
        <v>-16</v>
      </c>
      <c r="AO45" s="136">
        <f>'2. Consolidated'!BC81</f>
        <v>-13</v>
      </c>
      <c r="AP45" s="136">
        <f>'2. Consolidated'!BD81</f>
        <v>-13</v>
      </c>
      <c r="AQ45" s="136">
        <f>'2. Consolidated'!BE81</f>
        <v>-12</v>
      </c>
      <c r="AR45" s="137">
        <f>'2. Consolidated'!BF81</f>
        <v>-54</v>
      </c>
      <c r="AS45" s="136">
        <f>'2. Consolidated'!BG81</f>
        <v>-11</v>
      </c>
      <c r="AT45" s="136">
        <f>'2. Consolidated'!BH81</f>
        <v>-14</v>
      </c>
      <c r="AU45" s="136">
        <f>'2. Consolidated'!BI81</f>
        <v>-12</v>
      </c>
      <c r="AV45" s="136">
        <f>'2. Consolidated'!BJ81</f>
        <v>-12</v>
      </c>
      <c r="AW45" s="137">
        <f>'2. Consolidated'!BK81</f>
        <v>-49</v>
      </c>
      <c r="AX45" s="136">
        <f>'2. Consolidated'!BL81</f>
        <v>-15</v>
      </c>
      <c r="AY45" s="136">
        <f>'2. Consolidated'!BM81</f>
        <v>-12</v>
      </c>
      <c r="AZ45" s="136">
        <f>'2. Consolidated'!BN81</f>
        <v>-12</v>
      </c>
      <c r="BA45" s="136">
        <f>'2. Consolidated'!BO81</f>
        <v>-50</v>
      </c>
      <c r="BB45" s="137">
        <f>'2. Consolidated'!BP81</f>
        <v>-89</v>
      </c>
      <c r="BC45" s="136">
        <f>'2. Consolidated'!BQ81</f>
        <v>-65</v>
      </c>
      <c r="BD45" s="136">
        <f>'2. Consolidated'!BR81</f>
        <v>-70</v>
      </c>
      <c r="BE45" s="136">
        <f>'2. Consolidated'!BS81</f>
        <v>-64</v>
      </c>
      <c r="BF45" s="136">
        <f>'2. Consolidated'!BT81</f>
        <v>-63</v>
      </c>
      <c r="BG45" s="137">
        <f>'2. Consolidated'!BU81</f>
        <v>-262</v>
      </c>
      <c r="BH45" s="136">
        <f>'2. Consolidated'!BV81</f>
        <v>-57</v>
      </c>
      <c r="BI45" s="136">
        <f>'2. Consolidated'!BW81</f>
        <v>-55</v>
      </c>
      <c r="BJ45" s="136">
        <f>'2. Consolidated'!BX81</f>
        <v>-53</v>
      </c>
      <c r="BK45" s="136">
        <f>'2. Consolidated'!BY81</f>
        <v>-40</v>
      </c>
      <c r="BL45" s="137">
        <f>'2. Consolidated'!BZ81</f>
        <v>-205</v>
      </c>
      <c r="BM45" s="136">
        <f>'2. Consolidated'!CA81</f>
        <v>-13</v>
      </c>
      <c r="BN45" s="136">
        <f>'2. Consolidated'!CB81</f>
        <v>-16</v>
      </c>
      <c r="BO45" s="136">
        <f>'2. Consolidated'!CC81</f>
        <v>7</v>
      </c>
      <c r="BP45" s="136">
        <f>'2. Consolidated'!CD81</f>
        <v>28</v>
      </c>
      <c r="BQ45" s="137">
        <f>'2. Consolidated'!CE81</f>
        <v>6</v>
      </c>
      <c r="BR45" s="136">
        <f>'2. Consolidated'!CF81</f>
        <v>34</v>
      </c>
      <c r="BS45" s="136">
        <f>'2. Consolidated'!CG81</f>
        <v>22</v>
      </c>
      <c r="BT45" s="136">
        <f>'2. Consolidated'!CH81</f>
        <v>52</v>
      </c>
      <c r="BU45" s="136">
        <f>'2. Consolidated'!CI81</f>
        <v>53</v>
      </c>
      <c r="BV45" s="137">
        <f>'2. Consolidated'!CJ81</f>
        <v>161</v>
      </c>
      <c r="BW45" s="136">
        <f>'2. Consolidated'!CK81</f>
        <v>43</v>
      </c>
      <c r="BX45" s="136">
        <f>'2. Consolidated'!CL81</f>
        <v>24</v>
      </c>
      <c r="BY45" s="136">
        <f>'2. Consolidated'!CM81</f>
        <v>18</v>
      </c>
      <c r="BZ45" s="136">
        <f>'2. Consolidated'!CN81</f>
        <v>22</v>
      </c>
      <c r="CA45" s="137">
        <f>'2. Consolidated'!CO81</f>
        <v>107</v>
      </c>
      <c r="CB45" s="136">
        <f>'2. Consolidated'!CP81</f>
        <v>18</v>
      </c>
      <c r="CC45" s="136">
        <f>'2. Consolidated'!CQ81</f>
        <v>9</v>
      </c>
      <c r="CD45" s="136">
        <f>'2. Consolidated'!CR81</f>
        <v>15</v>
      </c>
      <c r="CE45" s="136">
        <f>'2. Consolidated'!CS81</f>
        <v>8</v>
      </c>
      <c r="CF45" s="137">
        <f>'2. Consolidated'!CT81</f>
        <v>50</v>
      </c>
      <c r="CG45" s="136">
        <f>'2. Consolidated'!CU81</f>
        <v>14</v>
      </c>
      <c r="CH45" s="136">
        <f>'2. Consolidated'!CV81</f>
        <v>9.8662500000000009</v>
      </c>
      <c r="CI45" s="136">
        <f>'2. Consolidated'!CW81</f>
        <v>9.8662500000000009</v>
      </c>
      <c r="CJ45" s="136">
        <f>'2. Consolidated'!CX81</f>
        <v>9.8662500000000009</v>
      </c>
      <c r="CK45" s="137">
        <f>'2. Consolidated'!CY81</f>
        <v>43.598750000000003</v>
      </c>
      <c r="CL45" s="136">
        <f>'2. Consolidated'!CZ81</f>
        <v>9.8662500000000009</v>
      </c>
      <c r="CM45" s="136">
        <f>'2. Consolidated'!DA81</f>
        <v>9.8662500000000009</v>
      </c>
      <c r="CN45" s="136">
        <f>'2. Consolidated'!DB81</f>
        <v>9.8662500000000009</v>
      </c>
      <c r="CO45" s="136">
        <f>'2. Consolidated'!DC81</f>
        <v>9.8662500000000009</v>
      </c>
      <c r="CP45" s="137">
        <f>'2. Consolidated'!DD81</f>
        <v>39.465000000000003</v>
      </c>
      <c r="CQ45" s="136">
        <f>'2. Consolidated'!DE81</f>
        <v>9.8662500000000009</v>
      </c>
      <c r="CR45" s="136">
        <f>'2. Consolidated'!DF81</f>
        <v>9.8662500000000009</v>
      </c>
      <c r="CS45" s="136">
        <f>'2. Consolidated'!DG81</f>
        <v>9.8662500000000009</v>
      </c>
      <c r="CT45" s="136">
        <f>'2. Consolidated'!DH81</f>
        <v>9.8662500000000009</v>
      </c>
      <c r="CU45" s="137">
        <f>'2. Consolidated'!DI81</f>
        <v>39.465000000000003</v>
      </c>
    </row>
    <row r="46" spans="2:99" ht="15" customHeight="1">
      <c r="B46" s="75" t="s">
        <v>232</v>
      </c>
      <c r="C46" s="75"/>
      <c r="D46" s="129">
        <f>'2. Consolidated'!R82</f>
        <v>754.99999999999977</v>
      </c>
      <c r="E46" s="130">
        <f>'2. Consolidated'!S82</f>
        <v>609.00000000000023</v>
      </c>
      <c r="F46" s="130">
        <f>'2. Consolidated'!T82</f>
        <v>707</v>
      </c>
      <c r="G46" s="130">
        <f>'2. Consolidated'!U82</f>
        <v>773</v>
      </c>
      <c r="H46" s="131">
        <f>'2. Consolidated'!V82</f>
        <v>2844</v>
      </c>
      <c r="I46" s="130">
        <f>'2. Consolidated'!W82</f>
        <v>852</v>
      </c>
      <c r="J46" s="130">
        <f>'2. Consolidated'!X82</f>
        <v>618</v>
      </c>
      <c r="K46" s="130">
        <f>'2. Consolidated'!Y82</f>
        <v>770</v>
      </c>
      <c r="L46" s="130">
        <f>'2. Consolidated'!Z82</f>
        <v>743</v>
      </c>
      <c r="M46" s="131">
        <f>'2. Consolidated'!AA82</f>
        <v>2983</v>
      </c>
      <c r="N46" s="131" t="str">
        <f>'2. Consolidated'!AB82</f>
        <v>--</v>
      </c>
      <c r="O46" s="130">
        <f>'2. Consolidated'!AC82</f>
        <v>795</v>
      </c>
      <c r="P46" s="130">
        <f>'2. Consolidated'!AD82</f>
        <v>710</v>
      </c>
      <c r="Q46" s="130">
        <f>'2. Consolidated'!AE82</f>
        <v>856</v>
      </c>
      <c r="R46" s="130">
        <f>'2. Consolidated'!AF82</f>
        <v>895</v>
      </c>
      <c r="S46" s="131">
        <f>'2. Consolidated'!AG82</f>
        <v>3256</v>
      </c>
      <c r="T46" s="130">
        <f>'2. Consolidated'!AH82</f>
        <v>1038</v>
      </c>
      <c r="U46" s="130">
        <f>'2. Consolidated'!AI82</f>
        <v>714</v>
      </c>
      <c r="V46" s="130">
        <f>'2. Consolidated'!AJ82</f>
        <v>880</v>
      </c>
      <c r="W46" s="130">
        <f>'2. Consolidated'!AK82</f>
        <v>912</v>
      </c>
      <c r="X46" s="131">
        <f>'2. Consolidated'!AL82</f>
        <v>3544</v>
      </c>
      <c r="Y46" s="130">
        <f>'2. Consolidated'!AM82</f>
        <v>1229</v>
      </c>
      <c r="Z46" s="130">
        <f>'2. Consolidated'!AN82</f>
        <v>878</v>
      </c>
      <c r="AA46" s="130">
        <f>'2. Consolidated'!AO82</f>
        <v>1046</v>
      </c>
      <c r="AB46" s="130">
        <f>'2. Consolidated'!AP82</f>
        <v>1052</v>
      </c>
      <c r="AC46" s="131">
        <f>'2. Consolidated'!AQ82</f>
        <v>4205</v>
      </c>
      <c r="AD46" s="130">
        <f>'2. Consolidated'!AR82</f>
        <v>1445</v>
      </c>
      <c r="AE46" s="130">
        <f>'2. Consolidated'!AS82</f>
        <v>970</v>
      </c>
      <c r="AF46" s="130">
        <f>'2. Consolidated'!AT82</f>
        <v>1135</v>
      </c>
      <c r="AG46" s="130">
        <f>'2. Consolidated'!AU82</f>
        <v>1073</v>
      </c>
      <c r="AH46" s="131">
        <f>'2. Consolidated'!AV82</f>
        <v>4623</v>
      </c>
      <c r="AI46" s="130">
        <f>'2. Consolidated'!AW82</f>
        <v>1281</v>
      </c>
      <c r="AJ46" s="130">
        <f>'2. Consolidated'!AX82</f>
        <v>1114</v>
      </c>
      <c r="AK46" s="130">
        <f>'2. Consolidated'!AY82</f>
        <v>1323</v>
      </c>
      <c r="AL46" s="130">
        <f>'2. Consolidated'!AZ82</f>
        <v>1168</v>
      </c>
      <c r="AM46" s="131">
        <f>'2. Consolidated'!BA82</f>
        <v>4886</v>
      </c>
      <c r="AN46" s="130">
        <f>'2. Consolidated'!BB82</f>
        <v>1072</v>
      </c>
      <c r="AO46" s="130">
        <f>'2. Consolidated'!BC82</f>
        <v>879</v>
      </c>
      <c r="AP46" s="130">
        <f>'2. Consolidated'!BD82</f>
        <v>1159</v>
      </c>
      <c r="AQ46" s="130">
        <f>'2. Consolidated'!BE82</f>
        <v>1215</v>
      </c>
      <c r="AR46" s="131">
        <f>'2. Consolidated'!BF82</f>
        <v>4325</v>
      </c>
      <c r="AS46" s="130">
        <f>'2. Consolidated'!BG82</f>
        <v>1270</v>
      </c>
      <c r="AT46" s="130">
        <f>'2. Consolidated'!BH82</f>
        <v>997</v>
      </c>
      <c r="AU46" s="130">
        <f>'2. Consolidated'!BI82</f>
        <v>1291</v>
      </c>
      <c r="AV46" s="130">
        <f>'2. Consolidated'!BJ82</f>
        <v>1243</v>
      </c>
      <c r="AW46" s="131">
        <f>'2. Consolidated'!BK82</f>
        <v>4801</v>
      </c>
      <c r="AX46" s="130">
        <f>'2. Consolidated'!BL82</f>
        <v>1561</v>
      </c>
      <c r="AY46" s="130">
        <f>'2. Consolidated'!BM82</f>
        <v>1249</v>
      </c>
      <c r="AZ46" s="130">
        <f>'2. Consolidated'!BN82</f>
        <v>1281</v>
      </c>
      <c r="BA46" s="130">
        <f>'2. Consolidated'!BO82</f>
        <v>-804</v>
      </c>
      <c r="BB46" s="131">
        <f>'2. Consolidated'!BP82</f>
        <v>3287</v>
      </c>
      <c r="BC46" s="130">
        <f>'2. Consolidated'!BQ82</f>
        <v>1715</v>
      </c>
      <c r="BD46" s="130">
        <f>'2. Consolidated'!BR82</f>
        <v>1456</v>
      </c>
      <c r="BE46" s="130">
        <f>'2. Consolidated'!BS82</f>
        <v>1636</v>
      </c>
      <c r="BF46" s="130">
        <f>'2. Consolidated'!BT82</f>
        <v>1854</v>
      </c>
      <c r="BG46" s="131">
        <f>'2. Consolidated'!BU82</f>
        <v>6661</v>
      </c>
      <c r="BH46" s="130">
        <f>'2. Consolidated'!BV82</f>
        <v>2106</v>
      </c>
      <c r="BI46" s="130">
        <f>'2. Consolidated'!BW82</f>
        <v>1501</v>
      </c>
      <c r="BJ46" s="130">
        <f>'2. Consolidated'!BX82</f>
        <v>1670</v>
      </c>
      <c r="BK46" s="130">
        <f>'2. Consolidated'!BY82</f>
        <v>1374</v>
      </c>
      <c r="BL46" s="131">
        <f>'2. Consolidated'!BZ82</f>
        <v>6651</v>
      </c>
      <c r="BM46" s="130">
        <f>'2. Consolidated'!CA82</f>
        <v>1828</v>
      </c>
      <c r="BN46" s="130">
        <f>'2. Consolidated'!CB82</f>
        <v>1650</v>
      </c>
      <c r="BO46" s="130">
        <f>'2. Consolidated'!CC82</f>
        <v>1477</v>
      </c>
      <c r="BP46" s="130">
        <f>'2. Consolidated'!CD82</f>
        <v>1246</v>
      </c>
      <c r="BQ46" s="131">
        <f>'2. Consolidated'!CE82</f>
        <v>6201</v>
      </c>
      <c r="BR46" s="130">
        <f>'2. Consolidated'!CF82</f>
        <v>1648</v>
      </c>
      <c r="BS46" s="130">
        <f>'2. Consolidated'!CG82</f>
        <v>1922</v>
      </c>
      <c r="BT46" s="130">
        <f>'2. Consolidated'!CH82</f>
        <v>1807</v>
      </c>
      <c r="BU46" s="130">
        <f>'2. Consolidated'!CI82</f>
        <v>1766</v>
      </c>
      <c r="BV46" s="131">
        <f>'2. Consolidated'!CJ82</f>
        <v>7143</v>
      </c>
      <c r="BW46" s="130">
        <f>'2. Consolidated'!CK82</f>
        <v>1307</v>
      </c>
      <c r="BX46" s="130">
        <f>'2. Consolidated'!CL82</f>
        <v>1416</v>
      </c>
      <c r="BY46" s="130">
        <f>'2. Consolidated'!CM82</f>
        <v>844</v>
      </c>
      <c r="BZ46" s="130">
        <f>'2. Consolidated'!CN82</f>
        <v>318</v>
      </c>
      <c r="CA46" s="131">
        <f>'2. Consolidated'!CO82</f>
        <v>3885</v>
      </c>
      <c r="CB46" s="130">
        <f>'2. Consolidated'!CP82</f>
        <v>922</v>
      </c>
      <c r="CC46" s="130">
        <f>'2. Consolidated'!CQ82</f>
        <v>999</v>
      </c>
      <c r="CD46" s="130">
        <f>'2. Consolidated'!CR82</f>
        <v>650</v>
      </c>
      <c r="CE46" s="130">
        <f>'2. Consolidated'!CS82</f>
        <v>1329</v>
      </c>
      <c r="CF46" s="131">
        <f>'2. Consolidated'!CT82</f>
        <v>3900</v>
      </c>
      <c r="CG46" s="130">
        <f>'2. Consolidated'!CU82</f>
        <v>921</v>
      </c>
      <c r="CH46" s="130">
        <f>'2. Consolidated'!CV82</f>
        <v>720.55068187684401</v>
      </c>
      <c r="CI46" s="130">
        <f>'2. Consolidated'!CW82</f>
        <v>555.92500314247491</v>
      </c>
      <c r="CJ46" s="130">
        <f>'2. Consolidated'!CX82</f>
        <v>281.64248577904294</v>
      </c>
      <c r="CK46" s="131">
        <f>'2. Consolidated'!CY82</f>
        <v>2479.1181707983619</v>
      </c>
      <c r="CL46" s="130">
        <f>'2. Consolidated'!CZ82</f>
        <v>863.61876239867343</v>
      </c>
      <c r="CM46" s="130">
        <f>'2. Consolidated'!DA82</f>
        <v>628.54542587351079</v>
      </c>
      <c r="CN46" s="130">
        <f>'2. Consolidated'!DB82</f>
        <v>536.47951477286642</v>
      </c>
      <c r="CO46" s="130">
        <f>'2. Consolidated'!DC82</f>
        <v>270.05630796992176</v>
      </c>
      <c r="CP46" s="131">
        <f>'2. Consolidated'!DD82</f>
        <v>2298.7000110149725</v>
      </c>
      <c r="CQ46" s="130">
        <f>'2. Consolidated'!DE82</f>
        <v>920.93164847721528</v>
      </c>
      <c r="CR46" s="130">
        <f>'2. Consolidated'!DF82</f>
        <v>686.79145969207639</v>
      </c>
      <c r="CS46" s="130">
        <f>'2. Consolidated'!DG82</f>
        <v>595.55823270329483</v>
      </c>
      <c r="CT46" s="130">
        <f>'2. Consolidated'!DH82</f>
        <v>325.17535799635738</v>
      </c>
      <c r="CU46" s="131">
        <f>'2. Consolidated'!DI82</f>
        <v>2528.4566988689439</v>
      </c>
    </row>
    <row r="47" spans="2:99" ht="15" customHeight="1">
      <c r="B47" s="74" t="s">
        <v>297</v>
      </c>
      <c r="C47" s="74"/>
      <c r="D47" s="135">
        <f>'2. Consolidated'!R83</f>
        <v>-196</v>
      </c>
      <c r="E47" s="136">
        <f>'2. Consolidated'!S83</f>
        <v>-152</v>
      </c>
      <c r="F47" s="136">
        <f>'2. Consolidated'!T83</f>
        <v>-184</v>
      </c>
      <c r="G47" s="136">
        <f>'2. Consolidated'!U83</f>
        <v>-179</v>
      </c>
      <c r="H47" s="137">
        <f>'2. Consolidated'!V83</f>
        <v>-711</v>
      </c>
      <c r="I47" s="136">
        <f>'2. Consolidated'!W83</f>
        <v>-207</v>
      </c>
      <c r="J47" s="136">
        <f>'2. Consolidated'!X83</f>
        <v>-149</v>
      </c>
      <c r="K47" s="136">
        <f>'2. Consolidated'!Y83</f>
        <v>-210</v>
      </c>
      <c r="L47" s="136">
        <f>'2. Consolidated'!Z83</f>
        <v>-194</v>
      </c>
      <c r="M47" s="137">
        <f>'2. Consolidated'!AA83</f>
        <v>-760</v>
      </c>
      <c r="N47" s="137" t="str">
        <f>'2. Consolidated'!AB83</f>
        <v>--</v>
      </c>
      <c r="O47" s="136">
        <f>'2. Consolidated'!AC83</f>
        <v>-213</v>
      </c>
      <c r="P47" s="136">
        <f>'2. Consolidated'!AD83</f>
        <v>-191</v>
      </c>
      <c r="Q47" s="136">
        <f>'2. Consolidated'!AE83</f>
        <v>-196</v>
      </c>
      <c r="R47" s="136">
        <f>'2. Consolidated'!AF83</f>
        <v>-205</v>
      </c>
      <c r="S47" s="137">
        <f>'2. Consolidated'!AG83</f>
        <v>-805</v>
      </c>
      <c r="T47" s="136">
        <f>'2. Consolidated'!AH83</f>
        <v>-259</v>
      </c>
      <c r="U47" s="136">
        <f>'2. Consolidated'!AI83</f>
        <v>-180</v>
      </c>
      <c r="V47" s="136">
        <f>'2. Consolidated'!AJ83</f>
        <v>-198</v>
      </c>
      <c r="W47" s="136">
        <f>'2. Consolidated'!AK83</f>
        <v>-214</v>
      </c>
      <c r="X47" s="137">
        <f>'2. Consolidated'!AL83</f>
        <v>-851</v>
      </c>
      <c r="Y47" s="136">
        <f>'2. Consolidated'!AM83</f>
        <v>-267</v>
      </c>
      <c r="Z47" s="136">
        <f>'2. Consolidated'!AN83</f>
        <v>-223</v>
      </c>
      <c r="AA47" s="136">
        <f>'2. Consolidated'!AO83</f>
        <v>-255</v>
      </c>
      <c r="AB47" s="136">
        <f>'2. Consolidated'!AP83</f>
        <v>-187</v>
      </c>
      <c r="AC47" s="137">
        <f>'2. Consolidated'!AQ83</f>
        <v>-932</v>
      </c>
      <c r="AD47" s="136">
        <f>'2. Consolidated'!AR83</f>
        <v>-266</v>
      </c>
      <c r="AE47" s="136">
        <f>'2. Consolidated'!AS83</f>
        <v>-185</v>
      </c>
      <c r="AF47" s="136">
        <f>'2. Consolidated'!AT83</f>
        <v>-185</v>
      </c>
      <c r="AG47" s="136">
        <f>'2. Consolidated'!AU83</f>
        <v>-227</v>
      </c>
      <c r="AH47" s="137">
        <f>'2. Consolidated'!AV83</f>
        <v>-863</v>
      </c>
      <c r="AI47" s="136">
        <f>'2. Consolidated'!AW83</f>
        <v>-32</v>
      </c>
      <c r="AJ47" s="136">
        <f>'2. Consolidated'!AX83</f>
        <v>-272</v>
      </c>
      <c r="AK47" s="136">
        <f>'2. Consolidated'!AY83</f>
        <v>-182</v>
      </c>
      <c r="AL47" s="136">
        <f>'2. Consolidated'!AZ83</f>
        <v>-160</v>
      </c>
      <c r="AM47" s="137">
        <f>'2. Consolidated'!BA83</f>
        <v>-646</v>
      </c>
      <c r="AN47" s="136">
        <f>'2. Consolidated'!BB83</f>
        <v>-122</v>
      </c>
      <c r="AO47" s="136">
        <f>'2. Consolidated'!BC83</f>
        <v>-112</v>
      </c>
      <c r="AP47" s="136">
        <f>'2. Consolidated'!BD83</f>
        <v>-50</v>
      </c>
      <c r="AQ47" s="136">
        <f>'2. Consolidated'!BE83</f>
        <v>-78</v>
      </c>
      <c r="AR47" s="137">
        <f>'2. Consolidated'!BF83</f>
        <v>-362</v>
      </c>
      <c r="AS47" s="136">
        <f>'2. Consolidated'!BG83</f>
        <v>-178</v>
      </c>
      <c r="AT47" s="136">
        <f>'2. Consolidated'!BH83</f>
        <v>-150</v>
      </c>
      <c r="AU47" s="136">
        <f>'2. Consolidated'!BI83</f>
        <v>-190</v>
      </c>
      <c r="AV47" s="136">
        <f>'2. Consolidated'!BJ83</f>
        <v>-254</v>
      </c>
      <c r="AW47" s="137">
        <f>'2. Consolidated'!BK83</f>
        <v>-772</v>
      </c>
      <c r="AX47" s="136">
        <f>'2. Consolidated'!BL83</f>
        <v>-194</v>
      </c>
      <c r="AY47" s="136">
        <f>'2. Consolidated'!BM83</f>
        <v>-134</v>
      </c>
      <c r="AZ47" s="136">
        <f>'2. Consolidated'!BN83</f>
        <v>-34</v>
      </c>
      <c r="BA47" s="136">
        <f>'2. Consolidated'!BO83</f>
        <v>14</v>
      </c>
      <c r="BB47" s="137">
        <f>'2. Consolidated'!BP83</f>
        <v>-348</v>
      </c>
      <c r="BC47" s="136">
        <f>'2. Consolidated'!BQ83</f>
        <v>-197</v>
      </c>
      <c r="BD47" s="136">
        <f>'2. Consolidated'!BR83</f>
        <v>-205</v>
      </c>
      <c r="BE47" s="136">
        <f>'2. Consolidated'!BS83</f>
        <v>-187</v>
      </c>
      <c r="BF47" s="136">
        <f>'2. Consolidated'!BT83</f>
        <v>-345</v>
      </c>
      <c r="BG47" s="137">
        <f>'2. Consolidated'!BU83</f>
        <v>-934</v>
      </c>
      <c r="BH47" s="136">
        <f>'2. Consolidated'!BV83</f>
        <v>-232</v>
      </c>
      <c r="BI47" s="136">
        <f>'2. Consolidated'!BW83</f>
        <v>-164</v>
      </c>
      <c r="BJ47" s="136">
        <f>'2. Consolidated'!BX83</f>
        <v>-274</v>
      </c>
      <c r="BK47" s="136">
        <f>'2. Consolidated'!BY83</f>
        <v>65</v>
      </c>
      <c r="BL47" s="137">
        <f>'2. Consolidated'!BZ83</f>
        <v>-605</v>
      </c>
      <c r="BM47" s="136">
        <f>'2. Consolidated'!CA83</f>
        <v>-360</v>
      </c>
      <c r="BN47" s="136">
        <f>'2. Consolidated'!CB83</f>
        <v>-319</v>
      </c>
      <c r="BO47" s="136">
        <f>'2. Consolidated'!CC83</f>
        <v>-237</v>
      </c>
      <c r="BP47" s="136">
        <f>'2. Consolidated'!CD83</f>
        <v>-215</v>
      </c>
      <c r="BQ47" s="137">
        <f>'2. Consolidated'!CE83</f>
        <v>-1131</v>
      </c>
      <c r="BR47" s="136">
        <f>'2. Consolidated'!CF83</f>
        <v>-198</v>
      </c>
      <c r="BS47" s="136">
        <f>'2. Consolidated'!CG83</f>
        <v>-344</v>
      </c>
      <c r="BT47" s="136">
        <f>'2. Consolidated'!CH83</f>
        <v>-308</v>
      </c>
      <c r="BU47" s="136">
        <f>'2. Consolidated'!CI83</f>
        <v>-241</v>
      </c>
      <c r="BV47" s="137">
        <f>'2. Consolidated'!CJ83</f>
        <v>-1091</v>
      </c>
      <c r="BW47" s="136">
        <f>'2. Consolidated'!CK83</f>
        <v>-256</v>
      </c>
      <c r="BX47" s="136">
        <f>'2. Consolidated'!CL83</f>
        <v>-253</v>
      </c>
      <c r="BY47" s="136">
        <f>'2. Consolidated'!CM83</f>
        <v>-50</v>
      </c>
      <c r="BZ47" s="136">
        <f>'2. Consolidated'!CN83</f>
        <v>-107</v>
      </c>
      <c r="CA47" s="137">
        <f>'2. Consolidated'!CO83</f>
        <v>-666</v>
      </c>
      <c r="CB47" s="136">
        <f>'2. Consolidated'!CP83</f>
        <v>-195</v>
      </c>
      <c r="CC47" s="136">
        <f>'2. Consolidated'!CQ83</f>
        <v>-207</v>
      </c>
      <c r="CD47" s="136">
        <f>'2. Consolidated'!CR83</f>
        <v>-130</v>
      </c>
      <c r="CE47" s="136">
        <f>'2. Consolidated'!CS83</f>
        <v>-260</v>
      </c>
      <c r="CF47" s="137">
        <f>'2. Consolidated'!CT83</f>
        <v>-792</v>
      </c>
      <c r="CG47" s="136">
        <f>'2. Consolidated'!CU83</f>
        <v>-209</v>
      </c>
      <c r="CH47" s="136">
        <f>'2. Consolidated'!CV83</f>
        <v>-190.94593069736368</v>
      </c>
      <c r="CI47" s="136">
        <f>'2. Consolidated'!CW83</f>
        <v>-147.32012583275585</v>
      </c>
      <c r="CJ47" s="136">
        <f>'2. Consolidated'!CX83</f>
        <v>-74.635258731446385</v>
      </c>
      <c r="CK47" s="137">
        <f>'2. Consolidated'!CY83</f>
        <v>-621.90131526156586</v>
      </c>
      <c r="CL47" s="136">
        <f>'2. Consolidated'!CZ83</f>
        <v>-207.26850297568163</v>
      </c>
      <c r="CM47" s="136">
        <f>'2. Consolidated'!DA83</f>
        <v>-150.85090220964258</v>
      </c>
      <c r="CN47" s="136">
        <f>'2. Consolidated'!DB83</f>
        <v>-128.75508354548793</v>
      </c>
      <c r="CO47" s="136">
        <f>'2. Consolidated'!DC83</f>
        <v>-64.813513912781218</v>
      </c>
      <c r="CP47" s="137">
        <f>'2. Consolidated'!DD83</f>
        <v>-551.68800264359334</v>
      </c>
      <c r="CQ47" s="136">
        <f>'2. Consolidated'!DE83</f>
        <v>-211.81427914975953</v>
      </c>
      <c r="CR47" s="136">
        <f>'2. Consolidated'!DF83</f>
        <v>-157.96203572917759</v>
      </c>
      <c r="CS47" s="136">
        <f>'2. Consolidated'!DG83</f>
        <v>-136.97839352175782</v>
      </c>
      <c r="CT47" s="136">
        <f>'2. Consolidated'!DH83</f>
        <v>-74.790332339162205</v>
      </c>
      <c r="CU47" s="137">
        <f>'2. Consolidated'!DI83</f>
        <v>-581.54504073985709</v>
      </c>
    </row>
    <row r="48" spans="2:99" s="22" customFormat="1" ht="15" customHeight="1">
      <c r="B48" s="21" t="s">
        <v>134</v>
      </c>
      <c r="C48" s="21"/>
      <c r="D48" s="132">
        <f>'2. Consolidated'!R84</f>
        <v>0.25960264900662261</v>
      </c>
      <c r="E48" s="133">
        <f>'2. Consolidated'!S84</f>
        <v>0.24958949096880123</v>
      </c>
      <c r="F48" s="133">
        <f>'2. Consolidated'!T84</f>
        <v>0.26025459688826025</v>
      </c>
      <c r="G48" s="133">
        <f>'2. Consolidated'!U84</f>
        <v>0.23156532988357051</v>
      </c>
      <c r="H48" s="134">
        <f>'2. Consolidated'!V84</f>
        <v>0.25</v>
      </c>
      <c r="I48" s="133">
        <f>'2. Consolidated'!W84</f>
        <v>0.24295774647887325</v>
      </c>
      <c r="J48" s="133">
        <f>'2. Consolidated'!X84</f>
        <v>0.24110032362459546</v>
      </c>
      <c r="K48" s="133">
        <f>'2. Consolidated'!Y84</f>
        <v>0.27272727272727271</v>
      </c>
      <c r="L48" s="133">
        <f>'2. Consolidated'!Z84</f>
        <v>0.2611036339165545</v>
      </c>
      <c r="M48" s="134">
        <f>'2. Consolidated'!AA84</f>
        <v>0.25477707006369427</v>
      </c>
      <c r="N48" s="134" t="str">
        <f>'2. Consolidated'!AB84</f>
        <v>--</v>
      </c>
      <c r="O48" s="133">
        <f>'2. Consolidated'!AC84</f>
        <v>0.26792452830188679</v>
      </c>
      <c r="P48" s="133">
        <f>'2. Consolidated'!AD84</f>
        <v>0.26901408450704223</v>
      </c>
      <c r="Q48" s="133">
        <f>'2. Consolidated'!AE84</f>
        <v>0.22897196261682243</v>
      </c>
      <c r="R48" s="133">
        <f>'2. Consolidated'!AF84</f>
        <v>0.22905027932960895</v>
      </c>
      <c r="S48" s="134">
        <f>'2. Consolidated'!AG84</f>
        <v>0.24723587223587223</v>
      </c>
      <c r="T48" s="133">
        <f>'2. Consolidated'!AH84</f>
        <v>0.24951830443159922</v>
      </c>
      <c r="U48" s="133">
        <f>'2. Consolidated'!AI84</f>
        <v>0.25210084033613445</v>
      </c>
      <c r="V48" s="133">
        <f>'2. Consolidated'!AJ84</f>
        <v>0.22500000000000001</v>
      </c>
      <c r="W48" s="133">
        <f>'2. Consolidated'!AK84</f>
        <v>0.23464912280701755</v>
      </c>
      <c r="X48" s="134">
        <f>'2. Consolidated'!AL84</f>
        <v>0.24012415349887134</v>
      </c>
      <c r="Y48" s="133">
        <f>'2. Consolidated'!AM84</f>
        <v>0.21724979658258747</v>
      </c>
      <c r="Z48" s="133">
        <f>'2. Consolidated'!AN84</f>
        <v>0.25398633257403191</v>
      </c>
      <c r="AA48" s="133">
        <f>'2. Consolidated'!AO84</f>
        <v>0.24378585086042065</v>
      </c>
      <c r="AB48" s="133">
        <f>'2. Consolidated'!AP84</f>
        <v>0.17775665399239543</v>
      </c>
      <c r="AC48" s="134">
        <f>'2. Consolidated'!AQ84</f>
        <v>0.22164090368608799</v>
      </c>
      <c r="AD48" s="133">
        <f>'2. Consolidated'!AR84</f>
        <v>0.18408304498269895</v>
      </c>
      <c r="AE48" s="133">
        <f>'2. Consolidated'!AS84</f>
        <v>0.19072164948453607</v>
      </c>
      <c r="AF48" s="133">
        <f>'2. Consolidated'!AT84</f>
        <v>0.16299559471365638</v>
      </c>
      <c r="AG48" s="133">
        <f>'2. Consolidated'!AU84</f>
        <v>0.21155638397017706</v>
      </c>
      <c r="AH48" s="134">
        <f>'2. Consolidated'!AV84</f>
        <v>0.18667531905688947</v>
      </c>
      <c r="AI48" s="133">
        <f>'2. Consolidated'!AW84</f>
        <v>2.4980483996877439E-2</v>
      </c>
      <c r="AJ48" s="133">
        <f>'2. Consolidated'!AX84</f>
        <v>0.24416517055655296</v>
      </c>
      <c r="AK48" s="133">
        <f>'2. Consolidated'!AY84</f>
        <v>0.13756613756613756</v>
      </c>
      <c r="AL48" s="133">
        <f>'2. Consolidated'!AZ84</f>
        <v>0.13698630136986301</v>
      </c>
      <c r="AM48" s="134">
        <f>'2. Consolidated'!BA84</f>
        <v>0.13221449038067951</v>
      </c>
      <c r="AN48" s="133">
        <f>'2. Consolidated'!BB84</f>
        <v>0.11380597014925373</v>
      </c>
      <c r="AO48" s="133">
        <f>'2. Consolidated'!BC84</f>
        <v>0.12741751990898748</v>
      </c>
      <c r="AP48" s="133">
        <f>'2. Consolidated'!BD84</f>
        <v>4.3140638481449528E-2</v>
      </c>
      <c r="AQ48" s="133">
        <f>'2. Consolidated'!BE84</f>
        <v>6.4197530864197536E-2</v>
      </c>
      <c r="AR48" s="134">
        <f>'2. Consolidated'!BF84</f>
        <v>8.3699421965317919E-2</v>
      </c>
      <c r="AS48" s="133">
        <f>'2. Consolidated'!BG84</f>
        <v>0.14015748031496064</v>
      </c>
      <c r="AT48" s="133">
        <f>'2. Consolidated'!BH84</f>
        <v>0.15045135406218657</v>
      </c>
      <c r="AU48" s="133">
        <f>'2. Consolidated'!BI84</f>
        <v>0.14717273431448488</v>
      </c>
      <c r="AV48" s="133">
        <f>'2. Consolidated'!BJ84</f>
        <v>0.20434432823813356</v>
      </c>
      <c r="AW48" s="134">
        <f>'2. Consolidated'!BK84</f>
        <v>0.16079983336804832</v>
      </c>
      <c r="AX48" s="133">
        <f>'2. Consolidated'!BL84</f>
        <v>0.12427930813581038</v>
      </c>
      <c r="AY48" s="133">
        <f>'2. Consolidated'!BM84</f>
        <v>0.10728582866293035</v>
      </c>
      <c r="AZ48" s="133">
        <f>'2. Consolidated'!BN84</f>
        <v>2.6541764246682281E-2</v>
      </c>
      <c r="BA48" s="133">
        <f>'2. Consolidated'!BO84</f>
        <v>1.7412935323383085E-2</v>
      </c>
      <c r="BB48" s="134">
        <f>'2. Consolidated'!BP84</f>
        <v>0.10587161545482203</v>
      </c>
      <c r="BC48" s="133">
        <f>'2. Consolidated'!BQ84</f>
        <v>0.11486880466472303</v>
      </c>
      <c r="BD48" s="133">
        <f>'2. Consolidated'!BR84</f>
        <v>0.1407967032967033</v>
      </c>
      <c r="BE48" s="133">
        <f>'2. Consolidated'!BS84</f>
        <v>0.11430317848410758</v>
      </c>
      <c r="BF48" s="133">
        <f>'2. Consolidated'!BT84</f>
        <v>0.18608414239482202</v>
      </c>
      <c r="BG48" s="134">
        <f>'2. Consolidated'!BU84</f>
        <v>0.14021918630836211</v>
      </c>
      <c r="BH48" s="133">
        <f>'2. Consolidated'!BV84</f>
        <v>0.11016144349477683</v>
      </c>
      <c r="BI48" s="133">
        <f>'2. Consolidated'!BW84</f>
        <v>0.10926049300466356</v>
      </c>
      <c r="BJ48" s="133">
        <f>'2. Consolidated'!BX84</f>
        <v>0.16407185628742516</v>
      </c>
      <c r="BK48" s="133">
        <f>'2. Consolidated'!BY84</f>
        <v>-4.730713245997089E-2</v>
      </c>
      <c r="BL48" s="134">
        <f>'2. Consolidated'!BZ84</f>
        <v>9.0963764847391368E-2</v>
      </c>
      <c r="BM48" s="133">
        <f>'2. Consolidated'!CA84</f>
        <v>0.19693654266958424</v>
      </c>
      <c r="BN48" s="133">
        <f>'2. Consolidated'!CB84</f>
        <v>0.19333333333333333</v>
      </c>
      <c r="BO48" s="133">
        <f>'2. Consolidated'!CC84</f>
        <v>0.16046039268788084</v>
      </c>
      <c r="BP48" s="133">
        <f>'2. Consolidated'!CD84</f>
        <v>0.1725521669341894</v>
      </c>
      <c r="BQ48" s="134">
        <f>'2. Consolidated'!CE84</f>
        <v>0.18238993710691823</v>
      </c>
      <c r="BR48" s="133">
        <f>'2. Consolidated'!CF84</f>
        <v>0.12014563106796117</v>
      </c>
      <c r="BS48" s="133">
        <f>'2. Consolidated'!CG84</f>
        <v>0.17898022892819979</v>
      </c>
      <c r="BT48" s="133">
        <f>'2. Consolidated'!CH84</f>
        <v>0.17044825677919204</v>
      </c>
      <c r="BU48" s="133">
        <f>'2. Consolidated'!CI84</f>
        <v>0.13646659116647791</v>
      </c>
      <c r="BV48" s="134">
        <f>'2. Consolidated'!CJ84</f>
        <v>0.15273694526109477</v>
      </c>
      <c r="BW48" s="133">
        <f>'2. Consolidated'!CK84</f>
        <v>0.19586840091813312</v>
      </c>
      <c r="BX48" s="133">
        <f>'2. Consolidated'!CL84</f>
        <v>0.1786723163841808</v>
      </c>
      <c r="BY48" s="133">
        <f>'2. Consolidated'!CM84</f>
        <v>5.9241706161137442E-2</v>
      </c>
      <c r="BZ48" s="133">
        <f>'2. Consolidated'!CN84</f>
        <v>0.33647798742138363</v>
      </c>
      <c r="CA48" s="134">
        <f>'2. Consolidated'!CO84</f>
        <v>0.17142857142857143</v>
      </c>
      <c r="CB48" s="133">
        <f>'2. Consolidated'!CP84</f>
        <v>0.21149674620390455</v>
      </c>
      <c r="CC48" s="133">
        <f>'2. Consolidated'!CQ84</f>
        <v>0.2072072072072072</v>
      </c>
      <c r="CD48" s="133">
        <f>'2. Consolidated'!CR84</f>
        <v>0.2</v>
      </c>
      <c r="CE48" s="133">
        <f>'2. Consolidated'!CS84</f>
        <v>0.19563581640331076</v>
      </c>
      <c r="CF48" s="134">
        <f>'2. Consolidated'!CT84</f>
        <v>0.20307692307692307</v>
      </c>
      <c r="CG48" s="133">
        <f>'2. Consolidated'!CU84</f>
        <v>0.2269272529858849</v>
      </c>
      <c r="CH48" s="133">
        <f>'2. Consolidated'!CV84</f>
        <v>0.26500000000000001</v>
      </c>
      <c r="CI48" s="133">
        <f>'2. Consolidated'!CW84</f>
        <v>0.26500000000000001</v>
      </c>
      <c r="CJ48" s="133">
        <f>'2. Consolidated'!CX84</f>
        <v>0.26500000000000001</v>
      </c>
      <c r="CK48" s="134">
        <f>'2. Consolidated'!CY84</f>
        <v>0.25085585777514274</v>
      </c>
      <c r="CL48" s="133">
        <f>'2. Consolidated'!CZ84</f>
        <v>0.24</v>
      </c>
      <c r="CM48" s="133">
        <f>'2. Consolidated'!DA84</f>
        <v>0.24</v>
      </c>
      <c r="CN48" s="133">
        <f>'2. Consolidated'!DB84</f>
        <v>0.24</v>
      </c>
      <c r="CO48" s="133">
        <f>'2. Consolidated'!DC84</f>
        <v>0.24</v>
      </c>
      <c r="CP48" s="134">
        <f>'2. Consolidated'!DD84</f>
        <v>0.23999999999999996</v>
      </c>
      <c r="CQ48" s="133">
        <f>'2. Consolidated'!DE84</f>
        <v>0.23</v>
      </c>
      <c r="CR48" s="133">
        <f>'2. Consolidated'!DF84</f>
        <v>0.23</v>
      </c>
      <c r="CS48" s="133">
        <f>'2. Consolidated'!DG84</f>
        <v>0.23</v>
      </c>
      <c r="CT48" s="133">
        <f>'2. Consolidated'!DH84</f>
        <v>0.23</v>
      </c>
      <c r="CU48" s="134">
        <f>'2. Consolidated'!DI84</f>
        <v>0.22999999999999998</v>
      </c>
    </row>
    <row r="49" spans="2:99" ht="15" customHeight="1">
      <c r="B49" s="75" t="s">
        <v>71</v>
      </c>
      <c r="C49" s="75"/>
      <c r="D49" s="129">
        <f>'2. Consolidated'!R86</f>
        <v>558.99999999999977</v>
      </c>
      <c r="E49" s="130">
        <f>'2. Consolidated'!S86</f>
        <v>457.00000000000023</v>
      </c>
      <c r="F49" s="130">
        <f>'2. Consolidated'!T86</f>
        <v>523</v>
      </c>
      <c r="G49" s="130">
        <f>'2. Consolidated'!U86</f>
        <v>594</v>
      </c>
      <c r="H49" s="131">
        <f>'2. Consolidated'!V86</f>
        <v>2133</v>
      </c>
      <c r="I49" s="130">
        <f>'2. Consolidated'!W86</f>
        <v>645</v>
      </c>
      <c r="J49" s="130">
        <f>'2. Consolidated'!X86</f>
        <v>469</v>
      </c>
      <c r="K49" s="130">
        <f>'2. Consolidated'!Y86</f>
        <v>560</v>
      </c>
      <c r="L49" s="130">
        <f>'2. Consolidated'!Z86</f>
        <v>549</v>
      </c>
      <c r="M49" s="131">
        <f>'2. Consolidated'!AA86</f>
        <v>2223</v>
      </c>
      <c r="N49" s="131">
        <f>'2. Consolidated'!AB86</f>
        <v>2257</v>
      </c>
      <c r="O49" s="130">
        <f>'2. Consolidated'!AC86</f>
        <v>582</v>
      </c>
      <c r="P49" s="130">
        <f>'2. Consolidated'!AD86</f>
        <v>519</v>
      </c>
      <c r="Q49" s="130">
        <f>'2. Consolidated'!AE86</f>
        <v>660</v>
      </c>
      <c r="R49" s="130">
        <f>'2. Consolidated'!AF86</f>
        <v>690</v>
      </c>
      <c r="S49" s="131">
        <f>'2. Consolidated'!AG86</f>
        <v>2451</v>
      </c>
      <c r="T49" s="130">
        <f>'2. Consolidated'!AH86</f>
        <v>779</v>
      </c>
      <c r="U49" s="130">
        <f>'2. Consolidated'!AI86</f>
        <v>534</v>
      </c>
      <c r="V49" s="130">
        <f>'2. Consolidated'!AJ86</f>
        <v>682</v>
      </c>
      <c r="W49" s="130">
        <f>'2. Consolidated'!AK86</f>
        <v>698</v>
      </c>
      <c r="X49" s="131">
        <f>'2. Consolidated'!AL86</f>
        <v>2693</v>
      </c>
      <c r="Y49" s="130">
        <f>'2. Consolidated'!AM86</f>
        <v>962</v>
      </c>
      <c r="Z49" s="130">
        <f>'2. Consolidated'!AN86</f>
        <v>655</v>
      </c>
      <c r="AA49" s="130">
        <f>'2. Consolidated'!AO86</f>
        <v>791</v>
      </c>
      <c r="AB49" s="130">
        <f>'2. Consolidated'!AP86</f>
        <v>865</v>
      </c>
      <c r="AC49" s="131">
        <f>'2. Consolidated'!AQ86</f>
        <v>3273</v>
      </c>
      <c r="AD49" s="130">
        <f>'2. Consolidated'!AR86</f>
        <v>1179</v>
      </c>
      <c r="AE49" s="130">
        <f>'2. Consolidated'!AS86</f>
        <v>785</v>
      </c>
      <c r="AF49" s="130">
        <f>'2. Consolidated'!AT86</f>
        <v>950</v>
      </c>
      <c r="AG49" s="130">
        <f>'2. Consolidated'!AU86</f>
        <v>846</v>
      </c>
      <c r="AH49" s="131">
        <f>'2. Consolidated'!AV86</f>
        <v>3760</v>
      </c>
      <c r="AI49" s="130">
        <f>'2. Consolidated'!AW86</f>
        <v>1249</v>
      </c>
      <c r="AJ49" s="130">
        <f>'2. Consolidated'!AX86</f>
        <v>842</v>
      </c>
      <c r="AK49" s="130">
        <f>'2. Consolidated'!AY86</f>
        <v>1141</v>
      </c>
      <c r="AL49" s="130">
        <f>'2. Consolidated'!AZ86</f>
        <v>1008</v>
      </c>
      <c r="AM49" s="131">
        <f>'2. Consolidated'!BA86</f>
        <v>4240</v>
      </c>
      <c r="AN49" s="130">
        <f>'2. Consolidated'!BB86</f>
        <v>950</v>
      </c>
      <c r="AO49" s="130">
        <f>'2. Consolidated'!BC86</f>
        <v>767</v>
      </c>
      <c r="AP49" s="130">
        <f>'2. Consolidated'!BD86</f>
        <v>1109</v>
      </c>
      <c r="AQ49" s="130">
        <f>'2. Consolidated'!BE86</f>
        <v>1137</v>
      </c>
      <c r="AR49" s="131">
        <f>'2. Consolidated'!BF86</f>
        <v>3963</v>
      </c>
      <c r="AS49" s="130">
        <f>'2. Consolidated'!BG86</f>
        <v>1092</v>
      </c>
      <c r="AT49" s="130">
        <f>'2. Consolidated'!BH86</f>
        <v>847</v>
      </c>
      <c r="AU49" s="130">
        <f>'2. Consolidated'!BI86</f>
        <v>1101</v>
      </c>
      <c r="AV49" s="130">
        <f>'2. Consolidated'!BJ86</f>
        <v>989</v>
      </c>
      <c r="AW49" s="131">
        <f>'2. Consolidated'!BK86</f>
        <v>4029</v>
      </c>
      <c r="AX49" s="130">
        <f>'2. Consolidated'!BL86</f>
        <v>1367</v>
      </c>
      <c r="AY49" s="130">
        <f>'2. Consolidated'!BM86</f>
        <v>1115</v>
      </c>
      <c r="AZ49" s="130">
        <f>'2. Consolidated'!BN86</f>
        <v>1247</v>
      </c>
      <c r="BA49" s="130">
        <f>'2. Consolidated'!BO86</f>
        <v>-790</v>
      </c>
      <c r="BB49" s="131">
        <f>'2. Consolidated'!BP86</f>
        <v>2939</v>
      </c>
      <c r="BC49" s="130">
        <f>'2. Consolidated'!BQ86</f>
        <v>1518</v>
      </c>
      <c r="BD49" s="130">
        <f>'2. Consolidated'!BR86</f>
        <v>1251</v>
      </c>
      <c r="BE49" s="130">
        <f>'2. Consolidated'!BS86</f>
        <v>1449</v>
      </c>
      <c r="BF49" s="130">
        <f>'2. Consolidated'!BT86</f>
        <v>1509</v>
      </c>
      <c r="BG49" s="131">
        <f>'2. Consolidated'!BU86</f>
        <v>5727</v>
      </c>
      <c r="BH49" s="130">
        <f>'2. Consolidated'!BV86</f>
        <v>1874</v>
      </c>
      <c r="BI49" s="130">
        <f>'2. Consolidated'!BW86</f>
        <v>1337</v>
      </c>
      <c r="BJ49" s="130">
        <f>'2. Consolidated'!BX86</f>
        <v>1396</v>
      </c>
      <c r="BK49" s="130">
        <f>'2. Consolidated'!BY86</f>
        <v>1439</v>
      </c>
      <c r="BL49" s="131">
        <f>'2. Consolidated'!BZ86</f>
        <v>6046</v>
      </c>
      <c r="BM49" s="130">
        <f>'2. Consolidated'!CA86</f>
        <v>1468</v>
      </c>
      <c r="BN49" s="130">
        <f>'2. Consolidated'!CB86</f>
        <v>1331</v>
      </c>
      <c r="BO49" s="130">
        <f>'2. Consolidated'!CC86</f>
        <v>1240</v>
      </c>
      <c r="BP49" s="130">
        <f>'2. Consolidated'!CD86</f>
        <v>1031</v>
      </c>
      <c r="BQ49" s="131">
        <f>'2. Consolidated'!CE86</f>
        <v>5070</v>
      </c>
      <c r="BR49" s="130">
        <f>'2. Consolidated'!CF86</f>
        <v>1450</v>
      </c>
      <c r="BS49" s="130">
        <f>'2. Consolidated'!CG86</f>
        <v>1578</v>
      </c>
      <c r="BT49" s="130">
        <f>'2. Consolidated'!CH86</f>
        <v>1499</v>
      </c>
      <c r="BU49" s="130">
        <f>'2. Consolidated'!CI86</f>
        <v>1525</v>
      </c>
      <c r="BV49" s="131">
        <f>'2. Consolidated'!CJ86</f>
        <v>6052</v>
      </c>
      <c r="BW49" s="130">
        <f>'2. Consolidated'!CK86</f>
        <v>1051</v>
      </c>
      <c r="BX49" s="130">
        <f>'2. Consolidated'!CL86</f>
        <v>1163</v>
      </c>
      <c r="BY49" s="130">
        <f>'2. Consolidated'!CM86</f>
        <v>794</v>
      </c>
      <c r="BZ49" s="130">
        <f>'2. Consolidated'!CN86</f>
        <v>211</v>
      </c>
      <c r="CA49" s="131">
        <f>'2. Consolidated'!CO86</f>
        <v>3219</v>
      </c>
      <c r="CB49" s="130">
        <f>'2. Consolidated'!CP86</f>
        <v>727</v>
      </c>
      <c r="CC49" s="130">
        <f>'2. Consolidated'!CQ86</f>
        <v>792</v>
      </c>
      <c r="CD49" s="130">
        <f>'2. Consolidated'!CR86</f>
        <v>520</v>
      </c>
      <c r="CE49" s="130">
        <f>'2. Consolidated'!CS86</f>
        <v>1069</v>
      </c>
      <c r="CF49" s="131">
        <f>'2. Consolidated'!CT86</f>
        <v>3108</v>
      </c>
      <c r="CG49" s="130">
        <f>'2. Consolidated'!CU86</f>
        <v>712</v>
      </c>
      <c r="CH49" s="130">
        <f>'2. Consolidated'!CV86</f>
        <v>529.60475117948033</v>
      </c>
      <c r="CI49" s="130">
        <f>'2. Consolidated'!CW86</f>
        <v>408.60487730971909</v>
      </c>
      <c r="CJ49" s="130">
        <f>'2. Consolidated'!CX86</f>
        <v>207.00722704759656</v>
      </c>
      <c r="CK49" s="131">
        <f>'2. Consolidated'!CY86</f>
        <v>1857.2168555367962</v>
      </c>
      <c r="CL49" s="130">
        <f>'2. Consolidated'!CZ86</f>
        <v>656.35025942299183</v>
      </c>
      <c r="CM49" s="130">
        <f>'2. Consolidated'!DA86</f>
        <v>477.69452366386821</v>
      </c>
      <c r="CN49" s="130">
        <f>'2. Consolidated'!DB86</f>
        <v>407.72443122737849</v>
      </c>
      <c r="CO49" s="130">
        <f>'2. Consolidated'!DC86</f>
        <v>205.24279405714054</v>
      </c>
      <c r="CP49" s="131">
        <f>'2. Consolidated'!DD86</f>
        <v>1747.0120083713791</v>
      </c>
      <c r="CQ49" s="130">
        <f>'2. Consolidated'!DE86</f>
        <v>709.11736932745578</v>
      </c>
      <c r="CR49" s="130">
        <f>'2. Consolidated'!DF86</f>
        <v>528.82942396289877</v>
      </c>
      <c r="CS49" s="130">
        <f>'2. Consolidated'!DG86</f>
        <v>458.57983918153701</v>
      </c>
      <c r="CT49" s="130">
        <f>'2. Consolidated'!DH86</f>
        <v>250.38502565719517</v>
      </c>
      <c r="CU49" s="131">
        <f>'2. Consolidated'!DI86</f>
        <v>1946.9116581290868</v>
      </c>
    </row>
    <row r="50" spans="2:99" ht="15" customHeight="1">
      <c r="B50" s="74" t="s">
        <v>9</v>
      </c>
      <c r="C50" s="74"/>
      <c r="D50" s="123">
        <f>'2. Consolidated'!R90</f>
        <v>1954.4</v>
      </c>
      <c r="E50" s="124">
        <f>'2. Consolidated'!S90</f>
        <v>1950.4</v>
      </c>
      <c r="F50" s="124">
        <f>'2. Consolidated'!T90</f>
        <v>1942</v>
      </c>
      <c r="G50" s="124">
        <f>'2. Consolidated'!U90</f>
        <v>1914.8</v>
      </c>
      <c r="H50" s="125">
        <f>'2. Consolidated'!V90</f>
        <v>1942.8</v>
      </c>
      <c r="I50" s="124">
        <f>'2. Consolidated'!W90</f>
        <v>1897.2</v>
      </c>
      <c r="J50" s="124">
        <f>'2. Consolidated'!X90</f>
        <v>1873.8</v>
      </c>
      <c r="K50" s="124">
        <f>'2. Consolidated'!Y90</f>
        <v>1873.8</v>
      </c>
      <c r="L50" s="124">
        <f>'2. Consolidated'!Z90</f>
        <v>1872.4</v>
      </c>
      <c r="M50" s="125">
        <f>'2. Consolidated'!AA90</f>
        <v>1879.2</v>
      </c>
      <c r="N50" s="125">
        <f>'2. Consolidated'!AB90</f>
        <v>1879.2</v>
      </c>
      <c r="O50" s="124">
        <f>'2. Consolidated'!AC90</f>
        <v>1857.6</v>
      </c>
      <c r="P50" s="124">
        <f>'2. Consolidated'!AD90</f>
        <v>1826.4</v>
      </c>
      <c r="Q50" s="124">
        <f>'2. Consolidated'!AE90</f>
        <v>1823.4</v>
      </c>
      <c r="R50" s="124">
        <f>'2. Consolidated'!AF90</f>
        <v>1826.8</v>
      </c>
      <c r="S50" s="125">
        <f>'2. Consolidated'!AG90</f>
        <v>1832.84</v>
      </c>
      <c r="T50" s="124">
        <f>'2. Consolidated'!AH90</f>
        <v>1821.4</v>
      </c>
      <c r="U50" s="124">
        <f>'2. Consolidated'!AI90</f>
        <v>1821.2</v>
      </c>
      <c r="V50" s="124">
        <f>'2. Consolidated'!AJ90</f>
        <v>1809.6</v>
      </c>
      <c r="W50" s="124">
        <f>'2. Consolidated'!AK90</f>
        <v>1790.4</v>
      </c>
      <c r="X50" s="125">
        <f>'2. Consolidated'!AL90</f>
        <v>1810.65</v>
      </c>
      <c r="Y50" s="124">
        <f>'2. Consolidated'!AM90</f>
        <v>1772.4</v>
      </c>
      <c r="Z50" s="124">
        <f>'2. Consolidated'!AN90</f>
        <v>1769.6</v>
      </c>
      <c r="AA50" s="124">
        <f>'2. Consolidated'!AO90</f>
        <v>1767.6</v>
      </c>
      <c r="AB50" s="124">
        <f>'2. Consolidated'!AP90</f>
        <v>1759.6</v>
      </c>
      <c r="AC50" s="125">
        <f>'2. Consolidated'!AQ90</f>
        <v>1768.8</v>
      </c>
      <c r="AD50" s="124">
        <f>'2. Consolidated'!AR90</f>
        <v>1754.6</v>
      </c>
      <c r="AE50" s="124">
        <f>'2. Consolidated'!AS90</f>
        <v>1751.4</v>
      </c>
      <c r="AF50" s="124">
        <f>'2. Consolidated'!AT90</f>
        <v>1737.3</v>
      </c>
      <c r="AG50" s="124">
        <f>'2. Consolidated'!AU90</f>
        <v>1723.1</v>
      </c>
      <c r="AH50" s="125">
        <f>'2. Consolidated'!AV90</f>
        <v>1742.5</v>
      </c>
      <c r="AI50" s="124">
        <f>'2. Consolidated'!AW90</f>
        <v>1708.9</v>
      </c>
      <c r="AJ50" s="124">
        <f>'2. Consolidated'!AX90</f>
        <v>1693.2</v>
      </c>
      <c r="AK50" s="124">
        <f>'2. Consolidated'!AY90</f>
        <v>1686.3</v>
      </c>
      <c r="AL50" s="124">
        <f>'2. Consolidated'!AZ90</f>
        <v>1678.6</v>
      </c>
      <c r="AM50" s="125">
        <f>'2. Consolidated'!BA90</f>
        <v>1692</v>
      </c>
      <c r="AN50" s="124">
        <f>'2. Consolidated'!BB90</f>
        <v>1676.9</v>
      </c>
      <c r="AO50" s="124">
        <f>'2. Consolidated'!BC90</f>
        <v>1660.9</v>
      </c>
      <c r="AP50" s="124">
        <f>'2. Consolidated'!BD90</f>
        <v>1623.5</v>
      </c>
      <c r="AQ50" s="124">
        <f>'2. Consolidated'!BE90</f>
        <v>1641.2</v>
      </c>
      <c r="AR50" s="125">
        <f>'2. Consolidated'!BF90</f>
        <v>1650.625</v>
      </c>
      <c r="AS50" s="124">
        <f>'2. Consolidated'!BG90</f>
        <v>1634.4</v>
      </c>
      <c r="AT50" s="124">
        <f>'2. Consolidated'!BH90</f>
        <v>1620.7</v>
      </c>
      <c r="AU50" s="124">
        <f>'2. Consolidated'!BI90</f>
        <v>1609.6</v>
      </c>
      <c r="AV50" s="124">
        <f>'2. Consolidated'!BJ90</f>
        <v>1607.5</v>
      </c>
      <c r="AW50" s="125">
        <f>'2. Consolidated'!BK90</f>
        <v>1618.0500000000002</v>
      </c>
      <c r="AX50" s="124">
        <f>'2. Consolidated'!BL90</f>
        <v>1597.5</v>
      </c>
      <c r="AY50" s="124">
        <f>'2. Consolidated'!BM90</f>
        <v>1594.4</v>
      </c>
      <c r="AZ50" s="124">
        <f>'2. Consolidated'!BN90</f>
        <v>1591.6</v>
      </c>
      <c r="BA50" s="124">
        <f>'2. Consolidated'!BO90</f>
        <v>1555.7</v>
      </c>
      <c r="BB50" s="125">
        <f>'2. Consolidated'!BP90</f>
        <v>1584.8</v>
      </c>
      <c r="BC50" s="124">
        <f>'2. Consolidated'!BQ90</f>
        <v>1593.3</v>
      </c>
      <c r="BD50" s="124">
        <f>'2. Consolidated'!BR90</f>
        <v>1609.5</v>
      </c>
      <c r="BE50" s="124">
        <f>'2. Consolidated'!BS90</f>
        <v>1616.9</v>
      </c>
      <c r="BF50" s="124">
        <f>'2. Consolidated'!BT90</f>
        <v>1614.9</v>
      </c>
      <c r="BG50" s="125">
        <f>'2. Consolidated'!BU90</f>
        <v>1608.65</v>
      </c>
      <c r="BH50" s="124">
        <f>'2. Consolidated'!BV90</f>
        <v>1619.6</v>
      </c>
      <c r="BI50" s="124">
        <f>'2. Consolidated'!BW90</f>
        <v>1617.4</v>
      </c>
      <c r="BJ50" s="124">
        <f>'2. Consolidated'!BX90</f>
        <v>1610.7</v>
      </c>
      <c r="BK50" s="124">
        <f>'2. Consolidated'!BY90</f>
        <v>1595</v>
      </c>
      <c r="BL50" s="125">
        <f>'2. Consolidated'!BZ90</f>
        <v>1610.675</v>
      </c>
      <c r="BM50" s="124">
        <f>'2. Consolidated'!CA90</f>
        <v>1585.8</v>
      </c>
      <c r="BN50" s="124">
        <f>'2. Consolidated'!CB90</f>
        <v>1572.4</v>
      </c>
      <c r="BO50" s="124">
        <f>'2. Consolidated'!CC90</f>
        <v>1564.8</v>
      </c>
      <c r="BP50" s="124">
        <f>'2. Consolidated'!CD90</f>
        <v>1556.3</v>
      </c>
      <c r="BQ50" s="125">
        <f>'2. Consolidated'!CE90</f>
        <v>1569.825</v>
      </c>
      <c r="BR50" s="124">
        <f>'2. Consolidated'!CF90</f>
        <v>1543.3</v>
      </c>
      <c r="BS50" s="124">
        <f>'2. Consolidated'!CG90</f>
        <v>1532.1</v>
      </c>
      <c r="BT50" s="124">
        <f>'2. Consolidated'!CH90</f>
        <v>1526.5</v>
      </c>
      <c r="BU50" s="124">
        <f>'2. Consolidated'!CI90</f>
        <v>1516.7</v>
      </c>
      <c r="BV50" s="125">
        <f>'2. Consolidated'!CJ90</f>
        <v>1529.6499999999999</v>
      </c>
      <c r="BW50" s="124">
        <f>'2. Consolidated'!CK90</f>
        <v>1502</v>
      </c>
      <c r="BX50" s="124">
        <f>'2. Consolidated'!CL90</f>
        <v>1490</v>
      </c>
      <c r="BY50" s="124">
        <f>'2. Consolidated'!CM90</f>
        <v>1480.6</v>
      </c>
      <c r="BZ50" s="124">
        <f>'2. Consolidated'!CN90</f>
        <v>1477.7</v>
      </c>
      <c r="CA50" s="125">
        <f>'2. Consolidated'!CO90</f>
        <v>1487.575</v>
      </c>
      <c r="CB50" s="124">
        <f>'2. Consolidated'!CP90</f>
        <v>1479</v>
      </c>
      <c r="CC50" s="124">
        <f>'2. Consolidated'!CQ90</f>
        <v>1481</v>
      </c>
      <c r="CD50" s="124">
        <f>'2. Consolidated'!CR90</f>
        <v>1481.6</v>
      </c>
      <c r="CE50" s="124">
        <f>'2. Consolidated'!CS90</f>
        <v>1482.9</v>
      </c>
      <c r="CF50" s="125">
        <f>'2. Consolidated'!CT90</f>
        <v>1481.125</v>
      </c>
      <c r="CG50" s="124">
        <f>'2. Consolidated'!CU90</f>
        <v>1484.2</v>
      </c>
      <c r="CH50" s="124">
        <f>'2. Consolidated'!CV90</f>
        <v>1453.7028108887287</v>
      </c>
      <c r="CI50" s="124">
        <f>'2. Consolidated'!CW90</f>
        <v>1454.0576577340478</v>
      </c>
      <c r="CJ50" s="124">
        <f>'2. Consolidated'!CX90</f>
        <v>1454.3467232686744</v>
      </c>
      <c r="CK50" s="125">
        <f>'2. Consolidated'!CY90</f>
        <v>1461.5767979728628</v>
      </c>
      <c r="CL50" s="124">
        <f>'2. Consolidated'!CZ90</f>
        <v>1455.5712973222298</v>
      </c>
      <c r="CM50" s="124">
        <f>'2. Consolidated'!DA90</f>
        <v>1455.7326444335586</v>
      </c>
      <c r="CN50" s="124">
        <f>'2. Consolidated'!DB90</f>
        <v>1455.832004346626</v>
      </c>
      <c r="CO50" s="124">
        <f>'2. Consolidated'!DC90</f>
        <v>1456.8705924966921</v>
      </c>
      <c r="CP50" s="125">
        <f>'2. Consolidated'!DD90</f>
        <v>1456.0016346497769</v>
      </c>
      <c r="CQ50" s="124">
        <f>'2. Consolidated'!DE90</f>
        <v>1454.335785774447</v>
      </c>
      <c r="CR50" s="124">
        <f>'2. Consolidated'!DF90</f>
        <v>1449.2780429028767</v>
      </c>
      <c r="CS50" s="124">
        <f>'2. Consolidated'!DG90</f>
        <v>1445.260647930749</v>
      </c>
      <c r="CT50" s="124">
        <f>'2. Consolidated'!DH90</f>
        <v>1440.2828097227805</v>
      </c>
      <c r="CU50" s="125">
        <f>'2. Consolidated'!DI90</f>
        <v>1447.2893215827132</v>
      </c>
    </row>
    <row r="51" spans="2:99" ht="15" customHeight="1">
      <c r="B51" s="76" t="s">
        <v>298</v>
      </c>
      <c r="C51" s="76"/>
      <c r="D51" s="138">
        <f>'2. Consolidated'!R92</f>
        <v>0.2860212853049528</v>
      </c>
      <c r="E51" s="139">
        <f>'2. Consolidated'!S92</f>
        <v>0.23431091058244474</v>
      </c>
      <c r="F51" s="139">
        <f>'2. Consolidated'!T92</f>
        <v>0.26930998970133885</v>
      </c>
      <c r="G51" s="139">
        <f>'2. Consolidated'!U92</f>
        <v>0.31021516607478589</v>
      </c>
      <c r="H51" s="140">
        <f>'2. Consolidated'!V92</f>
        <v>1.0978999382334775</v>
      </c>
      <c r="I51" s="139">
        <f>'2. Consolidated'!W92</f>
        <v>0.33997469955724224</v>
      </c>
      <c r="J51" s="139">
        <f>'2. Consolidated'!X92</f>
        <v>0.25029352118689296</v>
      </c>
      <c r="K51" s="139">
        <f>'2. Consolidated'!Y92</f>
        <v>0.29885793574554381</v>
      </c>
      <c r="L51" s="139">
        <f>'2. Consolidated'!Z92</f>
        <v>0.29320657979064302</v>
      </c>
      <c r="M51" s="140">
        <f>'2. Consolidated'!AA92</f>
        <v>1.1829501915708811</v>
      </c>
      <c r="N51" s="140">
        <f>'2. Consolidated'!AB92</f>
        <v>1.2010429970200085</v>
      </c>
      <c r="O51" s="139">
        <f>'2. Consolidated'!AC92</f>
        <v>0.31330749354005172</v>
      </c>
      <c r="P51" s="139">
        <f>'2. Consolidated'!AD92</f>
        <v>0.28416557161629435</v>
      </c>
      <c r="Q51" s="139">
        <f>'2. Consolidated'!AE92</f>
        <v>0.36196117143797302</v>
      </c>
      <c r="R51" s="139">
        <f>'2. Consolidated'!AF92</f>
        <v>0.37770965622947233</v>
      </c>
      <c r="S51" s="140">
        <f>'2. Consolidated'!AG92</f>
        <v>1.3372689378232689</v>
      </c>
      <c r="T51" s="139">
        <f>'2. Consolidated'!AH92</f>
        <v>0.42769298341934775</v>
      </c>
      <c r="U51" s="139">
        <f>'2. Consolidated'!AI92</f>
        <v>0.29321326597847575</v>
      </c>
      <c r="V51" s="139">
        <f>'2. Consolidated'!AJ92</f>
        <v>0.37687886825817862</v>
      </c>
      <c r="W51" s="139">
        <f>'2. Consolidated'!AK92</f>
        <v>0.38985701519213584</v>
      </c>
      <c r="X51" s="140">
        <f>'2. Consolidated'!AL92</f>
        <v>1.4873111865904509</v>
      </c>
      <c r="Y51" s="139">
        <f>'2. Consolidated'!AM92</f>
        <v>0.54276686978108779</v>
      </c>
      <c r="Z51" s="139">
        <f>'2. Consolidated'!AN92</f>
        <v>0.37014014466546113</v>
      </c>
      <c r="AA51" s="139">
        <f>'2. Consolidated'!AO92</f>
        <v>0.44749943426114508</v>
      </c>
      <c r="AB51" s="139">
        <f>'2. Consolidated'!AP92</f>
        <v>0.49158899749943169</v>
      </c>
      <c r="AC51" s="140">
        <f>'2. Consolidated'!AQ92</f>
        <v>1.8504070556309362</v>
      </c>
      <c r="AD51" s="139">
        <f>'2. Consolidated'!AR92</f>
        <v>0.67194802234127438</v>
      </c>
      <c r="AE51" s="139">
        <f>'2. Consolidated'!AS92</f>
        <v>0.44821285828480073</v>
      </c>
      <c r="AF51" s="139">
        <f>'2. Consolidated'!AT92</f>
        <v>0.5468255338744028</v>
      </c>
      <c r="AG51" s="139">
        <f>'2. Consolidated'!AU92</f>
        <v>0.49097556729150954</v>
      </c>
      <c r="AH51" s="140">
        <f>'2. Consolidated'!AV92</f>
        <v>2.1578192252510759</v>
      </c>
      <c r="AI51" s="139">
        <f>'2. Consolidated'!AW92</f>
        <v>0.73087951313710575</v>
      </c>
      <c r="AJ51" s="139">
        <f>'2. Consolidated'!AX92</f>
        <v>0.49728325064965745</v>
      </c>
      <c r="AK51" s="139">
        <f>'2. Consolidated'!AY92</f>
        <v>0.67662930676629307</v>
      </c>
      <c r="AL51" s="139">
        <f>'2. Consolidated'!AZ92</f>
        <v>0.60050041701417856</v>
      </c>
      <c r="AM51" s="140">
        <f>'2. Consolidated'!BA92</f>
        <v>2.5059101654846336</v>
      </c>
      <c r="AN51" s="139">
        <f>'2. Consolidated'!BB92</f>
        <v>0.56652155763611423</v>
      </c>
      <c r="AO51" s="139">
        <f>'2. Consolidated'!BC92</f>
        <v>0.46179782045878737</v>
      </c>
      <c r="AP51" s="139">
        <f>'2. Consolidated'!BD92</f>
        <v>0.68309208500153984</v>
      </c>
      <c r="AQ51" s="139">
        <f>'2. Consolidated'!BE92</f>
        <v>0.69278576651230805</v>
      </c>
      <c r="AR51" s="140">
        <f>'2. Consolidated'!BF92</f>
        <v>2.4009087466868611</v>
      </c>
      <c r="AS51" s="139">
        <f>'2. Consolidated'!BG92</f>
        <v>0.66813509544787075</v>
      </c>
      <c r="AT51" s="139">
        <f>'2. Consolidated'!BH92</f>
        <v>0.52261368544456099</v>
      </c>
      <c r="AU51" s="139">
        <f>'2. Consolidated'!BI92</f>
        <v>0.68402087475149109</v>
      </c>
      <c r="AV51" s="139">
        <f>'2. Consolidated'!BJ92</f>
        <v>0.61524105754276825</v>
      </c>
      <c r="AW51" s="140">
        <f>'2. Consolidated'!BK92</f>
        <v>2.4900343005469545</v>
      </c>
      <c r="AX51" s="139">
        <f>'2. Consolidated'!BL92</f>
        <v>0.85571205007824724</v>
      </c>
      <c r="AY51" s="139">
        <f>'2. Consolidated'!BM92</f>
        <v>0.69932262920220767</v>
      </c>
      <c r="AZ51" s="139">
        <f>'2. Consolidated'!BN92</f>
        <v>0.78348831364664495</v>
      </c>
      <c r="BA51" s="139">
        <f>'2. Consolidated'!BO92</f>
        <v>-0.50780998907244324</v>
      </c>
      <c r="BB51" s="140">
        <f>'2. Consolidated'!BP92</f>
        <v>1.854492680464412</v>
      </c>
      <c r="BC51" s="139">
        <f>'2. Consolidated'!BQ92</f>
        <v>0.95273959706270006</v>
      </c>
      <c r="BD51" s="139">
        <f>'2. Consolidated'!BR92</f>
        <v>0.77726001863932903</v>
      </c>
      <c r="BE51" s="139">
        <f>'2. Consolidated'!BS92</f>
        <v>0.89615931721194875</v>
      </c>
      <c r="BF51" s="139">
        <f>'2. Consolidated'!BT92</f>
        <v>0.93442318409808656</v>
      </c>
      <c r="BG51" s="140">
        <f>'2. Consolidated'!BU92</f>
        <v>3.5601280576881233</v>
      </c>
      <c r="BH51" s="139">
        <f>'2. Consolidated'!BV92</f>
        <v>1.1570758211904175</v>
      </c>
      <c r="BI51" s="139">
        <f>'2. Consolidated'!BW92</f>
        <v>0.82663534067021138</v>
      </c>
      <c r="BJ51" s="139">
        <f>'2. Consolidated'!BX92</f>
        <v>0.8667039175513751</v>
      </c>
      <c r="BK51" s="139">
        <f>'2. Consolidated'!BY92</f>
        <v>0.90219435736677112</v>
      </c>
      <c r="BL51" s="140">
        <f>'2. Consolidated'!BZ92</f>
        <v>3.7537057444860076</v>
      </c>
      <c r="BM51" s="139">
        <f>'2. Consolidated'!CA92</f>
        <v>0.92571572707781569</v>
      </c>
      <c r="BN51" s="139">
        <f>'2. Consolidated'!CB92</f>
        <v>0.84647672348003045</v>
      </c>
      <c r="BO51" s="139">
        <f>'2. Consolidated'!CC92</f>
        <v>0.79243353783231085</v>
      </c>
      <c r="BP51" s="139">
        <f>'2. Consolidated'!CD92</f>
        <v>0.6624686757051983</v>
      </c>
      <c r="BQ51" s="140">
        <f>'2. Consolidated'!CE92</f>
        <v>3.2296593569346901</v>
      </c>
      <c r="BR51" s="139">
        <f>'2. Consolidated'!CF92</f>
        <v>0.93954513056437505</v>
      </c>
      <c r="BS51" s="139">
        <f>'2. Consolidated'!CG92</f>
        <v>1.0299588799686705</v>
      </c>
      <c r="BT51" s="139">
        <f>'2. Consolidated'!CH92</f>
        <v>0.98198493285293154</v>
      </c>
      <c r="BU51" s="139">
        <f>'2. Consolidated'!CI92</f>
        <v>1.0054724071998418</v>
      </c>
      <c r="BV51" s="140">
        <f>'2. Consolidated'!CJ92</f>
        <v>3.9564606282482924</v>
      </c>
      <c r="BW51" s="139">
        <f>'2. Consolidated'!CK92</f>
        <v>0.69973368841544603</v>
      </c>
      <c r="BX51" s="139">
        <f>'2. Consolidated'!CL92</f>
        <v>0.7805369127516778</v>
      </c>
      <c r="BY51" s="139">
        <f>'2. Consolidated'!CM92</f>
        <v>0.53626908010266117</v>
      </c>
      <c r="BZ51" s="139">
        <f>'2. Consolidated'!CN92</f>
        <v>0.14278947012248763</v>
      </c>
      <c r="CA51" s="140">
        <f>'2. Consolidated'!CO92</f>
        <v>2.1639245080079994</v>
      </c>
      <c r="CB51" s="139">
        <f>'2. Consolidated'!CP92</f>
        <v>0.49154834347532117</v>
      </c>
      <c r="CC51" s="139">
        <f>'2. Consolidated'!CQ92</f>
        <v>0.53477380148548281</v>
      </c>
      <c r="CD51" s="139">
        <f>'2. Consolidated'!CR92</f>
        <v>0.35097192224622031</v>
      </c>
      <c r="CE51" s="139">
        <f>'2. Consolidated'!CS92</f>
        <v>0.72088475284914688</v>
      </c>
      <c r="CF51" s="140">
        <f>'2. Consolidated'!CT92</f>
        <v>2.098404928685965</v>
      </c>
      <c r="CG51" s="139">
        <f>'2. Consolidated'!CU92</f>
        <v>0.47971971432421506</v>
      </c>
      <c r="CH51" s="139">
        <f>'2. Consolidated'!CV92</f>
        <v>0.36431432010212855</v>
      </c>
      <c r="CI51" s="139">
        <f>'2. Consolidated'!CW92</f>
        <v>0.2810100927816539</v>
      </c>
      <c r="CJ51" s="139">
        <f>'2. Consolidated'!CX92</f>
        <v>0.14233691576816257</v>
      </c>
      <c r="CK51" s="140">
        <f>'2. Consolidated'!CY92</f>
        <v>1.2706939916620648</v>
      </c>
      <c r="CL51" s="139">
        <f>'2. Consolidated'!CZ92</f>
        <v>0.45092278243632544</v>
      </c>
      <c r="CM51" s="139">
        <f>'2. Consolidated'!DA92</f>
        <v>0.32814715359340202</v>
      </c>
      <c r="CN51" s="139">
        <f>'2. Consolidated'!DB92</f>
        <v>0.28006283005872251</v>
      </c>
      <c r="CO51" s="139">
        <f>'2. Consolidated'!DC92</f>
        <v>0.14087922092339616</v>
      </c>
      <c r="CP51" s="140">
        <f>'2. Consolidated'!DD92</f>
        <v>1.1998695377780955</v>
      </c>
      <c r="CQ51" s="139">
        <f>'2. Consolidated'!DE92</f>
        <v>0.48758847596522858</v>
      </c>
      <c r="CR51" s="139">
        <f>'2. Consolidated'!DF92</f>
        <v>0.36489162762975652</v>
      </c>
      <c r="CS51" s="139">
        <f>'2. Consolidated'!DG92</f>
        <v>0.31729905594406682</v>
      </c>
      <c r="CT51" s="139">
        <f>'2. Consolidated'!DH92</f>
        <v>0.17384434776763616</v>
      </c>
      <c r="CU51" s="140">
        <f>'2. Consolidated'!DI92</f>
        <v>1.3452124803905838</v>
      </c>
    </row>
    <row r="52" spans="2:99" ht="15" customHeight="1">
      <c r="B52" s="199" t="s">
        <v>215</v>
      </c>
      <c r="C52" s="196"/>
      <c r="D52" s="141" t="s">
        <v>126</v>
      </c>
      <c r="E52" s="142" t="s">
        <v>126</v>
      </c>
      <c r="F52" s="142" t="s">
        <v>126</v>
      </c>
      <c r="G52" s="142" t="s">
        <v>126</v>
      </c>
      <c r="H52" s="143" t="s">
        <v>126</v>
      </c>
      <c r="I52" s="133">
        <f>+I51/D51-1</f>
        <v>0.18863426263805816</v>
      </c>
      <c r="J52" s="133">
        <f>+J51/E51-1</f>
        <v>6.8211124120165945E-2</v>
      </c>
      <c r="K52" s="133">
        <f>+K51/F51-1</f>
        <v>0.10971722986203836</v>
      </c>
      <c r="L52" s="133">
        <f>+L51/G51-1</f>
        <v>-5.4828351880263915E-2</v>
      </c>
      <c r="M52" s="134">
        <f>+M51/H51-1</f>
        <v>7.7466306696628129E-2</v>
      </c>
      <c r="N52" s="197"/>
      <c r="O52" s="198">
        <f>+O51/I51-1</f>
        <v>-7.8438795745447876E-2</v>
      </c>
      <c r="P52" s="198">
        <f>+P51/J51-1</f>
        <v>0.1353293136345679</v>
      </c>
      <c r="Q52" s="133">
        <f>+Q51/K51-1</f>
        <v>0.21114793400084619</v>
      </c>
      <c r="R52" s="133">
        <f>+R51/L51-1</f>
        <v>0.28820320641906005</v>
      </c>
      <c r="S52" s="134">
        <f>+S51/M51-1</f>
        <v>0.13045244622469054</v>
      </c>
      <c r="T52" s="133">
        <f t="shared" ref="T52:BB52" si="33">+T51/O51-1</f>
        <v>0.36509018213020661</v>
      </c>
      <c r="U52" s="133">
        <f t="shared" si="33"/>
        <v>3.1839516345063767E-2</v>
      </c>
      <c r="V52" s="133">
        <f t="shared" si="33"/>
        <v>4.1213527851458931E-2</v>
      </c>
      <c r="W52" s="133">
        <f t="shared" si="33"/>
        <v>3.216057297535313E-2</v>
      </c>
      <c r="X52" s="134">
        <f t="shared" si="33"/>
        <v>0.11220050396998849</v>
      </c>
      <c r="Y52" s="133">
        <f t="shared" si="33"/>
        <v>0.26905722287454847</v>
      </c>
      <c r="Z52" s="133">
        <f t="shared" si="33"/>
        <v>0.2623581113571869</v>
      </c>
      <c r="AA52" s="133">
        <f t="shared" si="33"/>
        <v>0.18738266310699125</v>
      </c>
      <c r="AB52" s="133">
        <f t="shared" si="33"/>
        <v>0.26094690705298351</v>
      </c>
      <c r="AC52" s="134">
        <f t="shared" si="33"/>
        <v>0.24412905134725382</v>
      </c>
      <c r="AD52" s="133">
        <f t="shared" si="33"/>
        <v>0.23800485945704231</v>
      </c>
      <c r="AE52" s="133">
        <f t="shared" si="33"/>
        <v>0.21092744125310436</v>
      </c>
      <c r="AF52" s="133">
        <f t="shared" si="33"/>
        <v>0.22195804510290063</v>
      </c>
      <c r="AG52" s="133">
        <f t="shared" si="33"/>
        <v>-1.2478517848090176E-3</v>
      </c>
      <c r="AH52" s="134">
        <f t="shared" si="33"/>
        <v>0.1661321862585099</v>
      </c>
      <c r="AI52" s="133">
        <f t="shared" si="33"/>
        <v>8.7702454410827579E-2</v>
      </c>
      <c r="AJ52" s="133">
        <f t="shared" si="33"/>
        <v>0.10948010851950318</v>
      </c>
      <c r="AK52" s="133">
        <f t="shared" si="33"/>
        <v>0.23737694173166424</v>
      </c>
      <c r="AL52" s="133">
        <f t="shared" si="33"/>
        <v>0.22307596756162051</v>
      </c>
      <c r="AM52" s="134">
        <f t="shared" si="33"/>
        <v>0.16131608068004644</v>
      </c>
      <c r="AN52" s="133">
        <f t="shared" si="33"/>
        <v>-0.22487694968426297</v>
      </c>
      <c r="AO52" s="133">
        <f t="shared" si="33"/>
        <v>-7.135858717242427E-2</v>
      </c>
      <c r="AP52" s="133">
        <f t="shared" si="33"/>
        <v>9.5514311464475199E-3</v>
      </c>
      <c r="AQ52" s="133">
        <f t="shared" si="33"/>
        <v>0.15368074173369073</v>
      </c>
      <c r="AR52" s="134">
        <f t="shared" si="33"/>
        <v>-4.1901509576847018E-2</v>
      </c>
      <c r="AS52" s="133">
        <f t="shared" si="33"/>
        <v>0.17936393848056276</v>
      </c>
      <c r="AT52" s="133">
        <f t="shared" si="33"/>
        <v>0.13169370293985838</v>
      </c>
      <c r="AU52" s="133">
        <f t="shared" si="33"/>
        <v>1.359684543774442E-3</v>
      </c>
      <c r="AV52" s="133">
        <f t="shared" si="33"/>
        <v>-0.1119317294290314</v>
      </c>
      <c r="AW52" s="134">
        <f t="shared" si="33"/>
        <v>3.7121591556981359E-2</v>
      </c>
      <c r="AX52" s="133">
        <f t="shared" si="33"/>
        <v>0.28074704638084924</v>
      </c>
      <c r="AY52" s="133">
        <f t="shared" si="33"/>
        <v>0.33812536617239419</v>
      </c>
      <c r="AZ52" s="133">
        <f t="shared" si="33"/>
        <v>0.14541579441020858</v>
      </c>
      <c r="BA52" s="133">
        <f t="shared" si="33"/>
        <v>-1.8253837790029852</v>
      </c>
      <c r="BB52" s="134">
        <f t="shared" si="33"/>
        <v>-0.2552340824955468</v>
      </c>
      <c r="BC52" s="133">
        <f t="shared" ref="BC52:BL52" si="34">+BC51/AX51-1</f>
        <v>0.11338808069324324</v>
      </c>
      <c r="BD52" s="133">
        <f t="shared" si="34"/>
        <v>0.11144697194488451</v>
      </c>
      <c r="BE52" s="133">
        <f t="shared" si="34"/>
        <v>0.14380687191221941</v>
      </c>
      <c r="BF52" s="133">
        <f t="shared" si="34"/>
        <v>-2.8401039841789792</v>
      </c>
      <c r="BG52" s="134">
        <f t="shared" si="34"/>
        <v>0.91973152290715809</v>
      </c>
      <c r="BH52" s="133">
        <f t="shared" si="34"/>
        <v>0.21447227002812408</v>
      </c>
      <c r="BI52" s="133">
        <f t="shared" si="34"/>
        <v>6.3524844771147171E-2</v>
      </c>
      <c r="BJ52" s="133">
        <f t="shared" si="34"/>
        <v>-3.2868485652989277E-2</v>
      </c>
      <c r="BK52" s="133">
        <f t="shared" si="34"/>
        <v>-3.4490611191783538E-2</v>
      </c>
      <c r="BL52" s="134">
        <f t="shared" si="34"/>
        <v>5.4373798824413511E-2</v>
      </c>
      <c r="BM52" s="133">
        <f t="shared" ref="BM52" si="35">+BM51/BH51-1</f>
        <v>-0.19995240577629125</v>
      </c>
      <c r="BN52" s="133">
        <f t="shared" ref="BN52" si="36">+BN51/BI51-1</f>
        <v>2.4002582316081877E-2</v>
      </c>
      <c r="BO52" s="133">
        <f t="shared" ref="BO52" si="37">+BO51/BJ51-1</f>
        <v>-8.5692908748923213E-2</v>
      </c>
      <c r="BP52" s="133">
        <f t="shared" ref="BP52" si="38">+BP51/BK51-1</f>
        <v>-0.26571401129270933</v>
      </c>
      <c r="BQ52" s="134">
        <f t="shared" ref="BQ52" si="39">+BQ51/BL51-1</f>
        <v>-0.13960774318048597</v>
      </c>
      <c r="BR52" s="133">
        <f t="shared" ref="BR52" si="40">+BR51/BM51-1</f>
        <v>1.4939147172333689E-2</v>
      </c>
      <c r="BS52" s="133">
        <f t="shared" ref="BS52" si="41">+BS51/BN51-1</f>
        <v>0.21675983686156108</v>
      </c>
      <c r="BT52" s="133">
        <f t="shared" ref="BT52" si="42">+BT51/BO51-1</f>
        <v>0.23920163139376394</v>
      </c>
      <c r="BU52" s="133">
        <f t="shared" ref="BU52" si="43">+BU51/BP51-1</f>
        <v>0.51776596248798601</v>
      </c>
      <c r="BV52" s="134">
        <f t="shared" ref="BV52" si="44">+BV51/BQ51-1</f>
        <v>0.22503960665480793</v>
      </c>
      <c r="BW52" s="133">
        <f t="shared" ref="BW52" si="45">+BW51/BR51-1</f>
        <v>-0.25524206804720151</v>
      </c>
      <c r="BX52" s="133">
        <f t="shared" ref="BX52" si="46">+BX51/BS51-1</f>
        <v>-0.24216691760022468</v>
      </c>
      <c r="BY52" s="133">
        <f t="shared" ref="BY52" si="47">+BY51/BT51-1</f>
        <v>-0.45389276132307388</v>
      </c>
      <c r="BZ52" s="133">
        <f t="shared" ref="BZ52" si="48">+BZ51/BU51-1</f>
        <v>-0.85798767912473639</v>
      </c>
      <c r="CA52" s="134">
        <f t="shared" ref="CA52" si="49">+CA51/BV51-1</f>
        <v>-0.45306557771407208</v>
      </c>
      <c r="CB52" s="133">
        <f t="shared" ref="CB52" si="50">+CB51/BW51-1</f>
        <v>-0.29752082597532592</v>
      </c>
      <c r="CC52" s="133">
        <f t="shared" ref="CC52" si="51">+CC51/BX51-1</f>
        <v>-0.3148641752249618</v>
      </c>
      <c r="CD52" s="133">
        <f t="shared" ref="CD52" si="52">+CD51/BY51-1</f>
        <v>-0.34553019133784169</v>
      </c>
      <c r="CE52" s="133">
        <f t="shared" ref="CE52" si="53">+CE51/BZ51-1</f>
        <v>4.0485848307354715</v>
      </c>
      <c r="CF52" s="134">
        <f t="shared" ref="CF52" si="54">+CF51/CA51-1</f>
        <v>-3.0278126191356169E-2</v>
      </c>
      <c r="CG52" s="133">
        <f t="shared" ref="CG52" si="55">+CG51/CB51-1</f>
        <v>-2.4064019964905037E-2</v>
      </c>
      <c r="CH52" s="133">
        <f t="shared" ref="CH52" si="56">+CH51/CC51-1</f>
        <v>-0.31875062112215613</v>
      </c>
      <c r="CI52" s="133">
        <f t="shared" ref="CI52" si="57">+CI51/CD51-1</f>
        <v>-0.19933739718211851</v>
      </c>
      <c r="CJ52" s="133">
        <f t="shared" ref="CJ52" si="58">+CJ51/CE51-1</f>
        <v>-0.80255246735958063</v>
      </c>
      <c r="CK52" s="134">
        <f t="shared" ref="CK52" si="59">+CK51/CF51-1</f>
        <v>-0.39444767104231793</v>
      </c>
      <c r="CL52" s="133">
        <f t="shared" ref="CL52" si="60">+CL51/CG51-1</f>
        <v>-6.0028660544951928E-2</v>
      </c>
      <c r="CM52" s="133">
        <f t="shared" ref="CM52" si="61">+CM51/CH51-1</f>
        <v>-9.9274622250884237E-2</v>
      </c>
      <c r="CN52" s="133">
        <f t="shared" ref="CN52" si="62">+CN51/CI51-1</f>
        <v>-3.3709206440047934E-3</v>
      </c>
      <c r="CO52" s="133">
        <f t="shared" ref="CO52" si="63">+CO51/CJ51-1</f>
        <v>-1.0241158008093221E-2</v>
      </c>
      <c r="CP52" s="134">
        <f t="shared" ref="CP52" si="64">+CP51/CK51-1</f>
        <v>-5.5736829125422327E-2</v>
      </c>
      <c r="CQ52" s="133">
        <f t="shared" ref="CQ52" si="65">+CQ51/CL51-1</f>
        <v>8.1312577135267405E-2</v>
      </c>
      <c r="CR52" s="133">
        <f t="shared" ref="CR52" si="66">+CR51/CM51-1</f>
        <v>0.11197559885551689</v>
      </c>
      <c r="CS52" s="133">
        <f t="shared" ref="CS52" si="67">+CS51/CN51-1</f>
        <v>0.13295668646045167</v>
      </c>
      <c r="CT52" s="133">
        <f t="shared" ref="CT52" si="68">+CT51/CO51-1</f>
        <v>0.23399566400331651</v>
      </c>
      <c r="CU52" s="134">
        <f t="shared" ref="CU52" si="69">+CU51/CP51-1</f>
        <v>0.12113228816662258</v>
      </c>
    </row>
    <row r="53" spans="2:99" ht="15" customHeight="1">
      <c r="B53" s="76" t="s">
        <v>12</v>
      </c>
      <c r="C53" s="76"/>
      <c r="D53" s="138">
        <f>'2. Consolidated'!R94</f>
        <v>0.2860212853049528</v>
      </c>
      <c r="E53" s="139">
        <f>'2. Consolidated'!S94</f>
        <v>0.23431091058244474</v>
      </c>
      <c r="F53" s="139">
        <f>'2. Consolidated'!T94</f>
        <v>0.26930998970133885</v>
      </c>
      <c r="G53" s="139">
        <f>'2. Consolidated'!U94</f>
        <v>0.31021516607478589</v>
      </c>
      <c r="H53" s="140">
        <f>'2. Consolidated'!V94</f>
        <v>1.0978999382334775</v>
      </c>
      <c r="I53" s="139">
        <f>'2. Consolidated'!W94</f>
        <v>0.33997469955724224</v>
      </c>
      <c r="J53" s="139">
        <f>'2. Consolidated'!X94</f>
        <v>0.25029352118689296</v>
      </c>
      <c r="K53" s="139">
        <f>'2. Consolidated'!Y94</f>
        <v>0.29885793574554381</v>
      </c>
      <c r="L53" s="139">
        <f>'2. Consolidated'!Z94</f>
        <v>0.29320657979064302</v>
      </c>
      <c r="M53" s="140">
        <f>'2. Consolidated'!AA94</f>
        <v>1.1829501915708811</v>
      </c>
      <c r="N53" s="140">
        <f>'2. Consolidated'!AB94</f>
        <v>1.2010429970200085</v>
      </c>
      <c r="O53" s="139">
        <f>'2. Consolidated'!AC94</f>
        <v>0.30361757105943155</v>
      </c>
      <c r="P53" s="139">
        <f>'2. Consolidated'!AD94</f>
        <v>0.20915462111257119</v>
      </c>
      <c r="Q53" s="139">
        <f>'2. Consolidated'!AE94</f>
        <v>0.47384007897334646</v>
      </c>
      <c r="R53" s="139">
        <f>'2. Consolidated'!AF94</f>
        <v>0.3623823078607401</v>
      </c>
      <c r="S53" s="140">
        <f>'2. Consolidated'!AG94</f>
        <v>1.34872656642151</v>
      </c>
      <c r="T53" s="139">
        <f>'2. Consolidated'!AH94</f>
        <v>0.42769298341934775</v>
      </c>
      <c r="U53" s="139">
        <f>'2. Consolidated'!AI94</f>
        <v>0.29321326597847575</v>
      </c>
      <c r="V53" s="139">
        <f>'2. Consolidated'!AJ94</f>
        <v>0.37687886825817862</v>
      </c>
      <c r="W53" s="139">
        <f>'2. Consolidated'!AK94</f>
        <v>0.38985701519213584</v>
      </c>
      <c r="X53" s="140">
        <f>'2. Consolidated'!AL94</f>
        <v>1.4873111865904509</v>
      </c>
      <c r="Y53" s="139">
        <f>'2. Consolidated'!AM94</f>
        <v>0.54276686978108779</v>
      </c>
      <c r="Z53" s="139">
        <f>'2. Consolidated'!AN94</f>
        <v>0.37014014466546113</v>
      </c>
      <c r="AA53" s="139">
        <f>'2. Consolidated'!AO94</f>
        <v>0.44749943426114508</v>
      </c>
      <c r="AB53" s="139">
        <f>'2. Consolidated'!AP94</f>
        <v>0.49158899749943169</v>
      </c>
      <c r="AC53" s="140">
        <f>'2. Consolidated'!AQ94</f>
        <v>1.8504070556309362</v>
      </c>
      <c r="AD53" s="139">
        <f>'2. Consolidated'!AR94</f>
        <v>0.67194802234127438</v>
      </c>
      <c r="AE53" s="139">
        <f>'2. Consolidated'!AS94</f>
        <v>0.44821285828480073</v>
      </c>
      <c r="AF53" s="139">
        <f>'2. Consolidated'!AT94</f>
        <v>0.5468255338744028</v>
      </c>
      <c r="AG53" s="139">
        <f>'2. Consolidated'!AU94</f>
        <v>0.49097556729150954</v>
      </c>
      <c r="AH53" s="140">
        <f>'2. Consolidated'!AV94</f>
        <v>2.1578192252510759</v>
      </c>
      <c r="AI53" s="139">
        <f>'2. Consolidated'!AW94</f>
        <v>0.73087951313710575</v>
      </c>
      <c r="AJ53" s="139">
        <f>'2. Consolidated'!AX94</f>
        <v>0.49728325064965745</v>
      </c>
      <c r="AK53" s="139">
        <f>'2. Consolidated'!AY94</f>
        <v>0.67662930676629307</v>
      </c>
      <c r="AL53" s="139">
        <f>'2. Consolidated'!AZ94</f>
        <v>0.60050041701417856</v>
      </c>
      <c r="AM53" s="140">
        <f>'2. Consolidated'!BA94</f>
        <v>2.5059101654846336</v>
      </c>
      <c r="AN53" s="139">
        <f>'2. Consolidated'!BB94</f>
        <v>0.56652155763611423</v>
      </c>
      <c r="AO53" s="139">
        <f>'2. Consolidated'!BC94</f>
        <v>0.46179782045878737</v>
      </c>
      <c r="AP53" s="139">
        <f>'2. Consolidated'!BD94</f>
        <v>-0.56729288574068382</v>
      </c>
      <c r="AQ53" s="139">
        <f>'2. Consolidated'!BE94</f>
        <v>0.69278576651230805</v>
      </c>
      <c r="AR53" s="140">
        <f>'2. Consolidated'!BF94</f>
        <v>1.1710715638015903</v>
      </c>
      <c r="AS53" s="139">
        <f>'2. Consolidated'!BG94</f>
        <v>0.66813509544787075</v>
      </c>
      <c r="AT53" s="139">
        <f>'2. Consolidated'!BH94</f>
        <v>0.52261368544456099</v>
      </c>
      <c r="AU53" s="139">
        <f>'2. Consolidated'!BI94</f>
        <v>0.68402087475149109</v>
      </c>
      <c r="AV53" s="139">
        <f>'2. Consolidated'!BJ94</f>
        <v>0.61524105754276825</v>
      </c>
      <c r="AW53" s="140">
        <f>'2. Consolidated'!BK94</f>
        <v>2.4900343005469545</v>
      </c>
      <c r="AX53" s="139">
        <f>'2. Consolidated'!BL94</f>
        <v>0.85571205007824724</v>
      </c>
      <c r="AY53" s="139">
        <f>'2. Consolidated'!BM94</f>
        <v>0.69932262920220767</v>
      </c>
      <c r="AZ53" s="139">
        <f>'2. Consolidated'!BN94</f>
        <v>0.53216888665493856</v>
      </c>
      <c r="BA53" s="139">
        <f>'2. Consolidated'!BO94</f>
        <v>-0.50780998907244324</v>
      </c>
      <c r="BB53" s="140">
        <f>'2. Consolidated'!BP94</f>
        <v>1.6020949015648662</v>
      </c>
      <c r="BC53" s="139">
        <f>'2. Consolidated'!BQ94</f>
        <v>0.95273959706270006</v>
      </c>
      <c r="BD53" s="139">
        <f>'2. Consolidated'!BR94</f>
        <v>0.77726001863932903</v>
      </c>
      <c r="BE53" s="139">
        <f>'2. Consolidated'!BS94</f>
        <v>0.89615931721194875</v>
      </c>
      <c r="BF53" s="139">
        <f>'2. Consolidated'!BT94</f>
        <v>0.93442318409808656</v>
      </c>
      <c r="BG53" s="140">
        <f>'2. Consolidated'!BU94</f>
        <v>3.5601280576881233</v>
      </c>
      <c r="BH53" s="139">
        <f>'2. Consolidated'!BV94</f>
        <v>1.1570758211904175</v>
      </c>
      <c r="BI53" s="139">
        <f>'2. Consolidated'!BW94</f>
        <v>0.82663534067021138</v>
      </c>
      <c r="BJ53" s="139">
        <f>'2. Consolidated'!BX94</f>
        <v>0.8667039175513751</v>
      </c>
      <c r="BK53" s="139">
        <f>'2. Consolidated'!BY94</f>
        <v>0.90219435736677112</v>
      </c>
      <c r="BL53" s="140">
        <f>'2. Consolidated'!BZ94</f>
        <v>3.7537057444860076</v>
      </c>
      <c r="BM53" s="139">
        <f>'2. Consolidated'!CA94</f>
        <v>0.92571572707781569</v>
      </c>
      <c r="BN53" s="139">
        <f>'2. Consolidated'!CB94</f>
        <v>0.84647672348003045</v>
      </c>
      <c r="BO53" s="139">
        <f>'2. Consolidated'!CC94</f>
        <v>0.79243353783231085</v>
      </c>
      <c r="BP53" s="139">
        <f>'2. Consolidated'!CD94</f>
        <v>0.6624686757051983</v>
      </c>
      <c r="BQ53" s="140">
        <f>'2. Consolidated'!CE94</f>
        <v>3.2296593569346901</v>
      </c>
      <c r="BR53" s="139">
        <f>'2. Consolidated'!CF94</f>
        <v>0.93954513056437505</v>
      </c>
      <c r="BS53" s="139">
        <f>'2. Consolidated'!CG94</f>
        <v>1.0299588799686705</v>
      </c>
      <c r="BT53" s="139">
        <f>'2. Consolidated'!CH94</f>
        <v>0.76776940714051756</v>
      </c>
      <c r="BU53" s="139">
        <f>'2. Consolidated'!CI94</f>
        <v>0.98898925298345097</v>
      </c>
      <c r="BV53" s="140">
        <f>'2. Consolidated'!CJ94</f>
        <v>3.7263426273984246</v>
      </c>
      <c r="BW53" s="139">
        <f>'2. Consolidated'!CK94</f>
        <v>0.69973368841544603</v>
      </c>
      <c r="BX53" s="139">
        <f>'2. Consolidated'!CL94</f>
        <v>0.7805369127516778</v>
      </c>
      <c r="BY53" s="139">
        <f>'2. Consolidated'!CM94</f>
        <v>0.53626908010266117</v>
      </c>
      <c r="BZ53" s="139">
        <f>'2. Consolidated'!CN94</f>
        <v>0.14278947012248763</v>
      </c>
      <c r="CA53" s="140">
        <f>'2. Consolidated'!CO94</f>
        <v>2.1639245080079994</v>
      </c>
      <c r="CB53" s="139">
        <f>'2. Consolidated'!CP94</f>
        <v>0.49154834347532117</v>
      </c>
      <c r="CC53" s="139">
        <f>'2. Consolidated'!CQ94</f>
        <v>0.53477380148548281</v>
      </c>
      <c r="CD53" s="139">
        <f>'2. Consolidated'!CR94</f>
        <v>0.35097192224622031</v>
      </c>
      <c r="CE53" s="139">
        <f>'2. Consolidated'!CS94</f>
        <v>0.72088475284914688</v>
      </c>
      <c r="CF53" s="140">
        <f>'2. Consolidated'!CT94</f>
        <v>2.098404928685965</v>
      </c>
      <c r="CG53" s="139">
        <f>'2. Consolidated'!CU94</f>
        <v>0.47971971432421506</v>
      </c>
      <c r="CH53" s="139">
        <f>'2. Consolidated'!CV94</f>
        <v>0.31431432010212856</v>
      </c>
      <c r="CI53" s="139">
        <f>'2. Consolidated'!CW94</f>
        <v>0.23101009278165391</v>
      </c>
      <c r="CJ53" s="139">
        <f>'2. Consolidated'!CX94</f>
        <v>9.2336915768162581E-2</v>
      </c>
      <c r="CK53" s="140">
        <f>'2. Consolidated'!CY94</f>
        <v>1.1214679230099938</v>
      </c>
      <c r="CL53" s="139">
        <f>'2. Consolidated'!CZ94</f>
        <v>0.4251597022842315</v>
      </c>
      <c r="CM53" s="139">
        <f>'2. Consolidated'!DA94</f>
        <v>0.30238692890970559</v>
      </c>
      <c r="CN53" s="139">
        <f>'2. Consolidated'!DB94</f>
        <v>0.25430436349936841</v>
      </c>
      <c r="CO53" s="139">
        <f>'2. Consolidated'!DC94</f>
        <v>0.11513911731149273</v>
      </c>
      <c r="CP53" s="140">
        <f>'2. Consolidated'!DD94</f>
        <v>1.0968476754186616</v>
      </c>
      <c r="CQ53" s="139">
        <f>'2. Consolidated'!DE94</f>
        <v>0.46180350913239299</v>
      </c>
      <c r="CR53" s="139">
        <f>'2. Consolidated'!DF94</f>
        <v>0.33901667548814524</v>
      </c>
      <c r="CS53" s="139">
        <f>'2. Consolidated'!DG94</f>
        <v>0.291352179127286</v>
      </c>
      <c r="CT53" s="139">
        <f>'2. Consolidated'!DH94</f>
        <v>0.14780779456652016</v>
      </c>
      <c r="CU53" s="140">
        <f>'2. Consolidated'!DI94</f>
        <v>1.2415704526611424</v>
      </c>
    </row>
    <row r="54" spans="2:99" ht="15" customHeight="1">
      <c r="B54" s="78" t="s">
        <v>304</v>
      </c>
      <c r="C54" s="78"/>
      <c r="D54" s="153"/>
      <c r="E54" s="154"/>
      <c r="F54" s="154"/>
      <c r="G54" s="154"/>
      <c r="H54" s="155"/>
      <c r="I54" s="154"/>
      <c r="J54" s="154"/>
      <c r="K54" s="154"/>
      <c r="L54" s="154"/>
      <c r="M54" s="155"/>
      <c r="N54" s="155"/>
      <c r="O54" s="154"/>
      <c r="P54" s="154"/>
      <c r="Q54" s="154"/>
      <c r="R54" s="154"/>
      <c r="S54" s="155"/>
      <c r="T54" s="154"/>
      <c r="U54" s="154"/>
      <c r="V54" s="154"/>
      <c r="W54" s="154"/>
      <c r="X54" s="155"/>
      <c r="Y54" s="154"/>
      <c r="Z54" s="154"/>
      <c r="AA54" s="154"/>
      <c r="AB54" s="154"/>
      <c r="AC54" s="155"/>
      <c r="AD54" s="154"/>
      <c r="AE54" s="154"/>
      <c r="AF54" s="154"/>
      <c r="AG54" s="154"/>
      <c r="AH54" s="155"/>
      <c r="AI54" s="154"/>
      <c r="AJ54" s="154"/>
      <c r="AK54" s="154"/>
      <c r="AL54" s="154"/>
      <c r="AM54" s="155"/>
      <c r="AN54" s="154"/>
      <c r="AO54" s="154"/>
      <c r="AP54" s="154"/>
      <c r="AQ54" s="154"/>
      <c r="AR54" s="155"/>
      <c r="AS54" s="154"/>
      <c r="AT54" s="154"/>
      <c r="AU54" s="154"/>
      <c r="AV54" s="154"/>
      <c r="AW54" s="155"/>
      <c r="AX54" s="154"/>
      <c r="AY54" s="154"/>
      <c r="AZ54" s="154"/>
      <c r="BA54" s="154"/>
      <c r="BB54" s="155"/>
      <c r="BC54" s="154"/>
      <c r="BD54" s="154"/>
      <c r="BE54" s="154"/>
      <c r="BF54" s="154"/>
      <c r="BG54" s="155"/>
      <c r="BH54" s="154"/>
      <c r="BI54" s="154"/>
      <c r="BJ54" s="154"/>
      <c r="BK54" s="154"/>
      <c r="BL54" s="155"/>
      <c r="BM54" s="154"/>
      <c r="BN54" s="154"/>
      <c r="BO54" s="154"/>
      <c r="BP54" s="154"/>
      <c r="BQ54" s="155"/>
      <c r="BR54" s="154"/>
      <c r="BS54" s="154"/>
      <c r="BT54" s="154"/>
      <c r="BU54" s="154"/>
      <c r="BV54" s="155"/>
      <c r="BW54" s="154"/>
      <c r="BX54" s="154"/>
      <c r="BY54" s="154"/>
      <c r="BZ54" s="154"/>
      <c r="CA54" s="155"/>
      <c r="CB54" s="154"/>
      <c r="CC54" s="154"/>
      <c r="CD54" s="154"/>
      <c r="CE54" s="154"/>
      <c r="CF54" s="155"/>
      <c r="CG54" s="154"/>
      <c r="CH54" s="154"/>
      <c r="CI54" s="154"/>
      <c r="CJ54" s="154"/>
      <c r="CK54" s="155"/>
      <c r="CL54" s="154"/>
      <c r="CM54" s="154"/>
      <c r="CN54" s="154"/>
      <c r="CO54" s="154"/>
      <c r="CP54" s="155"/>
      <c r="CQ54" s="154"/>
      <c r="CR54" s="154"/>
      <c r="CS54" s="154"/>
      <c r="CT54" s="154"/>
      <c r="CU54" s="155"/>
    </row>
    <row r="55" spans="2:99" ht="15" customHeight="1">
      <c r="B55" s="74" t="s">
        <v>23</v>
      </c>
      <c r="C55" s="74"/>
      <c r="D55" s="123">
        <f>'2. Consolidated'!R122</f>
        <v>211.99999999999977</v>
      </c>
      <c r="E55" s="124">
        <f>'2. Consolidated'!S122</f>
        <v>435.00000000000023</v>
      </c>
      <c r="F55" s="124">
        <f>'2. Consolidated'!T122</f>
        <v>323</v>
      </c>
      <c r="G55" s="124">
        <f>'2. Consolidated'!U122</f>
        <v>842</v>
      </c>
      <c r="H55" s="125">
        <f>'2. Consolidated'!V122</f>
        <v>1812</v>
      </c>
      <c r="I55" s="124">
        <f>'2. Consolidated'!W122</f>
        <v>87</v>
      </c>
      <c r="J55" s="124">
        <f>'2. Consolidated'!X122</f>
        <v>510</v>
      </c>
      <c r="K55" s="124">
        <f>'2. Consolidated'!Y122</f>
        <v>328</v>
      </c>
      <c r="L55" s="124">
        <f>'2. Consolidated'!Z122</f>
        <v>974</v>
      </c>
      <c r="M55" s="125">
        <f>'2. Consolidated'!AA122</f>
        <v>1899</v>
      </c>
      <c r="N55" s="125">
        <f>'2. Consolidated'!AB122</f>
        <v>0</v>
      </c>
      <c r="O55" s="124">
        <f>'2. Consolidated'!AC122</f>
        <v>535</v>
      </c>
      <c r="P55" s="124">
        <f>'2. Consolidated'!AD122</f>
        <v>710</v>
      </c>
      <c r="Q55" s="124">
        <f>'2. Consolidated'!AE122</f>
        <v>423</v>
      </c>
      <c r="R55" s="124">
        <f>'2. Consolidated'!AF122</f>
        <v>1359</v>
      </c>
      <c r="S55" s="125">
        <f>'2. Consolidated'!AG122</f>
        <v>3027</v>
      </c>
      <c r="T55" s="124">
        <f>'2. Consolidated'!AH122</f>
        <v>596</v>
      </c>
      <c r="U55" s="124">
        <f>'2. Consolidated'!AI122</f>
        <v>329</v>
      </c>
      <c r="V55" s="124">
        <f>'2. Consolidated'!AJ122</f>
        <v>760</v>
      </c>
      <c r="W55" s="124">
        <f>'2. Consolidated'!AK122</f>
        <v>1318</v>
      </c>
      <c r="X55" s="125">
        <f>'2. Consolidated'!AL122</f>
        <v>3003</v>
      </c>
      <c r="Y55" s="124">
        <f>'2. Consolidated'!AM122</f>
        <v>588</v>
      </c>
      <c r="Z55" s="124">
        <f>'2. Consolidated'!AN122</f>
        <v>647</v>
      </c>
      <c r="AA55" s="124">
        <f>'2. Consolidated'!AO122</f>
        <v>2103</v>
      </c>
      <c r="AB55" s="124">
        <f>'2. Consolidated'!AP122</f>
        <v>1342</v>
      </c>
      <c r="AC55" s="125">
        <f>'2. Consolidated'!AQ122</f>
        <v>4680</v>
      </c>
      <c r="AD55" s="124">
        <f>'2. Consolidated'!AR122</f>
        <v>491</v>
      </c>
      <c r="AE55" s="124">
        <f>'2. Consolidated'!AS122</f>
        <v>545</v>
      </c>
      <c r="AF55" s="124">
        <f>'2. Consolidated'!AT122</f>
        <v>876</v>
      </c>
      <c r="AG55" s="124">
        <f>'2. Consolidated'!AU122</f>
        <v>1184</v>
      </c>
      <c r="AH55" s="125">
        <f>'2. Consolidated'!AV122</f>
        <v>3096</v>
      </c>
      <c r="AI55" s="124">
        <f>'2. Consolidated'!AW122</f>
        <v>721</v>
      </c>
      <c r="AJ55" s="124">
        <f>'2. Consolidated'!AX122</f>
        <v>963</v>
      </c>
      <c r="AK55" s="124">
        <f>'2. Consolidated'!AY122</f>
        <v>1067</v>
      </c>
      <c r="AL55" s="124">
        <f>'2. Consolidated'!AZ122</f>
        <v>889</v>
      </c>
      <c r="AM55" s="125">
        <f>'2. Consolidated'!BA122</f>
        <v>3640</v>
      </c>
      <c r="AN55" s="124">
        <f>'2. Consolidated'!BB122</f>
        <v>575</v>
      </c>
      <c r="AO55" s="124">
        <f>'2. Consolidated'!BC122</f>
        <v>1323</v>
      </c>
      <c r="AP55" s="124">
        <f>'2. Consolidated'!BD122</f>
        <v>787</v>
      </c>
      <c r="AQ55" s="124">
        <f>'2. Consolidated'!BE122</f>
        <v>2270</v>
      </c>
      <c r="AR55" s="125">
        <f>'2. Consolidated'!BF122</f>
        <v>4955</v>
      </c>
      <c r="AS55" s="124">
        <f>'2. Consolidated'!BG122</f>
        <v>1301</v>
      </c>
      <c r="AT55" s="124">
        <f>'2. Consolidated'!BH122</f>
        <v>1524</v>
      </c>
      <c r="AU55" s="124">
        <f>'2. Consolidated'!BI122</f>
        <v>1068</v>
      </c>
      <c r="AV55" s="124">
        <f>'2. Consolidated'!BJ122</f>
        <v>2010</v>
      </c>
      <c r="AW55" s="125">
        <f>'2. Consolidated'!BK122</f>
        <v>5903</v>
      </c>
      <c r="AX55" s="124">
        <f>'2. Consolidated'!BL122</f>
        <v>394</v>
      </c>
      <c r="AY55" s="124">
        <f>'2. Consolidated'!BM122</f>
        <v>912</v>
      </c>
      <c r="AZ55" s="124">
        <f>'2. Consolidated'!BN122</f>
        <v>1180</v>
      </c>
      <c r="BA55" s="124">
        <f>'2. Consolidated'!BO122</f>
        <v>-1</v>
      </c>
      <c r="BB55" s="125">
        <f>'2. Consolidated'!BP122</f>
        <v>2485</v>
      </c>
      <c r="BC55" s="124">
        <f>'2. Consolidated'!BQ122</f>
        <v>882</v>
      </c>
      <c r="BD55" s="124">
        <f>'2. Consolidated'!BR122</f>
        <v>2473</v>
      </c>
      <c r="BE55" s="124">
        <f>'2. Consolidated'!BS122</f>
        <v>1290</v>
      </c>
      <c r="BF55" s="124">
        <f>'2. Consolidated'!BT122</f>
        <v>2012</v>
      </c>
      <c r="BG55" s="125">
        <f>'2. Consolidated'!BU122</f>
        <v>6657</v>
      </c>
      <c r="BH55" s="124">
        <f>'2. Consolidated'!BV122</f>
        <v>1111</v>
      </c>
      <c r="BI55" s="124">
        <f>'2. Consolidated'!BW122</f>
        <v>2757</v>
      </c>
      <c r="BJ55" s="124">
        <f>'2. Consolidated'!BX122</f>
        <v>169</v>
      </c>
      <c r="BK55" s="124">
        <f>'2. Consolidated'!BY122</f>
        <v>1151</v>
      </c>
      <c r="BL55" s="125">
        <f>'2. Consolidated'!BZ122</f>
        <v>5188</v>
      </c>
      <c r="BM55" s="124">
        <f>'2. Consolidated'!CA122</f>
        <v>357</v>
      </c>
      <c r="BN55" s="124">
        <f>'2. Consolidated'!CB122</f>
        <v>1001</v>
      </c>
      <c r="BO55" s="124">
        <f>'2. Consolidated'!CC122</f>
        <v>2230</v>
      </c>
      <c r="BP55" s="124">
        <f>'2. Consolidated'!CD122</f>
        <v>2253</v>
      </c>
      <c r="BQ55" s="125">
        <f>'2. Consolidated'!CE122</f>
        <v>5841</v>
      </c>
      <c r="BR55" s="124">
        <f>'2. Consolidated'!CF122</f>
        <v>-66</v>
      </c>
      <c r="BS55" s="124">
        <f>'2. Consolidated'!CG122</f>
        <v>2817</v>
      </c>
      <c r="BT55" s="124">
        <f>'2. Consolidated'!CH122</f>
        <v>2059</v>
      </c>
      <c r="BU55" s="124">
        <f>'2. Consolidated'!CI122</f>
        <v>2619</v>
      </c>
      <c r="BV55" s="125">
        <f>'2. Consolidated'!CJ122</f>
        <v>7429</v>
      </c>
      <c r="BW55" s="124">
        <f>'2. Consolidated'!CK122</f>
        <v>394</v>
      </c>
      <c r="BX55" s="124">
        <f>'2. Consolidated'!CL122</f>
        <v>1049</v>
      </c>
      <c r="BY55" s="124">
        <f>'2. Consolidated'!CM122</f>
        <v>1792</v>
      </c>
      <c r="BZ55" s="124">
        <f>'2. Consolidated'!CN122</f>
        <v>463</v>
      </c>
      <c r="CA55" s="125">
        <f>'2. Consolidated'!CO122</f>
        <v>3698</v>
      </c>
      <c r="CB55" s="124">
        <f>'2. Consolidated'!CP122</f>
        <v>222</v>
      </c>
      <c r="CC55" s="124">
        <f>'2. Consolidated'!CQ122</f>
        <v>579</v>
      </c>
      <c r="CD55" s="124">
        <f>'2. Consolidated'!CR122</f>
        <v>274.00500000000011</v>
      </c>
      <c r="CE55" s="124">
        <f>'2. Consolidated'!CS122</f>
        <v>1637</v>
      </c>
      <c r="CF55" s="125">
        <f>'2. Consolidated'!CT122</f>
        <v>2712.0050000000001</v>
      </c>
      <c r="CG55" s="124">
        <f>'2. Consolidated'!CU122</f>
        <v>55.27599999999984</v>
      </c>
      <c r="CH55" s="124">
        <f>'2. Consolidated'!CV122</f>
        <v>1150.3273790187163</v>
      </c>
      <c r="CI55" s="124">
        <f>'2. Consolidated'!CW122</f>
        <v>709.01242106573341</v>
      </c>
      <c r="CJ55" s="124">
        <f>'2. Consolidated'!CX122</f>
        <v>484.55209107644373</v>
      </c>
      <c r="CK55" s="125">
        <f>'2. Consolidated'!CY122</f>
        <v>2399.1678911608933</v>
      </c>
      <c r="CL55" s="124">
        <f>'2. Consolidated'!CZ122</f>
        <v>1155.6482648266215</v>
      </c>
      <c r="CM55" s="124">
        <f>'2. Consolidated'!DA122</f>
        <v>918.38882712426016</v>
      </c>
      <c r="CN55" s="124">
        <f>'2. Consolidated'!DB122</f>
        <v>594.676411889782</v>
      </c>
      <c r="CO55" s="124">
        <f>'2. Consolidated'!DC122</f>
        <v>510.2779386342346</v>
      </c>
      <c r="CP55" s="125">
        <f>'2. Consolidated'!DD122</f>
        <v>3178.9914424748986</v>
      </c>
      <c r="CQ55" s="124">
        <f>'2. Consolidated'!DE122</f>
        <v>1035.4207627095534</v>
      </c>
      <c r="CR55" s="124">
        <f>'2. Consolidated'!DF122</f>
        <v>866.2978498783873</v>
      </c>
      <c r="CS55" s="124">
        <f>'2. Consolidated'!DG122</f>
        <v>584.25741956609579</v>
      </c>
      <c r="CT55" s="124">
        <f>'2. Consolidated'!DH122</f>
        <v>493.24394216281644</v>
      </c>
      <c r="CU55" s="125">
        <f>'2. Consolidated'!DI122</f>
        <v>2979.219974316853</v>
      </c>
    </row>
    <row r="56" spans="2:99" ht="15" customHeight="1">
      <c r="B56" s="17" t="s">
        <v>24</v>
      </c>
      <c r="C56" s="17"/>
      <c r="D56" s="123">
        <f>'2. Consolidated'!R124</f>
        <v>-89</v>
      </c>
      <c r="E56" s="124">
        <f>'2. Consolidated'!S124</f>
        <v>-102</v>
      </c>
      <c r="F56" s="124">
        <f>'2. Consolidated'!T124</f>
        <v>-111</v>
      </c>
      <c r="G56" s="124">
        <f>'2. Consolidated'!U124</f>
        <v>-129</v>
      </c>
      <c r="H56" s="125">
        <f>'2. Consolidated'!V124</f>
        <v>-431</v>
      </c>
      <c r="I56" s="124">
        <f>'2. Consolidated'!W124</f>
        <v>-113</v>
      </c>
      <c r="J56" s="124">
        <f>'2. Consolidated'!X124</f>
        <v>-145</v>
      </c>
      <c r="K56" s="124">
        <f>'2. Consolidated'!Y124</f>
        <v>-120</v>
      </c>
      <c r="L56" s="124">
        <f>'2. Consolidated'!Z124</f>
        <v>-217</v>
      </c>
      <c r="M56" s="125">
        <f>'2. Consolidated'!AA124</f>
        <v>-595</v>
      </c>
      <c r="N56" s="125">
        <f>'2. Consolidated'!AB124</f>
        <v>0</v>
      </c>
      <c r="O56" s="124">
        <f>'2. Consolidated'!AC124</f>
        <v>-107</v>
      </c>
      <c r="P56" s="124">
        <f>'2. Consolidated'!AD124</f>
        <v>-143</v>
      </c>
      <c r="Q56" s="124">
        <f>'2. Consolidated'!AE124</f>
        <v>-151</v>
      </c>
      <c r="R56" s="124">
        <f>'2. Consolidated'!AF124</f>
        <v>-235</v>
      </c>
      <c r="S56" s="125">
        <f>'2. Consolidated'!AG124</f>
        <v>-636</v>
      </c>
      <c r="T56" s="124">
        <f>'2. Consolidated'!AH124</f>
        <v>-215</v>
      </c>
      <c r="U56" s="124">
        <f>'2. Consolidated'!AI124</f>
        <v>-213</v>
      </c>
      <c r="V56" s="124">
        <f>'2. Consolidated'!AJ124</f>
        <v>-242</v>
      </c>
      <c r="W56" s="124">
        <f>'2. Consolidated'!AK124</f>
        <v>-207</v>
      </c>
      <c r="X56" s="125">
        <f>'2. Consolidated'!AL124</f>
        <v>-877</v>
      </c>
      <c r="Y56" s="124">
        <f>'2. Consolidated'!AM124</f>
        <v>-262</v>
      </c>
      <c r="Z56" s="124">
        <f>'2. Consolidated'!AN124</f>
        <v>-225</v>
      </c>
      <c r="AA56" s="124">
        <f>'2. Consolidated'!AO124</f>
        <v>-233</v>
      </c>
      <c r="AB56" s="124">
        <f>'2. Consolidated'!AP124</f>
        <v>-240</v>
      </c>
      <c r="AC56" s="125">
        <f>'2. Consolidated'!AQ124</f>
        <v>-960</v>
      </c>
      <c r="AD56" s="124">
        <f>'2. Consolidated'!AR124</f>
        <v>-327</v>
      </c>
      <c r="AE56" s="124">
        <f>'2. Consolidated'!AS124</f>
        <v>-288</v>
      </c>
      <c r="AF56" s="124">
        <f>'2. Consolidated'!AT124</f>
        <v>-286</v>
      </c>
      <c r="AG56" s="124">
        <f>'2. Consolidated'!AU124</f>
        <v>-232</v>
      </c>
      <c r="AH56" s="125">
        <f>'2. Consolidated'!AV124</f>
        <v>-1133</v>
      </c>
      <c r="AI56" s="124">
        <f>'2. Consolidated'!AW124</f>
        <v>-277</v>
      </c>
      <c r="AJ56" s="124">
        <f>'2. Consolidated'!AX124</f>
        <v>-223</v>
      </c>
      <c r="AK56" s="124">
        <f>'2. Consolidated'!AY124</f>
        <v>-263</v>
      </c>
      <c r="AL56" s="124">
        <f>'2. Consolidated'!AZ124</f>
        <v>-342</v>
      </c>
      <c r="AM56" s="125">
        <f>'2. Consolidated'!BA124</f>
        <v>-1105</v>
      </c>
      <c r="AN56" s="124">
        <f>'2. Consolidated'!BB124</f>
        <v>-270</v>
      </c>
      <c r="AO56" s="124">
        <f>'2. Consolidated'!BC124</f>
        <v>-227</v>
      </c>
      <c r="AP56" s="124">
        <f>'2. Consolidated'!BD124</f>
        <v>-231</v>
      </c>
      <c r="AQ56" s="124">
        <f>'2. Consolidated'!BE124</f>
        <v>-300</v>
      </c>
      <c r="AR56" s="125">
        <f>'2. Consolidated'!BF124</f>
        <v>-1028</v>
      </c>
      <c r="AS56" s="124">
        <f>'2. Consolidated'!BG124</f>
        <v>-343</v>
      </c>
      <c r="AT56" s="124">
        <f>'2. Consolidated'!BH124</f>
        <v>-283</v>
      </c>
      <c r="AU56" s="124">
        <f>'2. Consolidated'!BI124</f>
        <v>-220</v>
      </c>
      <c r="AV56" s="124">
        <f>'2. Consolidated'!BJ124</f>
        <v>-273</v>
      </c>
      <c r="AW56" s="125">
        <f>'2. Consolidated'!BK124</f>
        <v>-1119</v>
      </c>
      <c r="AX56" s="124">
        <f>'2. Consolidated'!BL124</f>
        <v>-284</v>
      </c>
      <c r="AY56" s="124">
        <f>'2. Consolidated'!BM124</f>
        <v>-238</v>
      </c>
      <c r="AZ56" s="124">
        <f>'2. Consolidated'!BN124</f>
        <v>-275</v>
      </c>
      <c r="BA56" s="124">
        <f>'2. Consolidated'!BO124</f>
        <v>-289</v>
      </c>
      <c r="BB56" s="125">
        <f>'2. Consolidated'!BP124</f>
        <v>-1086</v>
      </c>
      <c r="BC56" s="124">
        <f>'2. Consolidated'!BQ124</f>
        <v>-176</v>
      </c>
      <c r="BD56" s="124">
        <f>'2. Consolidated'!BR124</f>
        <v>-168</v>
      </c>
      <c r="BE56" s="124">
        <f>'2. Consolidated'!BS124</f>
        <v>-177</v>
      </c>
      <c r="BF56" s="124">
        <f>'2. Consolidated'!BT124</f>
        <v>-174</v>
      </c>
      <c r="BG56" s="125">
        <f>'2. Consolidated'!BU124</f>
        <v>-695</v>
      </c>
      <c r="BH56" s="124">
        <f>'2. Consolidated'!BV124</f>
        <v>-184</v>
      </c>
      <c r="BI56" s="124">
        <f>'2. Consolidated'!BW124</f>
        <v>-178</v>
      </c>
      <c r="BJ56" s="124">
        <f>'2. Consolidated'!BX124</f>
        <v>-154</v>
      </c>
      <c r="BK56" s="124">
        <f>'2. Consolidated'!BY124</f>
        <v>-242</v>
      </c>
      <c r="BL56" s="125">
        <f>'2. Consolidated'!BZ124</f>
        <v>-758</v>
      </c>
      <c r="BM56" s="124">
        <f>'2. Consolidated'!CA124</f>
        <v>-264</v>
      </c>
      <c r="BN56" s="124">
        <f>'2. Consolidated'!CB124</f>
        <v>-236</v>
      </c>
      <c r="BO56" s="124">
        <f>'2. Consolidated'!CC124</f>
        <v>-200</v>
      </c>
      <c r="BP56" s="124">
        <f>'2. Consolidated'!CD124</f>
        <v>-269</v>
      </c>
      <c r="BQ56" s="125">
        <f>'2. Consolidated'!CE124</f>
        <v>-969</v>
      </c>
      <c r="BR56" s="124">
        <f>'2. Consolidated'!CF124</f>
        <v>-253</v>
      </c>
      <c r="BS56" s="124">
        <f>'2. Consolidated'!CG124</f>
        <v>-205</v>
      </c>
      <c r="BT56" s="124">
        <f>'2. Consolidated'!CH124</f>
        <v>-141</v>
      </c>
      <c r="BU56" s="124">
        <f>'2. Consolidated'!CI124</f>
        <v>-213</v>
      </c>
      <c r="BV56" s="125">
        <f>'2. Consolidated'!CJ124</f>
        <v>-812</v>
      </c>
      <c r="BW56" s="124">
        <f>'2. Consolidated'!CK124</f>
        <v>-120</v>
      </c>
      <c r="BX56" s="124">
        <f>'2. Consolidated'!CL124</f>
        <v>-129</v>
      </c>
      <c r="BY56" s="124">
        <f>'2. Consolidated'!CM124</f>
        <v>-81</v>
      </c>
      <c r="BZ56" s="124">
        <f>'2. Consolidated'!CN124</f>
        <v>-100</v>
      </c>
      <c r="CA56" s="125">
        <f>'2. Consolidated'!CO124</f>
        <v>-430</v>
      </c>
      <c r="CB56" s="124">
        <f>'2. Consolidated'!CP124</f>
        <v>-207</v>
      </c>
      <c r="CC56" s="124">
        <f>'2. Consolidated'!CQ124</f>
        <v>-193</v>
      </c>
      <c r="CD56" s="124">
        <f>'2. Consolidated'!CR124</f>
        <v>-81</v>
      </c>
      <c r="CE56" s="124">
        <f>'2. Consolidated'!CS124</f>
        <v>-138</v>
      </c>
      <c r="CF56" s="125">
        <f>'2. Consolidated'!CT124</f>
        <v>-619</v>
      </c>
      <c r="CG56" s="124">
        <f>'2. Consolidated'!CU124</f>
        <v>-207</v>
      </c>
      <c r="CH56" s="124">
        <f>'2. Consolidated'!CV124</f>
        <v>-325</v>
      </c>
      <c r="CI56" s="124">
        <f>'2. Consolidated'!CW124</f>
        <v>-81</v>
      </c>
      <c r="CJ56" s="124">
        <f>'2. Consolidated'!CX124</f>
        <v>-138</v>
      </c>
      <c r="CK56" s="125">
        <f>'2. Consolidated'!CY124</f>
        <v>-751</v>
      </c>
      <c r="CL56" s="124">
        <f>'2. Consolidated'!CZ124</f>
        <v>-207</v>
      </c>
      <c r="CM56" s="124">
        <f>'2. Consolidated'!DA124</f>
        <v>-325</v>
      </c>
      <c r="CN56" s="124">
        <f>'2. Consolidated'!DB124</f>
        <v>-81</v>
      </c>
      <c r="CO56" s="124">
        <f>'2. Consolidated'!DC124</f>
        <v>-138</v>
      </c>
      <c r="CP56" s="125">
        <f>'2. Consolidated'!DD124</f>
        <v>-751</v>
      </c>
      <c r="CQ56" s="124">
        <f>'2. Consolidated'!DE124</f>
        <v>-207</v>
      </c>
      <c r="CR56" s="124">
        <f>'2. Consolidated'!DF124</f>
        <v>-325</v>
      </c>
      <c r="CS56" s="124">
        <f>'2. Consolidated'!DG124</f>
        <v>-81</v>
      </c>
      <c r="CT56" s="124">
        <f>'2. Consolidated'!DH124</f>
        <v>-138</v>
      </c>
      <c r="CU56" s="125">
        <f>'2. Consolidated'!DI124</f>
        <v>-751</v>
      </c>
    </row>
    <row r="57" spans="2:99" ht="15" customHeight="1">
      <c r="B57" s="17" t="s">
        <v>221</v>
      </c>
      <c r="C57" s="17"/>
      <c r="D57" s="123"/>
      <c r="E57" s="124"/>
      <c r="F57" s="124"/>
      <c r="G57" s="124"/>
      <c r="H57" s="125">
        <f>'2. Consolidated'!V131</f>
        <v>-1859</v>
      </c>
      <c r="I57" s="124">
        <f>'2. Consolidated'!W131</f>
        <v>-626</v>
      </c>
      <c r="J57" s="124">
        <f>'2. Consolidated'!X131</f>
        <v>-699</v>
      </c>
      <c r="K57" s="124">
        <f>'2. Consolidated'!Y131</f>
        <v>-260</v>
      </c>
      <c r="L57" s="124">
        <f>'2. Consolidated'!Z131</f>
        <v>-229</v>
      </c>
      <c r="M57" s="125">
        <f>'2. Consolidated'!AA131</f>
        <v>-1814</v>
      </c>
      <c r="N57" s="125">
        <f>'2. Consolidated'!AB131</f>
        <v>0</v>
      </c>
      <c r="O57" s="124">
        <f>'2. Consolidated'!AC131</f>
        <v>-766</v>
      </c>
      <c r="P57" s="124">
        <f>'2. Consolidated'!AD131</f>
        <v>-413</v>
      </c>
      <c r="Q57" s="124">
        <f>'2. Consolidated'!AE131</f>
        <v>-253</v>
      </c>
      <c r="R57" s="124">
        <f>'2. Consolidated'!AF131</f>
        <v>-242</v>
      </c>
      <c r="S57" s="125">
        <f>'2. Consolidated'!AG131</f>
        <v>-1674</v>
      </c>
      <c r="T57" s="124">
        <f>'2. Consolidated'!AH131</f>
        <v>-526</v>
      </c>
      <c r="U57" s="124">
        <f>'2. Consolidated'!AI131</f>
        <v>-402</v>
      </c>
      <c r="V57" s="124">
        <f>'2. Consolidated'!AJ131</f>
        <v>-788</v>
      </c>
      <c r="W57" s="124">
        <f>'2. Consolidated'!AK131</f>
        <v>-912</v>
      </c>
      <c r="X57" s="125">
        <f>'2. Consolidated'!AL131</f>
        <v>-2628</v>
      </c>
      <c r="Y57" s="124">
        <f>'2. Consolidated'!AM131</f>
        <v>-819</v>
      </c>
      <c r="Z57" s="124">
        <f>'2. Consolidated'!AN131</f>
        <v>-424</v>
      </c>
      <c r="AA57" s="124">
        <f>'2. Consolidated'!AO131</f>
        <v>-612</v>
      </c>
      <c r="AB57" s="124">
        <f>'2. Consolidated'!AP131</f>
        <v>-679</v>
      </c>
      <c r="AC57" s="125">
        <f>'2. Consolidated'!AQ131</f>
        <v>-2534</v>
      </c>
      <c r="AD57" s="124">
        <f>'2. Consolidated'!AR131</f>
        <v>-588</v>
      </c>
      <c r="AE57" s="124">
        <f>'2. Consolidated'!AS131</f>
        <v>-652</v>
      </c>
      <c r="AF57" s="124">
        <f>'2. Consolidated'!AT131</f>
        <v>-1458</v>
      </c>
      <c r="AG57" s="124">
        <f>'2. Consolidated'!AU131</f>
        <v>-540</v>
      </c>
      <c r="AH57" s="125">
        <f>'2. Consolidated'!AV131</f>
        <v>-3238</v>
      </c>
      <c r="AI57" s="124">
        <f>'2. Consolidated'!AW131</f>
        <v>-1054</v>
      </c>
      <c r="AJ57" s="124">
        <f>'2. Consolidated'!AX131</f>
        <v>-900</v>
      </c>
      <c r="AK57" s="124">
        <f>'2. Consolidated'!AY131</f>
        <v>-475</v>
      </c>
      <c r="AL57" s="124">
        <f>'2. Consolidated'!AZ131</f>
        <v>-794</v>
      </c>
      <c r="AM57" s="125">
        <f>'2. Consolidated'!BA131</f>
        <v>-3223</v>
      </c>
      <c r="AN57" s="124">
        <f>'2. Consolidated'!BB131</f>
        <v>-804</v>
      </c>
      <c r="AO57" s="124">
        <f>'2. Consolidated'!BC131</f>
        <v>-972</v>
      </c>
      <c r="AP57" s="124">
        <f>'2. Consolidated'!BD131</f>
        <v>-918</v>
      </c>
      <c r="AQ57" s="124">
        <f>'2. Consolidated'!BE131</f>
        <v>-1560</v>
      </c>
      <c r="AR57" s="125">
        <f>'2. Consolidated'!BF131</f>
        <v>-4254</v>
      </c>
      <c r="AS57" s="124">
        <f>'2. Consolidated'!BG131</f>
        <v>-1360</v>
      </c>
      <c r="AT57" s="124">
        <f>'2. Consolidated'!BH131</f>
        <v>-1277</v>
      </c>
      <c r="AU57" s="124">
        <f>'2. Consolidated'!BI131</f>
        <v>-768</v>
      </c>
      <c r="AV57" s="124">
        <f>'2. Consolidated'!BJ131</f>
        <v>-881</v>
      </c>
      <c r="AW57" s="125">
        <f>'2. Consolidated'!BK131</f>
        <v>-4286</v>
      </c>
      <c r="AX57" s="124">
        <f>'2. Consolidated'!BL131</f>
        <v>-999</v>
      </c>
      <c r="AY57" s="124">
        <f>'2. Consolidated'!BM131</f>
        <v>-922</v>
      </c>
      <c r="AZ57" s="124">
        <f>'2. Consolidated'!BN131</f>
        <v>-944</v>
      </c>
      <c r="BA57" s="124">
        <f>'2. Consolidated'!BO131</f>
        <v>-202</v>
      </c>
      <c r="BB57" s="125">
        <f>'2. Consolidated'!BP131</f>
        <v>-3067</v>
      </c>
      <c r="BC57" s="124">
        <f>'2. Consolidated'!BQ131</f>
        <v>0</v>
      </c>
      <c r="BD57" s="124">
        <f>'2. Consolidated'!BR131</f>
        <v>0</v>
      </c>
      <c r="BE57" s="124">
        <f>'2. Consolidated'!BS131</f>
        <v>0</v>
      </c>
      <c r="BF57" s="124">
        <f>'2. Consolidated'!BT131</f>
        <v>-608</v>
      </c>
      <c r="BG57" s="125">
        <f>'2. Consolidated'!BU131</f>
        <v>-608</v>
      </c>
      <c r="BH57" s="124">
        <f>'2. Consolidated'!BV131</f>
        <v>-752</v>
      </c>
      <c r="BI57" s="124">
        <f>'2. Consolidated'!BW131</f>
        <v>-971</v>
      </c>
      <c r="BJ57" s="124">
        <f>'2. Consolidated'!BX131</f>
        <v>-1200</v>
      </c>
      <c r="BK57" s="124">
        <f>'2. Consolidated'!BY131</f>
        <v>-1091</v>
      </c>
      <c r="BL57" s="125">
        <f>'2. Consolidated'!BZ131</f>
        <v>-4014</v>
      </c>
      <c r="BM57" s="124">
        <f>'2. Consolidated'!CA131</f>
        <v>-983</v>
      </c>
      <c r="BN57" s="124">
        <f>'2. Consolidated'!CB131</f>
        <v>-1567</v>
      </c>
      <c r="BO57" s="124">
        <f>'2. Consolidated'!CC131</f>
        <v>-1551</v>
      </c>
      <c r="BP57" s="124">
        <f>'2. Consolidated'!CD131</f>
        <v>-1379</v>
      </c>
      <c r="BQ57" s="125">
        <f>'2. Consolidated'!CE131</f>
        <v>-5480</v>
      </c>
      <c r="BR57" s="124">
        <f>'2. Consolidated'!CF131</f>
        <v>-1133</v>
      </c>
      <c r="BS57" s="124">
        <f>'2. Consolidated'!CG131</f>
        <v>-1198</v>
      </c>
      <c r="BT57" s="124">
        <f>'2. Consolidated'!CH131</f>
        <v>-883</v>
      </c>
      <c r="BU57" s="124">
        <f>'2. Consolidated'!CI131</f>
        <v>-1036</v>
      </c>
      <c r="BV57" s="125">
        <f>'2. Consolidated'!CJ131</f>
        <v>-4250</v>
      </c>
      <c r="BW57" s="124">
        <f>'2. Consolidated'!CK131</f>
        <v>-1184</v>
      </c>
      <c r="BX57" s="124">
        <f>'2. Consolidated'!CL131</f>
        <v>-1096</v>
      </c>
      <c r="BY57" s="124">
        <f>'2. Consolidated'!CM131</f>
        <v>-506</v>
      </c>
      <c r="BZ57" s="124">
        <f>'2. Consolidated'!CN131</f>
        <v>-199</v>
      </c>
      <c r="CA57" s="125">
        <f>'2. Consolidated'!CO131</f>
        <v>-2985</v>
      </c>
      <c r="CB57" s="124">
        <f>'2. Consolidated'!CP131</f>
        <v>-126</v>
      </c>
      <c r="CC57" s="124">
        <f>'2. Consolidated'!CQ131</f>
        <v>-20</v>
      </c>
      <c r="CD57" s="124">
        <f>'2. Consolidated'!CR131</f>
        <v>0</v>
      </c>
      <c r="CE57" s="124">
        <f>'2. Consolidated'!CS131</f>
        <v>0</v>
      </c>
      <c r="CF57" s="125">
        <f>'2. Consolidated'!CT131</f>
        <v>-146</v>
      </c>
      <c r="CG57" s="124">
        <f>'2. Consolidated'!CU131</f>
        <v>0</v>
      </c>
      <c r="CH57" s="124">
        <f>'2. Consolidated'!CV131</f>
        <v>0</v>
      </c>
      <c r="CI57" s="124">
        <f>'2. Consolidated'!CW131</f>
        <v>0</v>
      </c>
      <c r="CJ57" s="124">
        <f>'2. Consolidated'!CX131</f>
        <v>0</v>
      </c>
      <c r="CK57" s="125">
        <f>'2. Consolidated'!CY131</f>
        <v>0</v>
      </c>
      <c r="CL57" s="124">
        <f>'2. Consolidated'!CZ131</f>
        <v>0</v>
      </c>
      <c r="CM57" s="124">
        <f>'2. Consolidated'!DA131</f>
        <v>0</v>
      </c>
      <c r="CN57" s="124">
        <f>'2. Consolidated'!DB131</f>
        <v>0</v>
      </c>
      <c r="CO57" s="124">
        <f>'2. Consolidated'!DC131</f>
        <v>0</v>
      </c>
      <c r="CP57" s="125">
        <f>'2. Consolidated'!DD131</f>
        <v>0</v>
      </c>
      <c r="CQ57" s="124">
        <f>'2. Consolidated'!DE131</f>
        <v>-250</v>
      </c>
      <c r="CR57" s="124">
        <f>'2. Consolidated'!DF131</f>
        <v>-250</v>
      </c>
      <c r="CS57" s="124">
        <f>'2. Consolidated'!DG131</f>
        <v>-250</v>
      </c>
      <c r="CT57" s="124">
        <f>'2. Consolidated'!DH131</f>
        <v>-250</v>
      </c>
      <c r="CU57" s="125">
        <f>'2. Consolidated'!DI131</f>
        <v>-1000</v>
      </c>
    </row>
    <row r="58" spans="2:99" ht="15" customHeight="1">
      <c r="B58" s="17" t="s">
        <v>299</v>
      </c>
      <c r="C58" s="17"/>
      <c r="D58" s="123">
        <f>'2. Consolidated'!R142</f>
        <v>122.99999999999977</v>
      </c>
      <c r="E58" s="124">
        <f>'2. Consolidated'!S142</f>
        <v>333.00000000000023</v>
      </c>
      <c r="F58" s="124">
        <f>'2. Consolidated'!T142</f>
        <v>212</v>
      </c>
      <c r="G58" s="124">
        <f>'2. Consolidated'!U142</f>
        <v>713</v>
      </c>
      <c r="H58" s="125">
        <f>'2. Consolidated'!V142</f>
        <v>1381</v>
      </c>
      <c r="I58" s="124">
        <f>'2. Consolidated'!W142</f>
        <v>-26</v>
      </c>
      <c r="J58" s="124">
        <f>'2. Consolidated'!X142</f>
        <v>365</v>
      </c>
      <c r="K58" s="124">
        <f>'2. Consolidated'!Y142</f>
        <v>208</v>
      </c>
      <c r="L58" s="124">
        <f>'2. Consolidated'!Z142</f>
        <v>757</v>
      </c>
      <c r="M58" s="125">
        <f>'2. Consolidated'!AA142</f>
        <v>1304</v>
      </c>
      <c r="N58" s="125">
        <f>'2. Consolidated'!AB142</f>
        <v>0</v>
      </c>
      <c r="O58" s="124">
        <f>'2. Consolidated'!AC142</f>
        <v>428</v>
      </c>
      <c r="P58" s="124">
        <f>'2. Consolidated'!AD142</f>
        <v>567</v>
      </c>
      <c r="Q58" s="124">
        <f>'2. Consolidated'!AE142</f>
        <v>272</v>
      </c>
      <c r="R58" s="124">
        <f>'2. Consolidated'!AF142</f>
        <v>1124</v>
      </c>
      <c r="S58" s="125">
        <f>'2. Consolidated'!AG142</f>
        <v>2391</v>
      </c>
      <c r="T58" s="124">
        <f>'2. Consolidated'!AH142</f>
        <v>381</v>
      </c>
      <c r="U58" s="124">
        <f>'2. Consolidated'!AI142</f>
        <v>116</v>
      </c>
      <c r="V58" s="124">
        <f>'2. Consolidated'!AJ142</f>
        <v>518</v>
      </c>
      <c r="W58" s="124">
        <f>'2. Consolidated'!AK142</f>
        <v>1111</v>
      </c>
      <c r="X58" s="125">
        <f>'2. Consolidated'!AL142</f>
        <v>2126</v>
      </c>
      <c r="Y58" s="124">
        <f>'2. Consolidated'!AM142</f>
        <v>326</v>
      </c>
      <c r="Z58" s="124">
        <f>'2. Consolidated'!AN142</f>
        <v>422</v>
      </c>
      <c r="AA58" s="124">
        <f>'2. Consolidated'!AO142</f>
        <v>1870</v>
      </c>
      <c r="AB58" s="124">
        <f>'2. Consolidated'!AP142</f>
        <v>1102</v>
      </c>
      <c r="AC58" s="125">
        <f>'2. Consolidated'!AQ142</f>
        <v>3720</v>
      </c>
      <c r="AD58" s="124">
        <f>'2. Consolidated'!AR142</f>
        <v>164</v>
      </c>
      <c r="AE58" s="124">
        <f>'2. Consolidated'!AS142</f>
        <v>257</v>
      </c>
      <c r="AF58" s="124">
        <f>'2. Consolidated'!AT142</f>
        <v>590</v>
      </c>
      <c r="AG58" s="124">
        <f>'2. Consolidated'!AU142</f>
        <v>952</v>
      </c>
      <c r="AH58" s="125">
        <f>'2. Consolidated'!AV142</f>
        <v>1963</v>
      </c>
      <c r="AI58" s="124">
        <f>'2. Consolidated'!AW142</f>
        <v>444</v>
      </c>
      <c r="AJ58" s="124">
        <f>'2. Consolidated'!AX142</f>
        <v>740</v>
      </c>
      <c r="AK58" s="124">
        <f>'2. Consolidated'!AY142</f>
        <v>804</v>
      </c>
      <c r="AL58" s="124">
        <f>'2. Consolidated'!AZ142</f>
        <v>547</v>
      </c>
      <c r="AM58" s="125">
        <f>'2. Consolidated'!BA142</f>
        <v>2535</v>
      </c>
      <c r="AN58" s="124">
        <f>'2. Consolidated'!BB142</f>
        <v>305</v>
      </c>
      <c r="AO58" s="124">
        <f>'2. Consolidated'!BC142</f>
        <v>1096</v>
      </c>
      <c r="AP58" s="124">
        <f>'2. Consolidated'!BD142</f>
        <v>556</v>
      </c>
      <c r="AQ58" s="124">
        <f>'2. Consolidated'!BE142</f>
        <v>1970</v>
      </c>
      <c r="AR58" s="125">
        <f>'2. Consolidated'!BF142</f>
        <v>3927</v>
      </c>
      <c r="AS58" s="124">
        <f>'2. Consolidated'!BG142</f>
        <v>958</v>
      </c>
      <c r="AT58" s="124">
        <f>'2. Consolidated'!BH142</f>
        <v>1241</v>
      </c>
      <c r="AU58" s="124">
        <f>'2. Consolidated'!BI142</f>
        <v>848</v>
      </c>
      <c r="AV58" s="124">
        <f>'2. Consolidated'!BJ142</f>
        <v>1737</v>
      </c>
      <c r="AW58" s="125">
        <f>'2. Consolidated'!BK142</f>
        <v>4784</v>
      </c>
      <c r="AX58" s="124">
        <f>'2. Consolidated'!BL142</f>
        <v>110</v>
      </c>
      <c r="AY58" s="124">
        <f>'2. Consolidated'!BM142</f>
        <v>674</v>
      </c>
      <c r="AZ58" s="124">
        <f>'2. Consolidated'!BN142</f>
        <v>905</v>
      </c>
      <c r="BA58" s="124">
        <f>'2. Consolidated'!BO142</f>
        <v>-290</v>
      </c>
      <c r="BB58" s="125">
        <f>'2. Consolidated'!BP142</f>
        <v>1399</v>
      </c>
      <c r="BC58" s="124">
        <f>'2. Consolidated'!BQ142</f>
        <v>706</v>
      </c>
      <c r="BD58" s="124">
        <f>'2. Consolidated'!BR142</f>
        <v>2305</v>
      </c>
      <c r="BE58" s="124">
        <f>'2. Consolidated'!BS142</f>
        <v>1113</v>
      </c>
      <c r="BF58" s="124">
        <f>'2. Consolidated'!BT142</f>
        <v>1838</v>
      </c>
      <c r="BG58" s="125">
        <f>'2. Consolidated'!BU142</f>
        <v>5962</v>
      </c>
      <c r="BH58" s="124">
        <f>'2. Consolidated'!BV142</f>
        <v>927</v>
      </c>
      <c r="BI58" s="124">
        <f>'2. Consolidated'!BW142</f>
        <v>2579</v>
      </c>
      <c r="BJ58" s="124">
        <f>'2. Consolidated'!BX142</f>
        <v>15</v>
      </c>
      <c r="BK58" s="124">
        <f>'2. Consolidated'!BY142</f>
        <v>909</v>
      </c>
      <c r="BL58" s="125">
        <f>'2. Consolidated'!BZ142</f>
        <v>4430</v>
      </c>
      <c r="BM58" s="124">
        <f>'2. Consolidated'!CA142</f>
        <v>93</v>
      </c>
      <c r="BN58" s="124">
        <f>'2. Consolidated'!CB142</f>
        <v>765</v>
      </c>
      <c r="BO58" s="124">
        <f>'2. Consolidated'!CC142</f>
        <v>2030</v>
      </c>
      <c r="BP58" s="124">
        <f>'2. Consolidated'!CD142</f>
        <v>1984</v>
      </c>
      <c r="BQ58" s="125">
        <f>'2. Consolidated'!CE142</f>
        <v>4872</v>
      </c>
      <c r="BR58" s="124">
        <f>'2. Consolidated'!CF142</f>
        <v>-319</v>
      </c>
      <c r="BS58" s="124">
        <f>'2. Consolidated'!CG142</f>
        <v>2612</v>
      </c>
      <c r="BT58" s="124">
        <f>'2. Consolidated'!CH142</f>
        <v>1918</v>
      </c>
      <c r="BU58" s="124">
        <f>'2. Consolidated'!CI142</f>
        <v>2406</v>
      </c>
      <c r="BV58" s="125">
        <f>'2. Consolidated'!CJ142</f>
        <v>6617</v>
      </c>
      <c r="BW58" s="124">
        <f>'2. Consolidated'!CK142</f>
        <v>274</v>
      </c>
      <c r="BX58" s="124">
        <f>'2. Consolidated'!CL142</f>
        <v>920</v>
      </c>
      <c r="BY58" s="124">
        <f>'2. Consolidated'!CM142</f>
        <v>1711</v>
      </c>
      <c r="BZ58" s="124">
        <f>'2. Consolidated'!CN142</f>
        <v>363</v>
      </c>
      <c r="CA58" s="125">
        <f>'2. Consolidated'!CO142</f>
        <v>3268</v>
      </c>
      <c r="CB58" s="124">
        <f>'2. Consolidated'!CP142</f>
        <v>15</v>
      </c>
      <c r="CC58" s="124">
        <f>'2. Consolidated'!CQ142</f>
        <v>386</v>
      </c>
      <c r="CD58" s="124">
        <f>'2. Consolidated'!CR142</f>
        <v>193.00500000000011</v>
      </c>
      <c r="CE58" s="124">
        <f>'2. Consolidated'!CS142</f>
        <v>1499</v>
      </c>
      <c r="CF58" s="125">
        <f>'2. Consolidated'!CT142</f>
        <v>2093.0050000000001</v>
      </c>
      <c r="CG58" s="124">
        <f>'2. Consolidated'!CU142</f>
        <v>-151.72400000000016</v>
      </c>
      <c r="CH58" s="124">
        <f>'2. Consolidated'!CV142</f>
        <v>825.32737901871633</v>
      </c>
      <c r="CI58" s="124">
        <f>'2. Consolidated'!CW142</f>
        <v>628.01242106573341</v>
      </c>
      <c r="CJ58" s="124">
        <f>'2. Consolidated'!CX142</f>
        <v>346.55209107644373</v>
      </c>
      <c r="CK58" s="125">
        <f>'2. Consolidated'!CY142</f>
        <v>1648.1678911608933</v>
      </c>
      <c r="CL58" s="124">
        <f>'2. Consolidated'!CZ142</f>
        <v>948.64826482662147</v>
      </c>
      <c r="CM58" s="124">
        <f>'2. Consolidated'!DA142</f>
        <v>593.38882712426016</v>
      </c>
      <c r="CN58" s="124">
        <f>'2. Consolidated'!DB142</f>
        <v>513.676411889782</v>
      </c>
      <c r="CO58" s="124">
        <f>'2. Consolidated'!DC142</f>
        <v>372.2779386342346</v>
      </c>
      <c r="CP58" s="125">
        <f>'2. Consolidated'!DD142</f>
        <v>2427.9914424748986</v>
      </c>
      <c r="CQ58" s="124">
        <f>'2. Consolidated'!DE142</f>
        <v>828.4207627095534</v>
      </c>
      <c r="CR58" s="124">
        <f>'2. Consolidated'!DF142</f>
        <v>541.2978498783873</v>
      </c>
      <c r="CS58" s="124">
        <f>'2. Consolidated'!DG142</f>
        <v>503.25741956609579</v>
      </c>
      <c r="CT58" s="124">
        <f>'2. Consolidated'!DH142</f>
        <v>355.24394216281644</v>
      </c>
      <c r="CU58" s="125">
        <f>'2. Consolidated'!DI142</f>
        <v>2228.219974316853</v>
      </c>
    </row>
    <row r="59" spans="2:99" ht="15" customHeight="1">
      <c r="B59" s="17" t="s">
        <v>84</v>
      </c>
      <c r="C59" s="17"/>
      <c r="D59" s="123">
        <f>'2. Consolidated'!R185</f>
        <v>2010</v>
      </c>
      <c r="E59" s="124">
        <f>'2. Consolidated'!S185</f>
        <v>1768</v>
      </c>
      <c r="F59" s="124">
        <f>'2. Consolidated'!T185</f>
        <v>2132</v>
      </c>
      <c r="G59" s="124">
        <f>'2. Consolidated'!U185</f>
        <v>1955</v>
      </c>
      <c r="H59" s="125">
        <f>'2. Consolidated'!V185</f>
        <v>1955</v>
      </c>
      <c r="I59" s="124">
        <f>'2. Consolidated'!W185</f>
        <v>1608</v>
      </c>
      <c r="J59" s="124">
        <f>'2. Consolidated'!X185</f>
        <v>1929</v>
      </c>
      <c r="K59" s="124">
        <f>'2. Consolidated'!Y185</f>
        <v>2021</v>
      </c>
      <c r="L59" s="124">
        <f>'2. Consolidated'!Z185</f>
        <v>2317</v>
      </c>
      <c r="M59" s="125">
        <f>'2. Consolidated'!AA185</f>
        <v>2317</v>
      </c>
      <c r="N59" s="125">
        <f>'2. Consolidated'!AB185</f>
        <v>2317</v>
      </c>
      <c r="O59" s="124">
        <f>'2. Consolidated'!AC185</f>
        <v>2165</v>
      </c>
      <c r="P59" s="124">
        <f>'2. Consolidated'!AD185</f>
        <v>2291</v>
      </c>
      <c r="Q59" s="124">
        <f>'2. Consolidated'!AE185</f>
        <v>2557</v>
      </c>
      <c r="R59" s="124">
        <f>'2. Consolidated'!AF185</f>
        <v>3337</v>
      </c>
      <c r="S59" s="125">
        <f>'2. Consolidated'!AG185</f>
        <v>3337</v>
      </c>
      <c r="T59" s="124">
        <f>'2. Consolidated'!AH185</f>
        <v>2936</v>
      </c>
      <c r="U59" s="124">
        <f>'2. Consolidated'!AI185</f>
        <v>2086</v>
      </c>
      <c r="V59" s="124">
        <f>'2. Consolidated'!AJ185</f>
        <v>1864</v>
      </c>
      <c r="W59" s="124">
        <f>'2. Consolidated'!AK185</f>
        <v>2220</v>
      </c>
      <c r="X59" s="125">
        <f>'2. Consolidated'!AL185</f>
        <v>2220</v>
      </c>
      <c r="Y59" s="124">
        <f>'2. Consolidated'!AM185</f>
        <v>2303</v>
      </c>
      <c r="Z59" s="124">
        <f>'2. Consolidated'!AN185</f>
        <v>2273</v>
      </c>
      <c r="AA59" s="124">
        <f>'2. Consolidated'!AO185</f>
        <v>3015</v>
      </c>
      <c r="AB59" s="124">
        <f>'2. Consolidated'!AP185</f>
        <v>3852</v>
      </c>
      <c r="AC59" s="125">
        <f>'2. Consolidated'!AQ185</f>
        <v>3852</v>
      </c>
      <c r="AD59" s="124">
        <f>'2. Consolidated'!AR185</f>
        <v>3246</v>
      </c>
      <c r="AE59" s="124">
        <f>'2. Consolidated'!AS185</f>
        <v>3851</v>
      </c>
      <c r="AF59" s="124">
        <f>'2. Consolidated'!AT185</f>
        <v>3044</v>
      </c>
      <c r="AG59" s="124">
        <f>'2. Consolidated'!AU185</f>
        <v>3138</v>
      </c>
      <c r="AH59" s="125">
        <f>'2. Consolidated'!AV185</f>
        <v>3138</v>
      </c>
      <c r="AI59" s="124">
        <f>'2. Consolidated'!AW185</f>
        <v>2659</v>
      </c>
      <c r="AJ59" s="124">
        <f>'2. Consolidated'!AX185</f>
        <v>4339</v>
      </c>
      <c r="AK59" s="124">
        <f>'2. Consolidated'!AY185</f>
        <v>4021</v>
      </c>
      <c r="AL59" s="124">
        <f>'2. Consolidated'!AZ185</f>
        <v>3808</v>
      </c>
      <c r="AM59" s="125">
        <f>'2. Consolidated'!BA185</f>
        <v>3808</v>
      </c>
      <c r="AN59" s="124">
        <f>'2. Consolidated'!BB185</f>
        <v>3413</v>
      </c>
      <c r="AO59" s="124">
        <f>'2. Consolidated'!BC185</f>
        <v>4304</v>
      </c>
      <c r="AP59" s="124">
        <f>'2. Consolidated'!BD185</f>
        <v>3662</v>
      </c>
      <c r="AQ59" s="124">
        <f>'2. Consolidated'!BE185</f>
        <v>4249</v>
      </c>
      <c r="AR59" s="125">
        <f>'2. Consolidated'!BF185</f>
        <v>4249</v>
      </c>
      <c r="AS59" s="124">
        <f>'2. Consolidated'!BG185</f>
        <v>3282</v>
      </c>
      <c r="AT59" s="124">
        <f>'2. Consolidated'!BH185</f>
        <v>3423</v>
      </c>
      <c r="AU59" s="124">
        <f>'2. Consolidated'!BI185</f>
        <v>3695</v>
      </c>
      <c r="AV59" s="124">
        <f>'2. Consolidated'!BJ185</f>
        <v>4466</v>
      </c>
      <c r="AW59" s="125">
        <f>'2. Consolidated'!BK185</f>
        <v>4466</v>
      </c>
      <c r="AX59" s="124">
        <f>'2. Consolidated'!BL185</f>
        <v>3446</v>
      </c>
      <c r="AY59" s="124">
        <f>'2. Consolidated'!BM185</f>
        <v>3070</v>
      </c>
      <c r="AZ59" s="124">
        <f>'2. Consolidated'!BN185</f>
        <v>2863</v>
      </c>
      <c r="BA59" s="124">
        <f>'2. Consolidated'!BO185</f>
        <v>8348</v>
      </c>
      <c r="BB59" s="125">
        <f>'2. Consolidated'!BP185</f>
        <v>8348</v>
      </c>
      <c r="BC59" s="124">
        <f>'2. Consolidated'!BQ185</f>
        <v>8148</v>
      </c>
      <c r="BD59" s="124">
        <f>'2. Consolidated'!BR185</f>
        <v>8635</v>
      </c>
      <c r="BE59" s="124">
        <f>'2. Consolidated'!BS185</f>
        <v>8516</v>
      </c>
      <c r="BF59" s="124">
        <f>'2. Consolidated'!BT185</f>
        <v>9889</v>
      </c>
      <c r="BG59" s="125">
        <f>'2. Consolidated'!BU185</f>
        <v>9889</v>
      </c>
      <c r="BH59" s="124">
        <f>'2. Consolidated'!BV185</f>
        <v>10720</v>
      </c>
      <c r="BI59" s="124">
        <f>'2. Consolidated'!BW185</f>
        <v>10751</v>
      </c>
      <c r="BJ59" s="124">
        <f>'2. Consolidated'!BX185</f>
        <v>8704</v>
      </c>
      <c r="BK59" s="124">
        <f>'2. Consolidated'!BY185</f>
        <v>8574</v>
      </c>
      <c r="BL59" s="125">
        <f>'2. Consolidated'!BZ185</f>
        <v>8574</v>
      </c>
      <c r="BM59" s="124">
        <f>'2. Consolidated'!CA185</f>
        <v>7226</v>
      </c>
      <c r="BN59" s="124">
        <f>'2. Consolidated'!CB185</f>
        <v>6490</v>
      </c>
      <c r="BO59" s="124">
        <f>'2. Consolidated'!CC185</f>
        <v>6955</v>
      </c>
      <c r="BP59" s="124">
        <f>'2. Consolidated'!CD185</f>
        <v>7441</v>
      </c>
      <c r="BQ59" s="125">
        <f>'2. Consolidated'!CE185</f>
        <v>7441</v>
      </c>
      <c r="BR59" s="124">
        <f>'2. Consolidated'!CF185</f>
        <v>6178</v>
      </c>
      <c r="BS59" s="124">
        <f>'2. Consolidated'!CG185</f>
        <v>7919</v>
      </c>
      <c r="BT59" s="124">
        <f>'2. Consolidated'!CH185</f>
        <v>8960</v>
      </c>
      <c r="BU59" s="124">
        <f>'2. Consolidated'!CI185</f>
        <v>9860</v>
      </c>
      <c r="BV59" s="125">
        <f>'2. Consolidated'!CJ185</f>
        <v>9860</v>
      </c>
      <c r="BW59" s="124">
        <f>'2. Consolidated'!CK185</f>
        <v>8485</v>
      </c>
      <c r="BX59" s="124">
        <f>'2. Consolidated'!CL185</f>
        <v>7979</v>
      </c>
      <c r="BY59" s="124">
        <f>'2. Consolidated'!CM185</f>
        <v>8601</v>
      </c>
      <c r="BZ59" s="124">
        <f>'2. Consolidated'!CN185</f>
        <v>7464</v>
      </c>
      <c r="CA59" s="125">
        <f>'2. Consolidated'!CO185</f>
        <v>7464</v>
      </c>
      <c r="CB59" s="124">
        <f>'2. Consolidated'!CP185</f>
        <v>7024</v>
      </c>
      <c r="CC59" s="124">
        <f>'2. Consolidated'!CQ185</f>
        <v>6974</v>
      </c>
      <c r="CD59" s="124">
        <f>'2. Consolidated'!CR185</f>
        <v>6660</v>
      </c>
      <c r="CE59" s="124">
        <f>'2. Consolidated'!CS185</f>
        <v>7563</v>
      </c>
      <c r="CF59" s="125">
        <f>'2. Consolidated'!CT185</f>
        <v>7563</v>
      </c>
      <c r="CG59" s="124">
        <f>'2. Consolidated'!CU185</f>
        <v>6903</v>
      </c>
      <c r="CH59" s="124">
        <f>'2. Consolidated'!CV185</f>
        <v>7223.167379018716</v>
      </c>
      <c r="CI59" s="124">
        <f>'2. Consolidated'!CW185</f>
        <v>7333.9166000844498</v>
      </c>
      <c r="CJ59" s="124">
        <f>'2. Consolidated'!CX185</f>
        <v>7163.2054911608939</v>
      </c>
      <c r="CK59" s="125">
        <f>'2. Consolidated'!CY185</f>
        <v>7163.2054911608939</v>
      </c>
      <c r="CL59" s="124">
        <f>'2. Consolidated'!CZ185</f>
        <v>7594.5905559875155</v>
      </c>
      <c r="CM59" s="124">
        <f>'2. Consolidated'!DA185</f>
        <v>7634.4065831117759</v>
      </c>
      <c r="CN59" s="124">
        <f>'2. Consolidated'!DB185</f>
        <v>7581.4387390015581</v>
      </c>
      <c r="CO59" s="124">
        <f>'2. Consolidated'!DC185</f>
        <v>7387.072421635793</v>
      </c>
      <c r="CP59" s="125">
        <f>'2. Consolidated'!DD185</f>
        <v>7387.072421635793</v>
      </c>
      <c r="CQ59" s="124">
        <f>'2. Consolidated'!DE185</f>
        <v>7399.9843078431386</v>
      </c>
      <c r="CR59" s="124">
        <f>'2. Consolidated'!DF185</f>
        <v>7089.0064614100593</v>
      </c>
      <c r="CS59" s="124">
        <f>'2. Consolidated'!DG185</f>
        <v>6728.3234318999184</v>
      </c>
      <c r="CT59" s="124">
        <f>'2. Consolidated'!DH185</f>
        <v>6221.961004556556</v>
      </c>
      <c r="CU59" s="125">
        <f>'2. Consolidated'!DI185</f>
        <v>6221.961004556556</v>
      </c>
    </row>
    <row r="60" spans="2:99" ht="15" customHeight="1">
      <c r="B60" s="17" t="s">
        <v>54</v>
      </c>
      <c r="C60" s="17"/>
      <c r="D60" s="123">
        <f>'2. Consolidated'!R239</f>
        <v>-4105</v>
      </c>
      <c r="E60" s="124">
        <f>'2. Consolidated'!S239</f>
        <v>-4191</v>
      </c>
      <c r="F60" s="124">
        <f>'2. Consolidated'!T239</f>
        <v>-3852</v>
      </c>
      <c r="G60" s="124">
        <f>'2. Consolidated'!U239</f>
        <v>-3875</v>
      </c>
      <c r="H60" s="125">
        <f>'2. Consolidated'!V239</f>
        <v>-3875</v>
      </c>
      <c r="I60" s="124">
        <f>'2. Consolidated'!W239</f>
        <v>-3182</v>
      </c>
      <c r="J60" s="124">
        <f>'2. Consolidated'!X239</f>
        <v>-2894</v>
      </c>
      <c r="K60" s="124">
        <f>'2. Consolidated'!Y239</f>
        <v>-2828</v>
      </c>
      <c r="L60" s="124">
        <f>'2. Consolidated'!Z239</f>
        <v>-3372</v>
      </c>
      <c r="M60" s="125">
        <f>'2. Consolidated'!AA239</f>
        <v>-3372</v>
      </c>
      <c r="N60" s="125">
        <f>'2. Consolidated'!AB239</f>
        <v>0</v>
      </c>
      <c r="O60" s="124">
        <f>'2. Consolidated'!AC239</f>
        <v>-2903</v>
      </c>
      <c r="P60" s="124">
        <f>'2. Consolidated'!AD239</f>
        <v>-3197</v>
      </c>
      <c r="Q60" s="124">
        <f>'2. Consolidated'!AE239</f>
        <v>-3721</v>
      </c>
      <c r="R60" s="124">
        <f>'2. Consolidated'!AF239</f>
        <v>-4577</v>
      </c>
      <c r="S60" s="125">
        <f>'2. Consolidated'!AG239</f>
        <v>-4577</v>
      </c>
      <c r="T60" s="124">
        <f>'2. Consolidated'!AH239</f>
        <v>-4203</v>
      </c>
      <c r="U60" s="124">
        <f>'2. Consolidated'!AI239</f>
        <v>-3806</v>
      </c>
      <c r="V60" s="124">
        <f>'2. Consolidated'!AJ239</f>
        <v>-3702</v>
      </c>
      <c r="W60" s="124">
        <f>'2. Consolidated'!AK239</f>
        <v>-3769</v>
      </c>
      <c r="X60" s="125">
        <f>'2. Consolidated'!AL239</f>
        <v>-3769</v>
      </c>
      <c r="Y60" s="124">
        <f>'2. Consolidated'!AM239</f>
        <v>-3232</v>
      </c>
      <c r="Z60" s="124">
        <f>'2. Consolidated'!AN239</f>
        <v>-3426</v>
      </c>
      <c r="AA60" s="124">
        <f>'2. Consolidated'!AO239</f>
        <v>-4110</v>
      </c>
      <c r="AB60" s="124">
        <f>'2. Consolidated'!AP239</f>
        <v>-4664</v>
      </c>
      <c r="AC60" s="125">
        <f>'2. Consolidated'!AQ239</f>
        <v>-4664</v>
      </c>
      <c r="AD60" s="124">
        <f>'2. Consolidated'!AR239</f>
        <v>-4200</v>
      </c>
      <c r="AE60" s="124">
        <f>'2. Consolidated'!AS239</f>
        <v>-3945</v>
      </c>
      <c r="AF60" s="124">
        <f>'2. Consolidated'!AT239</f>
        <v>-3051</v>
      </c>
      <c r="AG60" s="124">
        <f>'2. Consolidated'!AU239</f>
        <v>-3402</v>
      </c>
      <c r="AH60" s="125">
        <f>'2. Consolidated'!AV239</f>
        <v>-3402</v>
      </c>
      <c r="AI60" s="124">
        <f>'2. Consolidated'!AW239</f>
        <v>-2728</v>
      </c>
      <c r="AJ60" s="124">
        <f>'2. Consolidated'!AX239</f>
        <v>-2406</v>
      </c>
      <c r="AK60" s="124">
        <f>'2. Consolidated'!AY239</f>
        <v>-2659</v>
      </c>
      <c r="AL60" s="124">
        <f>'2. Consolidated'!AZ239</f>
        <v>-2377</v>
      </c>
      <c r="AM60" s="125">
        <f>'2. Consolidated'!BA239</f>
        <v>-2377</v>
      </c>
      <c r="AN60" s="124">
        <f>'2. Consolidated'!BB239</f>
        <v>-1705</v>
      </c>
      <c r="AO60" s="124">
        <f>'2. Consolidated'!BC239</f>
        <v>-1678</v>
      </c>
      <c r="AP60" s="124">
        <f>'2. Consolidated'!BD239</f>
        <v>-1265</v>
      </c>
      <c r="AQ60" s="124">
        <f>'2. Consolidated'!BE239</f>
        <v>-1435</v>
      </c>
      <c r="AR60" s="125">
        <f>'2. Consolidated'!BF239</f>
        <v>-1435</v>
      </c>
      <c r="AS60" s="124">
        <f>'2. Consolidated'!BG239</f>
        <v>-783</v>
      </c>
      <c r="AT60" s="124">
        <f>'2. Consolidated'!BH239</f>
        <v>-560</v>
      </c>
      <c r="AU60" s="124">
        <f>'2. Consolidated'!BI239</f>
        <v>-559</v>
      </c>
      <c r="AV60" s="124">
        <f>'2. Consolidated'!BJ239</f>
        <v>-1184</v>
      </c>
      <c r="AW60" s="125">
        <f>'2. Consolidated'!BK239</f>
        <v>-1184</v>
      </c>
      <c r="AX60" s="124">
        <f>'2. Consolidated'!BL239</f>
        <v>75</v>
      </c>
      <c r="AY60" s="124">
        <f>'2. Consolidated'!BM239</f>
        <v>266</v>
      </c>
      <c r="AZ60" s="124">
        <f>'2. Consolidated'!BN239</f>
        <v>294</v>
      </c>
      <c r="BA60" s="124">
        <f>'2. Consolidated'!BO239</f>
        <v>870</v>
      </c>
      <c r="BB60" s="125">
        <f>'2. Consolidated'!BP239</f>
        <v>870</v>
      </c>
      <c r="BC60" s="124">
        <f>'2. Consolidated'!BQ239</f>
        <v>66</v>
      </c>
      <c r="BD60" s="124">
        <f>'2. Consolidated'!BR239</f>
        <v>-2361</v>
      </c>
      <c r="BE60" s="124">
        <f>'2. Consolidated'!BS239</f>
        <v>-3112</v>
      </c>
      <c r="BF60" s="124">
        <f>'2. Consolidated'!BT239</f>
        <v>-4061</v>
      </c>
      <c r="BG60" s="125">
        <f>'2. Consolidated'!BU239</f>
        <v>-4061</v>
      </c>
      <c r="BH60" s="124">
        <f>'2. Consolidated'!BV239</f>
        <v>-4265</v>
      </c>
      <c r="BI60" s="124">
        <f>'2. Consolidated'!BW239</f>
        <v>-5677</v>
      </c>
      <c r="BJ60" s="124">
        <f>'2. Consolidated'!BX239</f>
        <v>-4049</v>
      </c>
      <c r="BK60" s="124">
        <f>'2. Consolidated'!BY239</f>
        <v>-3567</v>
      </c>
      <c r="BL60" s="125">
        <f>'2. Consolidated'!BZ239</f>
        <v>-3567</v>
      </c>
      <c r="BM60" s="124">
        <f>'2. Consolidated'!CA239</f>
        <v>-2445</v>
      </c>
      <c r="BN60" s="124">
        <f>'2. Consolidated'!CB239</f>
        <v>-1190</v>
      </c>
      <c r="BO60" s="124">
        <f>'2. Consolidated'!CC239</f>
        <v>-1363</v>
      </c>
      <c r="BP60" s="124">
        <f>'2. Consolidated'!CD239</f>
        <v>-1742</v>
      </c>
      <c r="BQ60" s="125">
        <f>'2. Consolidated'!CE239</f>
        <v>-1742</v>
      </c>
      <c r="BR60" s="124">
        <f>'2. Consolidated'!CF239</f>
        <v>145</v>
      </c>
      <c r="BS60" s="124">
        <f>'2. Consolidated'!CG239</f>
        <v>-991</v>
      </c>
      <c r="BT60" s="124">
        <f>'2. Consolidated'!CH239</f>
        <v>-1637</v>
      </c>
      <c r="BU60" s="124">
        <f>'2. Consolidated'!CI239</f>
        <v>-2673</v>
      </c>
      <c r="BV60" s="125">
        <f>'2. Consolidated'!CJ239</f>
        <v>-2673</v>
      </c>
      <c r="BW60" s="124">
        <f>'2. Consolidated'!CK239</f>
        <v>-1284</v>
      </c>
      <c r="BX60" s="124">
        <f>'2. Consolidated'!CL239</f>
        <v>-739</v>
      </c>
      <c r="BY60" s="124">
        <f>'2. Consolidated'!CM239</f>
        <v>-1433</v>
      </c>
      <c r="BZ60" s="124">
        <f>'2. Consolidated'!CN239</f>
        <v>-1185</v>
      </c>
      <c r="CA60" s="125">
        <f>'2. Consolidated'!CO239</f>
        <v>-1185</v>
      </c>
      <c r="CB60" s="124">
        <f>'2. Consolidated'!CP239</f>
        <v>-575</v>
      </c>
      <c r="CC60" s="124">
        <f>'2. Consolidated'!CQ239</f>
        <v>-330</v>
      </c>
      <c r="CD60" s="124">
        <f>'2. Consolidated'!CR239</f>
        <v>-28</v>
      </c>
      <c r="CE60" s="124">
        <f>'2. Consolidated'!CS239</f>
        <v>-1085</v>
      </c>
      <c r="CF60" s="125">
        <f>'2. Consolidated'!CT239</f>
        <v>-1085</v>
      </c>
      <c r="CG60" s="124">
        <f>'2. Consolidated'!CU239</f>
        <v>-475</v>
      </c>
      <c r="CH60" s="124">
        <f>'2. Consolidated'!CV239</f>
        <v>-795.16737901871602</v>
      </c>
      <c r="CI60" s="124">
        <f>'2. Consolidated'!CW239</f>
        <v>-905.91660008444978</v>
      </c>
      <c r="CJ60" s="124">
        <f>'2. Consolidated'!CX239</f>
        <v>-735.20549116089387</v>
      </c>
      <c r="CK60" s="125">
        <f>'2. Consolidated'!CY239</f>
        <v>-735.20549116089387</v>
      </c>
      <c r="CL60" s="124">
        <f>'2. Consolidated'!CZ239</f>
        <v>-1166.5905559875155</v>
      </c>
      <c r="CM60" s="124">
        <f>'2. Consolidated'!DA239</f>
        <v>-1206.4065831117759</v>
      </c>
      <c r="CN60" s="124">
        <f>'2. Consolidated'!DB239</f>
        <v>-1153.4387390015581</v>
      </c>
      <c r="CO60" s="124">
        <f>'2. Consolidated'!DC239</f>
        <v>-959.07242163579303</v>
      </c>
      <c r="CP60" s="125">
        <f>'2. Consolidated'!DD239</f>
        <v>-959.07242163579303</v>
      </c>
      <c r="CQ60" s="124">
        <f>'2. Consolidated'!DE239</f>
        <v>-971.98430784313859</v>
      </c>
      <c r="CR60" s="124">
        <f>'2. Consolidated'!DF239</f>
        <v>-661.00646141005927</v>
      </c>
      <c r="CS60" s="124">
        <f>'2. Consolidated'!DG239</f>
        <v>-300.32343189991843</v>
      </c>
      <c r="CT60" s="124">
        <f>'2. Consolidated'!DH239</f>
        <v>206.03899544344404</v>
      </c>
      <c r="CU60" s="125">
        <f>'2. Consolidated'!DI239</f>
        <v>206.03899544344404</v>
      </c>
    </row>
    <row r="61" spans="2:99" ht="15" customHeight="1">
      <c r="B61" s="17" t="s">
        <v>300</v>
      </c>
      <c r="C61" s="17"/>
      <c r="D61" s="144" t="str">
        <f>'2. Consolidated'!R240</f>
        <v>--</v>
      </c>
      <c r="E61" s="145" t="str">
        <f>'2. Consolidated'!S240</f>
        <v>--</v>
      </c>
      <c r="F61" s="145" t="str">
        <f>'2. Consolidated'!T240</f>
        <v>--</v>
      </c>
      <c r="G61" s="145">
        <f>'2. Consolidated'!U240</f>
        <v>-1.2174049638705624</v>
      </c>
      <c r="H61" s="146">
        <f>'2. Consolidated'!V240</f>
        <v>-1.2174049638705624</v>
      </c>
      <c r="I61" s="145">
        <f>'2. Consolidated'!W240</f>
        <v>-0.96746731529340224</v>
      </c>
      <c r="J61" s="145">
        <f>'2. Consolidated'!X240</f>
        <v>-0.87458446660622546</v>
      </c>
      <c r="K61" s="145">
        <f>'2. Consolidated'!Y240</f>
        <v>-0.83718176435760805</v>
      </c>
      <c r="L61" s="145">
        <f>'2. Consolidated'!Z240</f>
        <v>-1.0038701994641261</v>
      </c>
      <c r="M61" s="146">
        <f>'2. Consolidated'!AA240</f>
        <v>-1.0038701994641261</v>
      </c>
      <c r="N61" s="146">
        <f>'2. Consolidated'!AB240</f>
        <v>0</v>
      </c>
      <c r="O61" s="145">
        <f>'2. Consolidated'!AC240</f>
        <v>-0.87518842327404278</v>
      </c>
      <c r="P61" s="145">
        <f>'2. Consolidated'!AD240</f>
        <v>-0.93479532163742685</v>
      </c>
      <c r="Q61" s="145">
        <f>'2. Consolidated'!AE240</f>
        <v>-1.0568020448736155</v>
      </c>
      <c r="R61" s="145">
        <f>'2. Consolidated'!AF240</f>
        <v>-1.240043348685993</v>
      </c>
      <c r="S61" s="146">
        <f>'2. Consolidated'!AG240</f>
        <v>-1.240043348685993</v>
      </c>
      <c r="T61" s="145">
        <f>'2. Consolidated'!AH240</f>
        <v>-1.060560181680545</v>
      </c>
      <c r="U61" s="145">
        <f>'2. Consolidated'!AI240</f>
        <v>-0.95316804407713496</v>
      </c>
      <c r="V61" s="145">
        <f>'2. Consolidated'!AJ240</f>
        <v>-0.91429982711780688</v>
      </c>
      <c r="W61" s="145">
        <f>'2. Consolidated'!AK240</f>
        <v>-0.92039072039072034</v>
      </c>
      <c r="X61" s="146">
        <f>'2. Consolidated'!AL240</f>
        <v>-0.92039072039072034</v>
      </c>
      <c r="Y61" s="145">
        <f>'2. Consolidated'!AM240</f>
        <v>-0.74953617810760664</v>
      </c>
      <c r="Z61" s="145">
        <f>'2. Consolidated'!AN240</f>
        <v>-0.76936896474286998</v>
      </c>
      <c r="AA61" s="145">
        <f>'2. Consolidated'!AO240</f>
        <v>-0.87113183552352691</v>
      </c>
      <c r="AB61" s="145">
        <f>'2. Consolidated'!AP240</f>
        <v>-0.95534616960262186</v>
      </c>
      <c r="AC61" s="146">
        <f>'2. Consolidated'!AQ240</f>
        <v>-0.95534616960262186</v>
      </c>
      <c r="AD61" s="145">
        <f>'2. Consolidated'!AR240</f>
        <v>-0.82175699471727648</v>
      </c>
      <c r="AE61" s="145">
        <f>'2. Consolidated'!AS240</f>
        <v>-0.75057077625570778</v>
      </c>
      <c r="AF61" s="145">
        <f>'2. Consolidated'!AT240</f>
        <v>-0.579047257544126</v>
      </c>
      <c r="AG61" s="145">
        <f>'2. Consolidated'!AU240</f>
        <v>-0.64140271493212675</v>
      </c>
      <c r="AH61" s="146">
        <f>'2. Consolidated'!AV240</f>
        <v>-0.64140271493212675</v>
      </c>
      <c r="AI61" s="145">
        <f>'2. Consolidated'!AW240</f>
        <v>-0.52960590176664724</v>
      </c>
      <c r="AJ61" s="145">
        <f>'2. Consolidated'!AX240</f>
        <v>-0.45217064461567374</v>
      </c>
      <c r="AK61" s="145">
        <f>'2. Consolidated'!AY240</f>
        <v>-0.4800505506409099</v>
      </c>
      <c r="AL61" s="145">
        <f>'2. Consolidated'!AZ240</f>
        <v>-0.42063351619182443</v>
      </c>
      <c r="AM61" s="146">
        <f>'2. Consolidated'!BA240</f>
        <v>-0.42063351619182443</v>
      </c>
      <c r="AN61" s="145">
        <f>'2. Consolidated'!BB240</f>
        <v>-0.31244273410298701</v>
      </c>
      <c r="AO61" s="145">
        <f>'2. Consolidated'!BC240</f>
        <v>-0.32059610240733666</v>
      </c>
      <c r="AP61" s="145">
        <f>'2. Consolidated'!BD240</f>
        <v>-0.24931020890815925</v>
      </c>
      <c r="AQ61" s="145">
        <f>'2. Consolidated'!BE240</f>
        <v>-0.2799453765119001</v>
      </c>
      <c r="AR61" s="146">
        <f>'2. Consolidated'!BF240</f>
        <v>-0.2799453765119001</v>
      </c>
      <c r="AS61" s="145">
        <f>'2. Consolidated'!BG240</f>
        <v>-0.14723580293343363</v>
      </c>
      <c r="AT61" s="145">
        <f>'2. Consolidated'!BH240</f>
        <v>-0.10330197380557093</v>
      </c>
      <c r="AU61" s="145">
        <f>'2. Consolidated'!BI240</f>
        <v>-0.10081154192966636</v>
      </c>
      <c r="AV61" s="145">
        <f>'2. Consolidated'!BJ240</f>
        <v>-0.21314131413141313</v>
      </c>
      <c r="AW61" s="146">
        <f>'2. Consolidated'!BK240</f>
        <v>-0.21314131413141313</v>
      </c>
      <c r="AX61" s="145">
        <f>'2. Consolidated'!BL240</f>
        <v>1.2840267077555213E-2</v>
      </c>
      <c r="AY61" s="145">
        <f>'2. Consolidated'!BM240</f>
        <v>4.3649491302920909E-2</v>
      </c>
      <c r="AZ61" s="145">
        <f>'2. Consolidated'!BN240</f>
        <v>4.8387096774193547E-2</v>
      </c>
      <c r="BA61" s="145">
        <f>'2. Consolidated'!BO240</f>
        <v>0.21235050036612155</v>
      </c>
      <c r="BB61" s="146">
        <f>'2. Consolidated'!BP240</f>
        <v>0.21235050036612155</v>
      </c>
      <c r="BC61" s="145">
        <f>'2. Consolidated'!BQ240</f>
        <v>1.532033426183844E-2</v>
      </c>
      <c r="BD61" s="145">
        <f>'2. Consolidated'!BR240</f>
        <v>-0.51505235602094246</v>
      </c>
      <c r="BE61" s="145">
        <f>'2. Consolidated'!BS240</f>
        <v>-0.62202678392964217</v>
      </c>
      <c r="BF61" s="145">
        <f>'2. Consolidated'!BT240</f>
        <v>-0.52967262292943784</v>
      </c>
      <c r="BG61" s="146">
        <f>'2. Consolidated'!BU240</f>
        <v>-0.52967262292943784</v>
      </c>
      <c r="BH61" s="145">
        <f>'2. Consolidated'!BV240</f>
        <v>-0.52974785740901753</v>
      </c>
      <c r="BI61" s="145">
        <f>'2. Consolidated'!BW240</f>
        <v>-0.70285997276216416</v>
      </c>
      <c r="BJ61" s="145">
        <f>'2. Consolidated'!BX240</f>
        <v>-0.5</v>
      </c>
      <c r="BK61" s="145">
        <f>'2. Consolidated'!BY240</f>
        <v>-0.47101544962366304</v>
      </c>
      <c r="BL61" s="146">
        <f>'2. Consolidated'!BZ240</f>
        <v>-0.47101544962366304</v>
      </c>
      <c r="BM61" s="145">
        <f>'2. Consolidated'!CA240</f>
        <v>-0.33756730636476601</v>
      </c>
      <c r="BN61" s="145">
        <f>'2. Consolidated'!CB240</f>
        <v>-0.16201497617426822</v>
      </c>
      <c r="BO61" s="145">
        <f>'2. Consolidated'!CC240</f>
        <v>-0.19235111487440024</v>
      </c>
      <c r="BP61" s="145">
        <f>'2. Consolidated'!CD240</f>
        <v>-0.25253696723688024</v>
      </c>
      <c r="BQ61" s="146">
        <f>'2. Consolidated'!CE240</f>
        <v>-0.25253696723688024</v>
      </c>
      <c r="BR61" s="145">
        <f>'2. Consolidated'!CF240</f>
        <v>2.1664425519199164E-2</v>
      </c>
      <c r="BS61" s="145">
        <f>'2. Consolidated'!CG240</f>
        <v>-0.14269258459323253</v>
      </c>
      <c r="BT61" s="145">
        <f>'2. Consolidated'!CH240</f>
        <v>-0.22538895773096518</v>
      </c>
      <c r="BU61" s="145">
        <f>'2. Consolidated'!CI240</f>
        <v>-0.34366160966829518</v>
      </c>
      <c r="BV61" s="146">
        <f>'2. Consolidated'!CJ240</f>
        <v>-0.34366160966829518</v>
      </c>
      <c r="BW61" s="145">
        <f>'2. Consolidated'!CK240</f>
        <v>-0.17292929292929293</v>
      </c>
      <c r="BX61" s="145">
        <f>'2. Consolidated'!CL240</f>
        <v>-0.10685367264314632</v>
      </c>
      <c r="BY61" s="145">
        <f>'2. Consolidated'!CM240</f>
        <v>-0.23971227835396453</v>
      </c>
      <c r="BZ61" s="145">
        <f>'2. Consolidated'!CN240</f>
        <v>-0.26026795519437734</v>
      </c>
      <c r="CA61" s="146">
        <f>'2. Consolidated'!CO240</f>
        <v>-0.26026795519437734</v>
      </c>
      <c r="CB61" s="145">
        <f>'2. Consolidated'!CP240</f>
        <v>-0.13706793802145412</v>
      </c>
      <c r="CC61" s="145">
        <f>'2. Consolidated'!CQ240</f>
        <v>-8.7255420412480175E-2</v>
      </c>
      <c r="CD61" s="145">
        <f>'2. Consolidated'!CR240</f>
        <v>-7.7843945131139246E-3</v>
      </c>
      <c r="CE61" s="145">
        <f>'2. Consolidated'!CS240</f>
        <v>-0.23505504837584543</v>
      </c>
      <c r="CF61" s="146">
        <f>'2. Consolidated'!CT240</f>
        <v>-0.23505504837584543</v>
      </c>
      <c r="CG61" s="145">
        <f>'2. Consolidated'!CU240</f>
        <v>-0.102731800791143</v>
      </c>
      <c r="CH61" s="145">
        <f>'2. Consolidated'!CV240</f>
        <v>-0.18284546096035878</v>
      </c>
      <c r="CI61" s="145">
        <f>'2. Consolidated'!CW240</f>
        <v>-0.21240684176802088</v>
      </c>
      <c r="CJ61" s="145">
        <f>'2. Consolidated'!CX240</f>
        <v>-0.22828158820979444</v>
      </c>
      <c r="CK61" s="146">
        <f>'2. Consolidated'!CY240</f>
        <v>-0.22828158820979444</v>
      </c>
      <c r="CL61" s="145">
        <f>'2. Consolidated'!CZ240</f>
        <v>-0.36775103203981074</v>
      </c>
      <c r="CM61" s="145">
        <f>'2. Consolidated'!DA240</f>
        <v>-0.39107960276003439</v>
      </c>
      <c r="CN61" s="145">
        <f>'2. Consolidated'!DB240</f>
        <v>-0.37564059661576904</v>
      </c>
      <c r="CO61" s="145">
        <f>'2. Consolidated'!DC240</f>
        <v>-0.31301822652537398</v>
      </c>
      <c r="CP61" s="146">
        <f>'2. Consolidated'!DD240</f>
        <v>-0.31301822652537398</v>
      </c>
      <c r="CQ61" s="145">
        <f>'2. Consolidated'!DE240</f>
        <v>-0.3109102086667751</v>
      </c>
      <c r="CR61" s="145">
        <f>'2. Consolidated'!DF240</f>
        <v>-0.20726392749012867</v>
      </c>
      <c r="CS61" s="145">
        <f>'2. Consolidated'!DG240</f>
        <v>-9.2303914959979749E-2</v>
      </c>
      <c r="CT61" s="145">
        <f>'2. Consolidated'!DH240</f>
        <v>6.2175575514937492E-2</v>
      </c>
      <c r="CU61" s="146">
        <f>'2. Consolidated'!DI240</f>
        <v>6.2175575514937492E-2</v>
      </c>
    </row>
    <row r="62" spans="2:99" ht="15" customHeight="1">
      <c r="B62" s="17" t="s">
        <v>63</v>
      </c>
      <c r="C62" s="17"/>
      <c r="D62" s="144">
        <f>'2. Consolidated'!R260</f>
        <v>1.2895789226064456</v>
      </c>
      <c r="E62" s="145">
        <f>'2. Consolidated'!S260</f>
        <v>1.1623519087318999</v>
      </c>
      <c r="F62" s="145">
        <f>'2. Consolidated'!T260</f>
        <v>1.1269451269451269</v>
      </c>
      <c r="G62" s="145">
        <f>'2. Consolidated'!U260</f>
        <v>1.2233860217101504</v>
      </c>
      <c r="H62" s="146">
        <f>'2. Consolidated'!V260</f>
        <v>4.7746005046257363</v>
      </c>
      <c r="I62" s="145">
        <f>'2. Consolidated'!W260</f>
        <v>1.1638612160769495</v>
      </c>
      <c r="J62" s="145">
        <f>'2. Consolidated'!X260</f>
        <v>1.0464040822835274</v>
      </c>
      <c r="K62" s="145">
        <f>'2. Consolidated'!Y260</f>
        <v>1.0076687116564418</v>
      </c>
      <c r="L62" s="145">
        <f>'2. Consolidated'!Z260</f>
        <v>1.1258741258741258</v>
      </c>
      <c r="M62" s="146">
        <f>'2. Consolidated'!AA260</f>
        <v>4.5035449299258037</v>
      </c>
      <c r="N62" s="146">
        <f>'2. Consolidated'!AB260</f>
        <v>0</v>
      </c>
      <c r="O62" s="145">
        <f>'2. Consolidated'!AC260</f>
        <v>1.099351726217398</v>
      </c>
      <c r="P62" s="145">
        <f>'2. Consolidated'!AD260</f>
        <v>1.017981869519988</v>
      </c>
      <c r="Q62" s="145">
        <f>'2. Consolidated'!AE260</f>
        <v>1.0383631713554988</v>
      </c>
      <c r="R62" s="145">
        <f>'2. Consolidated'!AF260</f>
        <v>1.1110453940558924</v>
      </c>
      <c r="S62" s="146">
        <f>'2. Consolidated'!AG260</f>
        <v>4.2905649038461542</v>
      </c>
      <c r="T62" s="145">
        <f>'2. Consolidated'!AH260</f>
        <v>1.1117868520127425</v>
      </c>
      <c r="U62" s="145">
        <f>'2. Consolidated'!AI260</f>
        <v>1.0059997209432119</v>
      </c>
      <c r="V62" s="145">
        <f>'2. Consolidated'!AJ260</f>
        <v>1.0289893617021277</v>
      </c>
      <c r="W62" s="145">
        <f>'2. Consolidated'!AK260</f>
        <v>1.0396294390118375</v>
      </c>
      <c r="X62" s="146">
        <f>'2. Consolidated'!AL260</f>
        <v>4.1601409023167593</v>
      </c>
      <c r="Y62" s="145">
        <f>'2. Consolidated'!AM260</f>
        <v>1.0683214240942711</v>
      </c>
      <c r="Z62" s="145">
        <f>'2. Consolidated'!AN260</f>
        <v>0.99095354523227386</v>
      </c>
      <c r="AA62" s="145">
        <f>'2. Consolidated'!AO260</f>
        <v>0.96093377798951884</v>
      </c>
      <c r="AB62" s="145">
        <f>'2. Consolidated'!AP260</f>
        <v>0.97541652102994292</v>
      </c>
      <c r="AC62" s="146">
        <f>'2. Consolidated'!AQ260</f>
        <v>3.9917914051183003</v>
      </c>
      <c r="AD62" s="145">
        <f>'2. Consolidated'!AR260</f>
        <v>1.0099417209461776</v>
      </c>
      <c r="AE62" s="145">
        <f>'2. Consolidated'!AS260</f>
        <v>0.92855558020856444</v>
      </c>
      <c r="AF62" s="145">
        <f>'2. Consolidated'!AT260</f>
        <v>0.94515778019586505</v>
      </c>
      <c r="AG62" s="145">
        <f>'2. Consolidated'!AU260</f>
        <v>0.94569367840475183</v>
      </c>
      <c r="AH62" s="146">
        <f>'2. Consolidated'!AV260</f>
        <v>3.7940054495912805</v>
      </c>
      <c r="AI62" s="145">
        <f>'2. Consolidated'!AW260</f>
        <v>1.0145880419149373</v>
      </c>
      <c r="AJ62" s="145">
        <f>'2. Consolidated'!AX260</f>
        <v>0.91932722328532579</v>
      </c>
      <c r="AK62" s="145">
        <f>'2. Consolidated'!AY260</f>
        <v>0.93968891118916209</v>
      </c>
      <c r="AL62" s="145">
        <f>'2. Consolidated'!AZ260</f>
        <v>0.9720636827876239</v>
      </c>
      <c r="AM62" s="146">
        <f>'2. Consolidated'!BA260</f>
        <v>3.8487819670474073</v>
      </c>
      <c r="AN62" s="145">
        <f>'2. Consolidated'!BB260</f>
        <v>0.9951295538671342</v>
      </c>
      <c r="AO62" s="145">
        <f>'2. Consolidated'!BC260</f>
        <v>0.92550061687387297</v>
      </c>
      <c r="AP62" s="145">
        <f>'2. Consolidated'!BD260</f>
        <v>0.94388327721661058</v>
      </c>
      <c r="AQ62" s="145">
        <f>'2. Consolidated'!BE260</f>
        <v>1.0183494871553589</v>
      </c>
      <c r="AR62" s="146">
        <f>'2. Consolidated'!BF260</f>
        <v>3.9629701434664599</v>
      </c>
      <c r="AS62" s="145">
        <f>'2. Consolidated'!BG260</f>
        <v>1.0585430968726164</v>
      </c>
      <c r="AT62" s="145">
        <f>'2. Consolidated'!BH260</f>
        <v>0.9927461139896373</v>
      </c>
      <c r="AU62" s="145">
        <f>'2. Consolidated'!BI260</f>
        <v>0.97602517819124313</v>
      </c>
      <c r="AV62" s="145">
        <f>'2. Consolidated'!BJ260</f>
        <v>1.0058892815076561</v>
      </c>
      <c r="AW62" s="146">
        <f>'2. Consolidated'!BK260</f>
        <v>3.9773959386198658</v>
      </c>
      <c r="AX62" s="145">
        <f>'2. Consolidated'!BL260</f>
        <v>1.0105612289430044</v>
      </c>
      <c r="AY62" s="145">
        <f>'2. Consolidated'!BM260</f>
        <v>0.96094399202260261</v>
      </c>
      <c r="AZ62" s="145">
        <f>'2. Consolidated'!BN260</f>
        <v>0.93803098450774614</v>
      </c>
      <c r="BA62" s="145">
        <f>'2. Consolidated'!BO260</f>
        <v>0.60118415059966601</v>
      </c>
      <c r="BB62" s="146">
        <f>'2. Consolidated'!BP260</f>
        <v>3.2584494572330431</v>
      </c>
      <c r="BC62" s="145">
        <f>'2. Consolidated'!BQ260</f>
        <v>0.83186469584991474</v>
      </c>
      <c r="BD62" s="145">
        <f>'2. Consolidated'!BR260</f>
        <v>0.99976553341148888</v>
      </c>
      <c r="BE62" s="145">
        <f>'2. Consolidated'!BS260</f>
        <v>0.88210905108347026</v>
      </c>
      <c r="BF62" s="145">
        <f>'2. Consolidated'!BT260</f>
        <v>0.98752491326492953</v>
      </c>
      <c r="BG62" s="146">
        <f>'2. Consolidated'!BU260</f>
        <v>3.4562970255256311</v>
      </c>
      <c r="BH62" s="145">
        <f>'2. Consolidated'!BV260</f>
        <v>0.9668708035121375</v>
      </c>
      <c r="BI62" s="145">
        <f>'2. Consolidated'!BW260</f>
        <v>0.93055660734570234</v>
      </c>
      <c r="BJ62" s="145">
        <f>'2. Consolidated'!BX260</f>
        <v>0.81711952696043921</v>
      </c>
      <c r="BK62" s="145">
        <f>'2. Consolidated'!BY260</f>
        <v>0.83511166253101732</v>
      </c>
      <c r="BL62" s="146">
        <f>'2. Consolidated'!BZ260</f>
        <v>3.3037842084588189</v>
      </c>
      <c r="BM62" s="145">
        <f>'2. Consolidated'!CA260</f>
        <v>0.78221435681893592</v>
      </c>
      <c r="BN62" s="145">
        <f>'2. Consolidated'!CB260</f>
        <v>0.80092690120075838</v>
      </c>
      <c r="BO62" s="145">
        <f>'2. Consolidated'!CC260</f>
        <v>0.77000713071142557</v>
      </c>
      <c r="BP62" s="145">
        <f>'2. Consolidated'!CD260</f>
        <v>0.83299729247076448</v>
      </c>
      <c r="BQ62" s="146">
        <f>'2. Consolidated'!CE260</f>
        <v>3.4283513097072418</v>
      </c>
      <c r="BR62" s="145">
        <f>'2. Consolidated'!CF260</f>
        <v>0.84176772388059706</v>
      </c>
      <c r="BS62" s="145">
        <f>'2. Consolidated'!CG260</f>
        <v>0.88948851711938604</v>
      </c>
      <c r="BT62" s="145">
        <f>'2. Consolidated'!CH260</f>
        <v>0.8664756446991404</v>
      </c>
      <c r="BU62" s="145">
        <f>'2. Consolidated'!CI260</f>
        <v>0.91452935388652012</v>
      </c>
      <c r="BV62" s="146">
        <f>'2. Consolidated'!CJ260</f>
        <v>3.5573780755024105</v>
      </c>
      <c r="BW62" s="145">
        <f>'2. Consolidated'!CK260</f>
        <v>0.8029419223941161</v>
      </c>
      <c r="BX62" s="145">
        <f>'2. Consolidated'!CL260</f>
        <v>0.85807564371073053</v>
      </c>
      <c r="BY62" s="145">
        <f>'2. Consolidated'!CM260</f>
        <v>0.84974226804123709</v>
      </c>
      <c r="BZ62" s="145">
        <f>'2. Consolidated'!CN260</f>
        <v>0.88208677136012781</v>
      </c>
      <c r="CA62" s="146">
        <f>'2. Consolidated'!CO260</f>
        <v>3.5339818763326227</v>
      </c>
      <c r="CB62" s="145">
        <f>'2. Consolidated'!CP260</f>
        <v>0.86867910017304362</v>
      </c>
      <c r="CC62" s="145">
        <f>'2. Consolidated'!CQ260</f>
        <v>0.93207070707070705</v>
      </c>
      <c r="CD62" s="145">
        <f>'2. Consolidated'!CR260</f>
        <v>0.88726746861237105</v>
      </c>
      <c r="CE62" s="145">
        <f>'2. Consolidated'!CS260</f>
        <v>0.74446223645583132</v>
      </c>
      <c r="CF62" s="146">
        <f>'2. Consolidated'!CT260</f>
        <v>3.533955970647098</v>
      </c>
      <c r="CG62" s="145">
        <f>'2. Consolidated'!CU260</f>
        <v>0.83599400534306378</v>
      </c>
      <c r="CH62" s="145">
        <f>'2. Consolidated'!CV260</f>
        <v>0.8548914166035112</v>
      </c>
      <c r="CI62" s="145">
        <f>'2. Consolidated'!CW260</f>
        <v>0.88447230765694751</v>
      </c>
      <c r="CJ62" s="145">
        <f>'2. Consolidated'!CX260</f>
        <v>0.8429842919399505</v>
      </c>
      <c r="CK62" s="146">
        <f>'2. Consolidated'!CY260</f>
        <v>3.399488362596732</v>
      </c>
      <c r="CL62" s="145">
        <f>'2. Consolidated'!CZ260</f>
        <v>0.81123009701984938</v>
      </c>
      <c r="CM62" s="145">
        <f>'2. Consolidated'!DA260</f>
        <v>0.84565806629200102</v>
      </c>
      <c r="CN62" s="145">
        <f>'2. Consolidated'!DB260</f>
        <v>0.87179855190377742</v>
      </c>
      <c r="CO62" s="145">
        <f>'2. Consolidated'!DC260</f>
        <v>0.83457821424734879</v>
      </c>
      <c r="CP62" s="146">
        <f>'2. Consolidated'!DD260</f>
        <v>3.366374904238572</v>
      </c>
      <c r="CQ62" s="145">
        <f>'2. Consolidated'!DE260</f>
        <v>0.82124276689365505</v>
      </c>
      <c r="CR62" s="145">
        <f>'2. Consolidated'!DF260</f>
        <v>0.84607788680103302</v>
      </c>
      <c r="CS62" s="145">
        <f>'2. Consolidated'!DG260</f>
        <v>0.86825919897448434</v>
      </c>
      <c r="CT62" s="145">
        <f>'2. Consolidated'!DH260</f>
        <v>0.82552907164311884</v>
      </c>
      <c r="CU62" s="146">
        <f>'2. Consolidated'!DI260</f>
        <v>3.3787819551908869</v>
      </c>
    </row>
    <row r="63" spans="2:99" ht="15" customHeight="1">
      <c r="B63" s="122" t="s">
        <v>284</v>
      </c>
      <c r="C63" s="122"/>
      <c r="D63" s="147"/>
      <c r="E63" s="148"/>
      <c r="F63" s="148"/>
      <c r="G63" s="148"/>
      <c r="H63" s="189">
        <f>'2. Consolidated'!V272</f>
        <v>0.33023027927486526</v>
      </c>
      <c r="I63" s="190">
        <f>'2. Consolidated'!W272</f>
        <v>0.40588235294117636</v>
      </c>
      <c r="J63" s="190">
        <f>'2. Consolidated'!X272</f>
        <v>0.34752981260647364</v>
      </c>
      <c r="K63" s="190">
        <f>'2. Consolidated'!Y272</f>
        <v>0.32334384858044163</v>
      </c>
      <c r="L63" s="190">
        <f>'2. Consolidated'!Z272</f>
        <v>0.18674033149171265</v>
      </c>
      <c r="M63" s="189">
        <f>'2. Consolidated'!AA272</f>
        <v>0.2338858195211786</v>
      </c>
      <c r="N63" s="189">
        <f>'2. Consolidated'!AB272</f>
        <v>0</v>
      </c>
      <c r="O63" s="190">
        <f>'2. Consolidated'!AC272</f>
        <v>9.784357901512708E-2</v>
      </c>
      <c r="P63" s="190">
        <f>'2. Consolidated'!AD272</f>
        <v>4.8672566371681381E-2</v>
      </c>
      <c r="Q63" s="190">
        <f>'2. Consolidated'!AE272</f>
        <v>-8.0452920143027074E-3</v>
      </c>
      <c r="R63" s="190">
        <f>'2. Consolidated'!AF272</f>
        <v>6.5797641216635672E-2</v>
      </c>
      <c r="S63" s="189">
        <f>'2. Consolidated'!AG272</f>
        <v>2.5074626865671634E-2</v>
      </c>
      <c r="T63" s="190">
        <f>'2. Consolidated'!AH272</f>
        <v>1.788331867487547E-2</v>
      </c>
      <c r="U63" s="190">
        <f>'2. Consolidated'!AI272</f>
        <v>0.11362266425557555</v>
      </c>
      <c r="V63" s="190">
        <f>'2. Consolidated'!AJ272</f>
        <v>0.14899369179933908</v>
      </c>
      <c r="W63" s="190">
        <f>'2. Consolidated'!AK272</f>
        <v>0.14938846825859065</v>
      </c>
      <c r="X63" s="189">
        <f>'2. Consolidated'!AL272</f>
        <v>0.14938846825859065</v>
      </c>
      <c r="Y63" s="190">
        <f>'2. Consolidated'!AM272</f>
        <v>0.16071428571428581</v>
      </c>
      <c r="Z63" s="190">
        <f>'2. Consolidated'!AN272</f>
        <v>0.12313937753721249</v>
      </c>
      <c r="AA63" s="190">
        <f>'2. Consolidated'!AO272</f>
        <v>0.11006535947712415</v>
      </c>
      <c r="AB63" s="190">
        <f>'2. Consolidated'!AP272</f>
        <v>9.8809222194071511E-2</v>
      </c>
      <c r="AC63" s="189">
        <f>'2. Consolidated'!AQ272</f>
        <v>9.8809222194071511E-2</v>
      </c>
      <c r="AD63" s="190">
        <f>'2. Consolidated'!AR272</f>
        <v>9.5285359801488889E-2</v>
      </c>
      <c r="AE63" s="190">
        <f>'2. Consolidated'!AS272</f>
        <v>0.10843373493975905</v>
      </c>
      <c r="AF63" s="190">
        <f>'2. Consolidated'!AT272</f>
        <v>8.10174281676872E-2</v>
      </c>
      <c r="AG63" s="190">
        <f>'2. Consolidated'!AU272</f>
        <v>0.11551763892091316</v>
      </c>
      <c r="AH63" s="189">
        <f>'2. Consolidated'!AV272</f>
        <v>0.11551763892091316</v>
      </c>
      <c r="AI63" s="190">
        <f>'2. Consolidated'!AW272</f>
        <v>0.10919800634345256</v>
      </c>
      <c r="AJ63" s="190">
        <f>'2. Consolidated'!AX272</f>
        <v>9.413043478260863E-2</v>
      </c>
      <c r="AK63" s="190">
        <f>'2. Consolidated'!AY272</f>
        <v>7.4509803921568585E-2</v>
      </c>
      <c r="AL63" s="190">
        <f>'2. Consolidated'!AZ272</f>
        <v>4.4853245142620901E-2</v>
      </c>
      <c r="AM63" s="189">
        <f>'2. Consolidated'!BA272</f>
        <v>4.4853245142620901E-2</v>
      </c>
      <c r="AN63" s="190">
        <f>'2. Consolidated'!BB272</f>
        <v>6.4338235294117752E-2</v>
      </c>
      <c r="AO63" s="190">
        <f>'2. Consolidated'!BC272</f>
        <v>5.821577587919724E-2</v>
      </c>
      <c r="AP63" s="190">
        <f>'2. Consolidated'!BD272</f>
        <v>8.799675587996747E-2</v>
      </c>
      <c r="AQ63" s="190">
        <f>'2. Consolidated'!BE272</f>
        <v>4.0751730959446064E-2</v>
      </c>
      <c r="AR63" s="189">
        <f>'2. Consolidated'!BF272</f>
        <v>4.0751730959446064E-2</v>
      </c>
      <c r="AS63" s="190">
        <f>'2. Consolidated'!BG272</f>
        <v>3.0704279408941826E-3</v>
      </c>
      <c r="AT63" s="190">
        <f>'2. Consolidated'!BH272</f>
        <v>1.1641006383777741E-2</v>
      </c>
      <c r="AU63" s="190">
        <f>'2. Consolidated'!BI272</f>
        <v>9.1315691390234655E-3</v>
      </c>
      <c r="AV63" s="190">
        <f>'2. Consolidated'!BJ272</f>
        <v>6.8618133434708239E-2</v>
      </c>
      <c r="AW63" s="189">
        <f>'2. Consolidated'!BK272</f>
        <v>6.8618133434708239E-2</v>
      </c>
      <c r="AX63" s="190">
        <f>'2. Consolidated'!BL272</f>
        <v>0.11631911230151148</v>
      </c>
      <c r="AY63" s="190">
        <f>'2. Consolidated'!BM272</f>
        <v>0.15051967334818106</v>
      </c>
      <c r="AZ63" s="190">
        <f>'2. Consolidated'!BN272</f>
        <v>7.2391505078485796E-2</v>
      </c>
      <c r="BA63" s="190">
        <f>'2. Consolidated'!BO272</f>
        <v>0.31038776236214871</v>
      </c>
      <c r="BB63" s="189">
        <f>'2. Consolidated'!BP272</f>
        <v>0.31038776236214871</v>
      </c>
      <c r="BC63" s="190">
        <f>'2. Consolidated'!BQ272</f>
        <v>0.14910025706940866</v>
      </c>
      <c r="BD63" s="190">
        <f>'2. Consolidated'!BR272</f>
        <v>-1.7583481206646212E-2</v>
      </c>
      <c r="BE63" s="190">
        <f>'2. Consolidated'!BS272</f>
        <v>0.15257447907697608</v>
      </c>
      <c r="BF63" s="190">
        <f>'2. Consolidated'!BT272</f>
        <v>-6.963485815121484E-2</v>
      </c>
      <c r="BG63" s="189">
        <f>'2. Consolidated'!BU272</f>
        <v>-6.963485815121484E-2</v>
      </c>
      <c r="BH63" s="190">
        <f>'2. Consolidated'!BV272</f>
        <v>-8.9485458612970081E-4</v>
      </c>
      <c r="BI63" s="190">
        <f>'2. Consolidated'!BW272</f>
        <v>6.8308702791461506E-2</v>
      </c>
      <c r="BJ63" s="190">
        <f>'2. Consolidated'!BX272</f>
        <v>0.15045569998505903</v>
      </c>
      <c r="BK63" s="190">
        <f>'2. Consolidated'!BY272</f>
        <v>0.22847971987160776</v>
      </c>
      <c r="BL63" s="189">
        <f>'2. Consolidated'!BZ272</f>
        <v>0.22847971987160776</v>
      </c>
      <c r="BM63" s="190">
        <f>'2. Consolidated'!CA272</f>
        <v>0.44230482161516638</v>
      </c>
      <c r="BN63" s="190">
        <f>'2. Consolidated'!CB272</f>
        <v>0.43344604980018442</v>
      </c>
      <c r="BO63" s="190">
        <f>'2. Consolidated'!CC272</f>
        <v>0.15649350649350646</v>
      </c>
      <c r="BP63" s="190">
        <f>'2. Consolidated'!CD272</f>
        <v>4.0380047505939043E-3</v>
      </c>
      <c r="BQ63" s="189">
        <f>'2. Consolidated'!CE272</f>
        <v>4.0380047505939043E-3</v>
      </c>
      <c r="BR63" s="190">
        <f>'2. Consolidated'!CF272</f>
        <v>-9.9772303870834245E-2</v>
      </c>
      <c r="BS63" s="190">
        <f>'2. Consolidated'!CG272</f>
        <v>-0.14443491314604329</v>
      </c>
      <c r="BT63" s="190">
        <f>'2. Consolidated'!CH272</f>
        <v>-0.13239752947782146</v>
      </c>
      <c r="BU63" s="190">
        <f>'2. Consolidated'!CI272</f>
        <v>-0.11059853323870361</v>
      </c>
      <c r="BV63" s="189">
        <f>'2. Consolidated'!CJ272</f>
        <v>-0.11059853323870361</v>
      </c>
      <c r="BW63" s="190">
        <f>'2. Consolidated'!CK272</f>
        <v>-5.1161186479650511E-2</v>
      </c>
      <c r="BX63" s="190">
        <f>'2. Consolidated'!CL272</f>
        <v>2.5065797719014959E-4</v>
      </c>
      <c r="BY63" s="190">
        <f>'2. Consolidated'!CM272</f>
        <v>-2.4203986538959388E-2</v>
      </c>
      <c r="BZ63" s="190">
        <f>'2. Consolidated'!CN272</f>
        <v>-3.9898922729085795E-3</v>
      </c>
      <c r="CA63" s="189">
        <f>'2. Consolidated'!CO272</f>
        <v>-3.9898922729085795E-3</v>
      </c>
      <c r="CB63" s="190">
        <f>'2. Consolidated'!CP272</f>
        <v>-1.6842360353810704E-2</v>
      </c>
      <c r="CC63" s="190">
        <f>'2. Consolidated'!CQ272</f>
        <v>-3.1950883347951375E-2</v>
      </c>
      <c r="CD63" s="190">
        <f>'2. Consolidated'!CR272</f>
        <v>-6.8974665074943431E-3</v>
      </c>
      <c r="CE63" s="190">
        <f>'2. Consolidated'!CS272</f>
        <v>1.6023501134998508E-3</v>
      </c>
      <c r="CF63" s="189">
        <f>'2. Consolidated'!CT272</f>
        <v>1.6023501134998508E-3</v>
      </c>
      <c r="CG63" s="190">
        <f>'2. Consolidated'!CU272</f>
        <v>-3.3029332018733037E-2</v>
      </c>
      <c r="CH63" s="190">
        <f>'2. Consolidated'!CV272</f>
        <v>-6.3769305875814641E-2</v>
      </c>
      <c r="CI63" s="190">
        <f>'2. Consolidated'!CW272</f>
        <v>-8.8054318697190825E-2</v>
      </c>
      <c r="CJ63" s="190">
        <f>'2. Consolidated'!CX272</f>
        <v>-3.9758884484654478E-2</v>
      </c>
      <c r="CK63" s="189">
        <f>'2. Consolidated'!CY272</f>
        <v>-3.9758884484654478E-2</v>
      </c>
      <c r="CL63" s="190">
        <f>'2. Consolidated'!CZ272</f>
        <v>-4.5104956111949313E-2</v>
      </c>
      <c r="CM63" s="190">
        <f>'2. Consolidated'!DA272</f>
        <v>-2.0216045056893672E-2</v>
      </c>
      <c r="CN63" s="190">
        <f>'2. Consolidated'!DB272</f>
        <v>-5.4773400815189E-3</v>
      </c>
      <c r="CO63" s="190">
        <f>'2. Consolidated'!DC272</f>
        <v>-2.5654499662182362E-2</v>
      </c>
      <c r="CP63" s="189">
        <f>'2. Consolidated'!DD272</f>
        <v>-2.5654499662182362E-2</v>
      </c>
      <c r="CQ63" s="190">
        <f>'2. Consolidated'!DE272</f>
        <v>-9.9144408709183063E-3</v>
      </c>
      <c r="CR63" s="190">
        <f>'2. Consolidated'!DF272</f>
        <v>1.2534538841044718E-3</v>
      </c>
      <c r="CS63" s="190">
        <f>'2. Consolidated'!DG272</f>
        <v>9.169633465471394E-3</v>
      </c>
      <c r="CT63" s="190">
        <f>'2. Consolidated'!DH272</f>
        <v>1.5189847109912558E-2</v>
      </c>
      <c r="CU63" s="189">
        <f>'2. Consolidated'!DI272</f>
        <v>1.5189847109912558E-2</v>
      </c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6107022"><![CDATA[{"NKE-US^FF_DPS(QTR,0)":0.2,"NKE-US^JULIAN(FF_DPS(QTR,0).DATES)":43069,"NKE^P_PRICE(06/04/2018)":73.67,"NKE-US^FE_VALUATION(PE,MEAN,ANN,+1,NOW,,,'')":31.33553,"NKE-US^JULIAN(FE_VALUATION(PE,MEAN,ANN,+1,NOW,,,'').DATES)":43255,"NKE-US^FE_VALUATION(PE,MEAN,NTM4_ROLL,,NOW,,,'')":28.793837,"NKE-US^JULIAN(FE_VALUATION(PE,MEAN,NTM4_ROLL,,NOW,,,'').DATES)":43255,"NKE-US^JULIAN(FE_VALUATION(PE,MEAN,NTMA,,NOW,,,'').DATES)":44302,"NKE-US^FE_VALUATION(PE,MEAN,NTMA,,NOW,,,'')":34.45632,"NKE^FG_PRICE":87.79,"NKE^XP_BETA_PR(0,,,\"1M\")":1.2341117,"NKE^XP_BETA_PR(0,,,\"5Y\")":1.1159314,"NKE^XP_BETA_PR(0,,,\"1Y\")":1.1775012,"NKE^XP_BETA_PR(0,,,\"3Y\")":1.331699,"NKE^P_BETA_PR(0,,,\"1M\")":1.2341117,"NKE^P_BETA_PR(0,,,\"1Y\")":1.1775012,"NKE^P_BETA_PR(0,,,\"3Y\")":1.331699,"NKE^P_BETA_PR(0,,,\"3Y\",\"SP50\")":1.331699,"NKE^SBF_YIELD_REAL_BETA(0)":null,"NKE^FFD_STAT_BETA(0)":null,"NKE^ETP_STAT_BETA(0)":null,"NKE^RTP_BETA":1.2761433,"NKE^RIP_BETA_CASH(0)":null,"NKE^P_BETA_LOCIDX(0)":null,"NKE^OS_SEC_PRICE(0D,,MTD,USD)":109.69,"NKE-US^FG_PRICE(0)":65.69,"NKE-US^FG_PRICE(45898)":77.37,"NKE-US^FG_PRICE(45897)":77.92,"NKE-US^FG_PRICE(45896)":78.06,"NKE-US^FG_PRICE(45895)":78.65,"NKE-US^FG_PRICE(45894)":79.17,"NKE-US^FG_PRICE(45891)":78.38,"NKE-US^FG_PRICE(45890)":76.18,"NKE-US^FG_PRICE(45889)":76.26,"NKE-US^FG_PRICE(45888)":76.88,"NKE-US^FG_PRICE(45887)":77.43,"NKE-US^FG_PRICE(45884)":76.97,"NKE-US^FG_PRICE(45883)":76.39,"NKE-US^FG_PRICE(45882)":77.2,"NKE-US^FG_PRICE(45881)":74.9,"NKE-US^FG_PRICE(45880)":74.02,"NKE-US^FG_PRICE(45877)":74.19,"NKE-US^FG_PRICE(45876)":74.35,"NKE-US^FG_PRICE(45875)":75.48,"NKE-US^FG_PRICE(45874)":74.38,"NKE-US^FG_PRICE(45873)":74.82,"NKE-US^FG_PRICE(45870)":74.62,"NKE-US^FG_PRICE(45869)":74.69,"NKE-US^FG_PRICE(45868)":76.68,"NKE-US^FG_PRICE(45867)":78.33,"NKE-US^FG_PRICE(45866)":79.24,"NKE-US^FG_PRICE(45863)":76.27,"NKE-US^FG_PRICE(45862)":75.42,"NKE-US^FG_PRICE(45861)":76.75,"NKE-US^FG_PRICE(45860)":75.39,"NKE-US^FG_PRICE(45859)":74.02,"NKE-US^FG_PRICE(45856)":72.47,"NKE-US^FG_PRICE(45855)":72.98,"NKE-US^FG_PRICE(45854)":72.1,"NKE-US^FG_PRICE(45853)":71.99,"NKE-US^FG_PRICE(45852)":72.25,"NKE-US^FG_PRICE(45849)":72.63,"NKE-US^FG_PRICE(45848)":74.62,"NKE-US^FG_PRICE(45847)":73.56,"NKE-US^FG_PRICE(45846)":73.92,"NKE-US^FG_PRICE(45845)":76.53,"NKE-US^FG_PRICE(45842)":76.39,"NKE-US^FG_PRICE(45841)":76.39,"NKE-US^FG_PRICE(45840)":76.39,"NKE-US^FG_PRICE(45839)":73.41,"NKE-US^FG_PRICE(45838)":71.04,"NKE-US^FG_PRICE(45835)":72.04,"NKE-US^FG_PRICE(45834)":62.54,"NKE-US^FG_PRICE(45833)":60.83,"NKE-US^FG_PRICE(45832)":61.42,"NKE-US^FG_PRICE(45831)":60.78,"NKE-US^FG_PRICE(45828)":59.79,"NKE-US^FG_PRICE(45827)":59.51,"NKE-US^FG_PRICE(45826)":59.51,"NKE-US^FG_PRICE(45825)":60.0,"NKE-US^FG_PRICE(45824)":61.9,"NKE-US^FG_PRICE(45821)":60.53,"NKE-US^FG_PRICE(45820)":62.8,"NKE-US^FG_PRICE(45819)":63.11,"NKE-US^FG_PRICE(45818)":63.87,"NKE-US^FG_PRICE(45817)":61.91,"NKE-US^FG_PRICE(45814)":62.8,"NKE-US^FG_PRICE(45813)":62.67,"NKE-US^FG_PRICE(45812)":62.77,"NKE-US^FG_PRICE(45811)":62.37,"NKE-US^FG_PRICE(45810)":61.57,"NKE-US^FG_PRICE(45808)":60.59,"NKE-US^FG_PRICE(45989)":64.63,"NKE-US^FG_PRICE(45988)":64.33,"NKE-US^FG_PRICE(45987)":64.33,"NKE-US^FG_PRICE(45986)":63.68,"NKE-US^FG_PRICE(45985)":61.93,"NKE-US^FG_PRICE(45982)":62.8,"NKE-US^FG_PRICE(45981)":61.43,"NKE-US^FG_PRICE(45980)":62.64,"NKE-US^FG_PRICE(45979)":62.49,"NKE-US^FG_PRICE(45978)":62.9,"NKE-US^FG_PRICE(45975)":64.17,"NKE-US^FG_PRICE(45974)":66.03,"NKE-US^FG_PRICE(45973)":64.2,"NKE-US^FG_PRICE(45972)":63.15,"NKE-US^FG_PRICE(45971)":60.8,"NKE-US^FG_PRICE(45968)":61.09,"NKE-US^FG_PRICE(45967)":61.89,"NKE-US^FG_PRICE(45966)":62.11,"NKE-US^FG_PRICE(45965)":61.23,"NKE-US^FG_PRICE(45964)":62.65,"NKE-US^FG_PRICE(45961)":64.59,"NKE-US^FG_PRICE(45960)":64.9,"NKE-US^FG_PRICE(45959)":65.35,"NKE-US^FG_PRICE(45958)":67.43,"NKE-US^FG_PRICE(45957)":68.59,"NKE-US^FG_PRICE(45954)":69.11,"NKE-US^FG_PRICE(45953)":69.68,"NKE-US^FG_PRICE(45952)":69.08,"NKE-US^FG_PRICE(45951)":68.36,"NKE-US^FG_PRICE(45950)":67.62,"NKE-US^FG_PRICE(45947)":67.37,"NKE-US^FG_PRICE(45946)":66.84,"NKE-US^FG_PRICE(45945)":68.46,"NKE-US^FG_PRICE(45944)":67.64,"NKE-US^FG_PRICE(45943)":67.38,"NKE-US^FG_PRICE(45940)":65.22,"NKE-US^FG_PRICE(45939)":68.06,"NKE-US^FG_PRICE(45938)":69.09,"NKE-US^FG_PRICE(45937)":68.91,"NKE-US^FG_PRICE(45936)":71.17,"NKE-US^FG_PRICE(45933)":71.93,"NKE-US^FG_PRICE(45932)":74.57,"NKE-US^FG_PRICE(45931)":74.2,"NKE-US^FG_PRICE(45930)":69.73,"NKE-US^FG_PRICE(45929)":69.55,"NKE-US^FG_PRICE(45926)":69.31,"NKE-US^FG_PRICE(45925)":69.24,"NKE-US^FG_PRICE(45924)":71.22,"NKE-US^FG_PRICE(45923)":70.93,"NKE-US^FG_PRICE(45922)":71.28,"NKE-US^FG_PRICE(45919)":70.89,"NKE-US^FG_PRICE(45918)":72.1,"NKE-US^FG_PRICE(45917)":72.31,"NKE-US^FG_PRICE(45916)":72.75,"NKE-US^FG_PRICE(45915)":73.03,"NKE-US^FG_PRICE(45912)":73.0,"NKE-US^FG_PRICE(45911)":74.33,"NKE-US^FG_PRICE(45910)":74.25,"NKE-US^FG_PRICE(45909)":73.6,"NKE-US^FG_PRICE(45908)":74.15,"NKE-US^FG_PRICE(45905)":73.91,"NKE-US^FG_PRICE(45904)":75.35,"NKE-US^FG_PRICE(45903)":74.74,"NKE-US^FG_PRICE(45902)":74.29,"NKE-US^FG_PRICE(45901)":77.37}]]></FdsFormulaCache>
</file>

<file path=customXml/itemProps1.xml><?xml version="1.0" encoding="utf-8"?>
<ds:datastoreItem xmlns:ds="http://schemas.openxmlformats.org/officeDocument/2006/customXml" ds:itemID="{4FFC4DC4-2F2A-4368-99F6-5AEA268E01E0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38ade803-c9f2-458b-bd92-85e1ed493d50}" enabled="1" method="Privilege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Cover</vt:lpstr>
      <vt:lpstr>2. Consolidated</vt:lpstr>
      <vt:lpstr>3. Segment Analysis</vt:lpstr>
      <vt:lpstr>4. Summary model</vt:lpstr>
    </vt:vector>
  </TitlesOfParts>
  <Company>Goldman Sachs &amp;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raokes</dc:creator>
  <cp:lastModifiedBy>Adamu, Mentesnot [GIR]</cp:lastModifiedBy>
  <cp:lastPrinted>2026-09-30T17:50:23Z</cp:lastPrinted>
  <dcterms:created xsi:type="dcterms:W3CDTF">2013-01-30T22:03:13Z</dcterms:created>
  <dcterms:modified xsi:type="dcterms:W3CDTF">2026-10-02T18:14:00Z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{A5899837-B0AA-4345-8781-A63BCA12A718}</vt:lpwstr>
  </property>
  <property fmtid="{D5CDD505-2E9C-101B-9397-08002B2CF9AE}" pid="3" name="TitusGUID">
    <vt:lpwstr>b071946d-d3a8-4a0c-82f9-4768743afc53</vt:lpwstr>
  </property>
  <property fmtid="{D5CDD505-2E9C-101B-9397-08002B2CF9AE}" pid="4" name="Classification">
    <vt:lpwstr>I</vt:lpwstr>
  </property>
  <property fmtid="{D5CDD505-2E9C-101B-9397-08002B2CF9AE}" pid="5" name="DocNoClass">
    <vt:lpwstr>Not In Use</vt:lpwstr>
  </property>
</Properties>
</file>